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 codeName="{26A90621-87C4-6C01-FD6A-EE6E7C140903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ofgemcloud-my.sharepoint.com/personal/erin_baillie_ofgem_gov_uk/Documents/Documents/Publication Docs/3104/New/"/>
    </mc:Choice>
  </mc:AlternateContent>
  <xr:revisionPtr revIDLastSave="0" documentId="8_{74453EE5-0ED7-478B-83AB-2F1F0BC57D46}" xr6:coauthVersionLast="47" xr6:coauthVersionMax="47" xr10:uidLastSave="{00000000-0000-0000-0000-000000000000}"/>
  <bookViews>
    <workbookView xWindow="-98" yWindow="-98" windowWidth="21795" windowHeight="12975" tabRatio="849" activeTab="2" xr2:uid="{00000000-000D-0000-FFFF-FFFF00000000}"/>
  </bookViews>
  <sheets>
    <sheet name="Cover" sheetId="22" r:id="rId1"/>
    <sheet name="Version Control" sheetId="70" r:id="rId2"/>
    <sheet name="Inputs" sheetId="6" r:id="rId3"/>
    <sheet name="Data Sources" sheetId="71" r:id="rId4"/>
    <sheet name="Pre Op RAV" sheetId="15" r:id="rId5"/>
    <sheet name="Finance" sheetId="27" r:id="rId6"/>
    <sheet name="Op Rav" sheetId="63" r:id="rId7"/>
    <sheet name="Allowances Cap" sheetId="4" r:id="rId8"/>
    <sheet name="Allowances Floor" sheetId="48" r:id="rId9"/>
    <sheet name="Tax Deductions" sheetId="66" r:id="rId10"/>
    <sheet name="Tax Cap" sheetId="67" r:id="rId11"/>
    <sheet name="Tax Floor" sheetId="68" r:id="rId12"/>
    <sheet name="Cap Floor Levels" sheetId="21" r:id="rId13"/>
  </sheets>
  <externalReferences>
    <externalReference r:id="rId14"/>
    <externalReference r:id="rId15"/>
  </externalReferences>
  <definedNames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computed" localSheetId="3">#REF!</definedName>
    <definedName name="computed" localSheetId="6">#REF!</definedName>
    <definedName name="computed">#REF!</definedName>
    <definedName name="diff" localSheetId="3">#REF!</definedName>
    <definedName name="diff" localSheetId="6">#REF!</definedName>
    <definedName name="diff">#REF!</definedName>
    <definedName name="End_Point" localSheetId="3">#REF!</definedName>
    <definedName name="End_Point" localSheetId="6">#REF!</definedName>
    <definedName name="End_Point">#REF!</definedName>
    <definedName name="fixed" localSheetId="3">#REF!</definedName>
    <definedName name="fixed" localSheetId="6">#REF!</definedName>
    <definedName name="fixed">#REF!</definedName>
    <definedName name="_xlnm.Print_Area" localSheetId="7">'Allowances Cap'!$A$1:$AX$36</definedName>
    <definedName name="_xlnm.Print_Area" localSheetId="8">'Allowances Floor'!$A$1:$AX$79</definedName>
    <definedName name="_xlnm.Print_Area" localSheetId="12">'Cap Floor Levels'!$A$1:$AT$40</definedName>
    <definedName name="_xlnm.Print_Area" localSheetId="0">Cover!$A$2:$G$44</definedName>
    <definedName name="_xlnm.Print_Area" localSheetId="3">'Data Sources'!$A$1:$AX$135</definedName>
    <definedName name="_xlnm.Print_Area" localSheetId="5">Finance!$A$1:$AX$157</definedName>
    <definedName name="_xlnm.Print_Area" localSheetId="2">Inputs!$A$1:$AX$201</definedName>
    <definedName name="_xlnm.Print_Area" localSheetId="6">'Op Rav'!$A$1:$AX$43</definedName>
    <definedName name="_xlnm.Print_Area" localSheetId="4">'Pre Op RAV'!$A$1:$AX$59</definedName>
    <definedName name="_xlnm.Print_Area" localSheetId="10">'Tax Cap'!$A$1:$AX$46</definedName>
    <definedName name="_xlnm.Print_Area" localSheetId="9">'Tax Deductions'!$A$1:$AX$76</definedName>
    <definedName name="_xlnm.Print_Area" localSheetId="11">'Tax Floor'!$A$1:$AX$79</definedName>
    <definedName name="_xlnm.Print_Titles" localSheetId="7">'Allowances Cap'!$1:$4</definedName>
    <definedName name="_xlnm.Print_Titles" localSheetId="8">'Allowances Floor'!$1:$4</definedName>
    <definedName name="_xlnm.Print_Titles" localSheetId="12">'Cap Floor Levels'!$1:$2</definedName>
    <definedName name="_xlnm.Print_Titles" localSheetId="0">Cover!$2:$5</definedName>
    <definedName name="_xlnm.Print_Titles" localSheetId="3">'Data Sources'!$1:$2</definedName>
    <definedName name="_xlnm.Print_Titles" localSheetId="5">Finance!$1:$4</definedName>
    <definedName name="_xlnm.Print_Titles" localSheetId="2">Inputs!$1:$2</definedName>
    <definedName name="_xlnm.Print_Titles" localSheetId="6">'Op Rav'!$1:$3</definedName>
    <definedName name="_xlnm.Print_Titles" localSheetId="4">'Pre Op RAV'!$1:$4</definedName>
    <definedName name="_xlnm.Print_Titles" localSheetId="10">'Tax Cap'!$1:$3</definedName>
    <definedName name="_xlnm.Print_Titles" localSheetId="9">'Tax Deductions'!$1:$3</definedName>
    <definedName name="_xlnm.Print_Titles" localSheetId="11">'Tax Floor'!$1:$3</definedName>
    <definedName name="Repayment" localSheetId="3">#REF!</definedName>
    <definedName name="Repayment" localSheetId="6">#REF!</definedName>
    <definedName name="Repayment">#REF!</definedName>
    <definedName name="RiskAfterRecalcMacro" hidden="1">"Simulation"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TRUE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FALSE</definedName>
    <definedName name="WDA_Dis" localSheetId="1">'[1]fis-Standard Data'!$B$41</definedName>
    <definedName name="WDA_Dis">'[2]fis-Standard Data'!$B$41</definedName>
    <definedName name="WDA_FYA" localSheetId="1">'[1]fis-Standard Data'!$B$40</definedName>
    <definedName name="WDA_FYA">'[2]fis-Standard Data'!$B$40</definedName>
    <definedName name="WDA_LLA" localSheetId="1">'[1]fis-Standard Data'!$B$39</definedName>
    <definedName name="WDA_LLA">'[2]fis-Standard Data'!$B$39</definedName>
    <definedName name="WDA_Plant" localSheetId="1">'[1]fis-Standard Data'!$B$38</definedName>
    <definedName name="WDA_Plant">'[2]fis-Standard Data'!$B$38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I41" i="48" l="1"/>
  <c r="AH41" i="48"/>
  <c r="AG41" i="48"/>
  <c r="AF41" i="48"/>
  <c r="AE41" i="48"/>
  <c r="AD41" i="48"/>
  <c r="AC41" i="48"/>
  <c r="AB41" i="48"/>
  <c r="AA41" i="48"/>
  <c r="Z41" i="48"/>
  <c r="Y41" i="48"/>
  <c r="X41" i="48"/>
  <c r="W41" i="48"/>
  <c r="V41" i="48"/>
  <c r="U41" i="48"/>
  <c r="T41" i="48"/>
  <c r="S41" i="48"/>
  <c r="R41" i="48"/>
  <c r="Q41" i="48"/>
  <c r="P41" i="48"/>
  <c r="O41" i="48"/>
  <c r="N41" i="48"/>
  <c r="M41" i="48"/>
  <c r="L41" i="48"/>
  <c r="K41" i="48"/>
  <c r="W30" i="6" l="1"/>
  <c r="X30" i="6" s="1"/>
  <c r="Y30" i="6" s="1"/>
  <c r="Z30" i="6" s="1"/>
  <c r="AA30" i="6" s="1"/>
  <c r="AB30" i="6" s="1"/>
  <c r="AC30" i="6" s="1"/>
  <c r="AD30" i="6" s="1"/>
  <c r="AE30" i="6" s="1"/>
  <c r="AF30" i="6" s="1"/>
  <c r="AG30" i="6" s="1"/>
  <c r="AH30" i="6" s="1"/>
  <c r="AI30" i="6" s="1"/>
  <c r="AJ30" i="6" s="1"/>
  <c r="AK30" i="6" s="1"/>
  <c r="AL30" i="6" s="1"/>
  <c r="AM30" i="6" s="1"/>
  <c r="AN30" i="6" s="1"/>
  <c r="AO30" i="6" s="1"/>
  <c r="AP30" i="6" s="1"/>
  <c r="AQ30" i="6" s="1"/>
  <c r="AR30" i="6" s="1"/>
  <c r="AS30" i="6" s="1"/>
  <c r="AT30" i="6" s="1"/>
  <c r="AU30" i="6" s="1"/>
  <c r="AV30" i="6" s="1"/>
  <c r="AW30" i="6" s="1"/>
  <c r="AX30" i="6" s="1"/>
  <c r="I47" i="6" l="1"/>
  <c r="G41" i="48" l="1"/>
  <c r="G59" i="6" l="1"/>
  <c r="G60" i="6"/>
  <c r="G61" i="6"/>
  <c r="G62" i="6"/>
  <c r="K32" i="6" l="1"/>
  <c r="K35" i="6" s="1"/>
  <c r="K17" i="6" l="1"/>
  <c r="I153" i="6" l="1"/>
  <c r="K130" i="6" l="1"/>
  <c r="K131" i="6" s="1"/>
  <c r="L130" i="6" s="1"/>
  <c r="L131" i="6" l="1"/>
  <c r="I71" i="6"/>
  <c r="M131" i="6" l="1"/>
  <c r="M130" i="6"/>
  <c r="K145" i="6"/>
  <c r="N130" i="6" l="1"/>
  <c r="N131" i="6"/>
  <c r="K42" i="27"/>
  <c r="O130" i="6" l="1"/>
  <c r="O131" i="6"/>
  <c r="P130" i="6" l="1"/>
  <c r="P131" i="6"/>
  <c r="X28" i="6"/>
  <c r="Y28" i="6" s="1"/>
  <c r="Z28" i="6" s="1"/>
  <c r="AA28" i="6" s="1"/>
  <c r="AB28" i="6" s="1"/>
  <c r="AC28" i="6" s="1"/>
  <c r="AD28" i="6" s="1"/>
  <c r="AE28" i="6" s="1"/>
  <c r="AF28" i="6" s="1"/>
  <c r="AG28" i="6" s="1"/>
  <c r="AH28" i="6" s="1"/>
  <c r="AI28" i="6" s="1"/>
  <c r="AJ28" i="6" s="1"/>
  <c r="AK28" i="6" s="1"/>
  <c r="AL28" i="6" s="1"/>
  <c r="AM28" i="6" s="1"/>
  <c r="AN28" i="6" s="1"/>
  <c r="AO28" i="6" s="1"/>
  <c r="AP28" i="6" s="1"/>
  <c r="AQ28" i="6" s="1"/>
  <c r="AR28" i="6" s="1"/>
  <c r="AS28" i="6" s="1"/>
  <c r="AT28" i="6" s="1"/>
  <c r="AU28" i="6" s="1"/>
  <c r="AV28" i="6" s="1"/>
  <c r="AW28" i="6" s="1"/>
  <c r="AX28" i="6" s="1"/>
  <c r="Q131" i="6" l="1"/>
  <c r="Q130" i="6"/>
  <c r="G138" i="27"/>
  <c r="I70" i="27"/>
  <c r="G70" i="27"/>
  <c r="U182" i="6"/>
  <c r="T182" i="6"/>
  <c r="S182" i="6"/>
  <c r="R182" i="6"/>
  <c r="Q182" i="6"/>
  <c r="P182" i="6"/>
  <c r="O182" i="6"/>
  <c r="N182" i="6"/>
  <c r="M182" i="6"/>
  <c r="L182" i="6"/>
  <c r="K182" i="6"/>
  <c r="G106" i="6"/>
  <c r="R131" i="6" l="1"/>
  <c r="R130" i="6"/>
  <c r="G70" i="68"/>
  <c r="S131" i="6" l="1"/>
  <c r="S130" i="6"/>
  <c r="G56" i="15"/>
  <c r="T131" i="6" l="1"/>
  <c r="T130" i="6"/>
  <c r="G82" i="6"/>
  <c r="U130" i="6" l="1"/>
  <c r="U131" i="6"/>
  <c r="E103" i="71"/>
  <c r="G103" i="71"/>
  <c r="I103" i="71"/>
  <c r="E104" i="71"/>
  <c r="G104" i="71"/>
  <c r="I104" i="71"/>
  <c r="E106" i="71"/>
  <c r="G106" i="71"/>
  <c r="I106" i="71"/>
  <c r="E107" i="71"/>
  <c r="G107" i="71"/>
  <c r="I107" i="71"/>
  <c r="E108" i="71"/>
  <c r="G108" i="71"/>
  <c r="I108" i="71"/>
  <c r="E109" i="71"/>
  <c r="G109" i="71"/>
  <c r="I109" i="71"/>
  <c r="E110" i="71"/>
  <c r="G110" i="71"/>
  <c r="I110" i="71"/>
  <c r="E111" i="71"/>
  <c r="G111" i="71"/>
  <c r="I111" i="71"/>
  <c r="I56" i="71"/>
  <c r="I57" i="71"/>
  <c r="I59" i="71"/>
  <c r="I60" i="71"/>
  <c r="I61" i="71"/>
  <c r="I63" i="71"/>
  <c r="I64" i="71"/>
  <c r="I66" i="71"/>
  <c r="I67" i="71"/>
  <c r="I68" i="71"/>
  <c r="I69" i="71"/>
  <c r="I71" i="71"/>
  <c r="I72" i="71"/>
  <c r="I74" i="71"/>
  <c r="I75" i="71"/>
  <c r="I76" i="71"/>
  <c r="I77" i="71"/>
  <c r="I79" i="71"/>
  <c r="I80" i="71"/>
  <c r="I81" i="71"/>
  <c r="I82" i="71"/>
  <c r="I84" i="71"/>
  <c r="I85" i="71"/>
  <c r="I86" i="71"/>
  <c r="I87" i="71"/>
  <c r="I89" i="71"/>
  <c r="I90" i="71"/>
  <c r="I91" i="71"/>
  <c r="I92" i="71"/>
  <c r="I93" i="71"/>
  <c r="I95" i="71"/>
  <c r="I96" i="71"/>
  <c r="I97" i="71"/>
  <c r="I98" i="71"/>
  <c r="I100" i="71"/>
  <c r="I101" i="71"/>
  <c r="I55" i="71"/>
  <c r="E100" i="71"/>
  <c r="G100" i="71"/>
  <c r="E101" i="71"/>
  <c r="G101" i="71"/>
  <c r="E95" i="71"/>
  <c r="E96" i="71"/>
  <c r="G96" i="71"/>
  <c r="E97" i="71"/>
  <c r="G97" i="71"/>
  <c r="E98" i="71"/>
  <c r="G98" i="71"/>
  <c r="E69" i="71"/>
  <c r="G69" i="71"/>
  <c r="E71" i="71"/>
  <c r="G71" i="71"/>
  <c r="E72" i="71"/>
  <c r="G72" i="71"/>
  <c r="E74" i="71"/>
  <c r="E75" i="71"/>
  <c r="G75" i="71"/>
  <c r="E76" i="71"/>
  <c r="G76" i="71"/>
  <c r="E77" i="71"/>
  <c r="G77" i="71"/>
  <c r="E79" i="71"/>
  <c r="E80" i="71"/>
  <c r="G80" i="71"/>
  <c r="E81" i="71"/>
  <c r="G81" i="71"/>
  <c r="E82" i="71"/>
  <c r="G82" i="71"/>
  <c r="E84" i="71"/>
  <c r="E85" i="71"/>
  <c r="G85" i="71"/>
  <c r="E86" i="71"/>
  <c r="G86" i="71"/>
  <c r="E87" i="71"/>
  <c r="G87" i="71"/>
  <c r="E89" i="71"/>
  <c r="E90" i="71"/>
  <c r="E91" i="71"/>
  <c r="G91" i="71"/>
  <c r="E92" i="71"/>
  <c r="G92" i="71"/>
  <c r="E93" i="71"/>
  <c r="G93" i="71"/>
  <c r="E56" i="71"/>
  <c r="G56" i="71"/>
  <c r="E57" i="71"/>
  <c r="G57" i="71"/>
  <c r="E59" i="71"/>
  <c r="G59" i="71"/>
  <c r="E60" i="71"/>
  <c r="G60" i="71"/>
  <c r="E61" i="71"/>
  <c r="G61" i="71"/>
  <c r="E63" i="71"/>
  <c r="G63" i="71"/>
  <c r="E64" i="71"/>
  <c r="G64" i="71"/>
  <c r="E66" i="71"/>
  <c r="G66" i="71"/>
  <c r="E67" i="71"/>
  <c r="G67" i="71"/>
  <c r="E68" i="71"/>
  <c r="G68" i="71"/>
  <c r="G55" i="71"/>
  <c r="E55" i="71"/>
  <c r="I37" i="71"/>
  <c r="E34" i="71"/>
  <c r="I34" i="71"/>
  <c r="E35" i="71"/>
  <c r="I35" i="71"/>
  <c r="E23" i="71"/>
  <c r="I23" i="71"/>
  <c r="E24" i="71"/>
  <c r="I24" i="71"/>
  <c r="E19" i="71"/>
  <c r="G19" i="71"/>
  <c r="I19" i="71"/>
  <c r="E20" i="71"/>
  <c r="G20" i="71"/>
  <c r="I20" i="71"/>
  <c r="V131" i="6" l="1"/>
  <c r="V130" i="6"/>
  <c r="I135" i="27"/>
  <c r="I134" i="27"/>
  <c r="W131" i="6" l="1"/>
  <c r="W130" i="6"/>
  <c r="I68" i="27"/>
  <c r="I58" i="27"/>
  <c r="X131" i="6" l="1"/>
  <c r="X130" i="6"/>
  <c r="I180" i="6"/>
  <c r="Y131" i="6" l="1"/>
  <c r="Y130" i="6"/>
  <c r="Z131" i="6" l="1"/>
  <c r="Z130" i="6"/>
  <c r="AA130" i="6" l="1"/>
  <c r="AA131" i="6"/>
  <c r="AB131" i="6" l="1"/>
  <c r="AB130" i="6"/>
  <c r="G58" i="27"/>
  <c r="G44" i="15"/>
  <c r="I87" i="27"/>
  <c r="AC130" i="6" l="1"/>
  <c r="AC131" i="6"/>
  <c r="I73" i="27"/>
  <c r="I72" i="27"/>
  <c r="I74" i="27"/>
  <c r="I71" i="27"/>
  <c r="I69" i="27"/>
  <c r="G139" i="27"/>
  <c r="G137" i="27"/>
  <c r="I133" i="27"/>
  <c r="I132" i="27"/>
  <c r="I131" i="27"/>
  <c r="I118" i="27"/>
  <c r="I105" i="27"/>
  <c r="I106" i="27"/>
  <c r="I104" i="27"/>
  <c r="I103" i="27"/>
  <c r="I102" i="27"/>
  <c r="I101" i="27"/>
  <c r="I91" i="27"/>
  <c r="I92" i="27"/>
  <c r="I90" i="27"/>
  <c r="I89" i="27"/>
  <c r="I88" i="27"/>
  <c r="I86" i="27"/>
  <c r="I85" i="27"/>
  <c r="I82" i="27"/>
  <c r="I83" i="27"/>
  <c r="I81" i="27"/>
  <c r="I80" i="27"/>
  <c r="I79" i="27"/>
  <c r="I78" i="27"/>
  <c r="G113" i="27"/>
  <c r="G112" i="27"/>
  <c r="G111" i="27"/>
  <c r="G110" i="27"/>
  <c r="G109" i="27"/>
  <c r="G108" i="27"/>
  <c r="G73" i="27"/>
  <c r="G72" i="27"/>
  <c r="G117" i="6"/>
  <c r="G90" i="71" s="1"/>
  <c r="G116" i="6"/>
  <c r="G89" i="71" s="1"/>
  <c r="G122" i="6"/>
  <c r="G95" i="71" s="1"/>
  <c r="G111" i="6"/>
  <c r="G84" i="71" s="1"/>
  <c r="G105" i="6"/>
  <c r="G79" i="71" s="1"/>
  <c r="G100" i="6"/>
  <c r="G74" i="71" s="1"/>
  <c r="AD130" i="6" l="1"/>
  <c r="AD131" i="6"/>
  <c r="H37" i="71"/>
  <c r="E37" i="71"/>
  <c r="G53" i="6"/>
  <c r="G35" i="71" s="1"/>
  <c r="G52" i="6"/>
  <c r="G34" i="71" s="1"/>
  <c r="I49" i="6"/>
  <c r="H49" i="6"/>
  <c r="G49" i="6"/>
  <c r="E49" i="6"/>
  <c r="I48" i="6"/>
  <c r="H48" i="6"/>
  <c r="G48" i="6"/>
  <c r="E48" i="6"/>
  <c r="G23" i="71"/>
  <c r="AE130" i="6" l="1"/>
  <c r="AE131" i="6"/>
  <c r="G37" i="71"/>
  <c r="G24" i="71"/>
  <c r="G150" i="27"/>
  <c r="G74" i="27"/>
  <c r="G71" i="27"/>
  <c r="G69" i="27"/>
  <c r="G68" i="27"/>
  <c r="AF131" i="6" l="1"/>
  <c r="AF130" i="6"/>
  <c r="AX43" i="15"/>
  <c r="AW43" i="15"/>
  <c r="AV43" i="15"/>
  <c r="AU43" i="15"/>
  <c r="AT43" i="15"/>
  <c r="AS43" i="15"/>
  <c r="AR43" i="15"/>
  <c r="AQ43" i="15"/>
  <c r="AP43" i="15"/>
  <c r="AO43" i="15"/>
  <c r="AN43" i="15"/>
  <c r="AM43" i="15"/>
  <c r="AL43" i="15"/>
  <c r="AK43" i="15"/>
  <c r="AJ43" i="15"/>
  <c r="AI43" i="15"/>
  <c r="AH43" i="15"/>
  <c r="AG43" i="15"/>
  <c r="AF43" i="15"/>
  <c r="AE43" i="15"/>
  <c r="AD43" i="15"/>
  <c r="AC43" i="15"/>
  <c r="AB43" i="15"/>
  <c r="AA43" i="15"/>
  <c r="Z43" i="15"/>
  <c r="Y43" i="15"/>
  <c r="X43" i="15"/>
  <c r="W43" i="15"/>
  <c r="V43" i="15"/>
  <c r="U43" i="15"/>
  <c r="T43" i="15"/>
  <c r="S43" i="15"/>
  <c r="R43" i="15"/>
  <c r="Q43" i="15"/>
  <c r="P43" i="15"/>
  <c r="O43" i="15"/>
  <c r="N43" i="15"/>
  <c r="M43" i="15"/>
  <c r="L43" i="15"/>
  <c r="K43" i="15"/>
  <c r="AG131" i="6" l="1"/>
  <c r="AG130" i="6"/>
  <c r="G77" i="48"/>
  <c r="I73" i="48"/>
  <c r="G73" i="48"/>
  <c r="I72" i="48"/>
  <c r="G72" i="48"/>
  <c r="AH131" i="6" l="1"/>
  <c r="AH130" i="6"/>
  <c r="AI131" i="6" l="1"/>
  <c r="AI130" i="6"/>
  <c r="G54" i="15"/>
  <c r="G53" i="15"/>
  <c r="G48" i="15"/>
  <c r="G47" i="15"/>
  <c r="G46" i="15"/>
  <c r="G45" i="15"/>
  <c r="G43" i="15"/>
  <c r="G42" i="15"/>
  <c r="G41" i="15"/>
  <c r="G40" i="15"/>
  <c r="G36" i="15"/>
  <c r="G35" i="15"/>
  <c r="G34" i="15"/>
  <c r="G33" i="15"/>
  <c r="G32" i="15"/>
  <c r="G38" i="21"/>
  <c r="G36" i="21"/>
  <c r="G34" i="21"/>
  <c r="G32" i="21"/>
  <c r="G30" i="21"/>
  <c r="G28" i="21"/>
  <c r="G77" i="68"/>
  <c r="G73" i="68"/>
  <c r="G72" i="68"/>
  <c r="G69" i="68"/>
  <c r="G60" i="68"/>
  <c r="AI60" i="68"/>
  <c r="AI63" i="68" s="1"/>
  <c r="AH60" i="68"/>
  <c r="AH63" i="68" s="1"/>
  <c r="AG60" i="68"/>
  <c r="AG63" i="68" s="1"/>
  <c r="AF60" i="68"/>
  <c r="AF63" i="68" s="1"/>
  <c r="AE60" i="68"/>
  <c r="AE63" i="68" s="1"/>
  <c r="AD60" i="68"/>
  <c r="AD63" i="68" s="1"/>
  <c r="AC60" i="68"/>
  <c r="AC63" i="68" s="1"/>
  <c r="AB60" i="68"/>
  <c r="AB63" i="68" s="1"/>
  <c r="AA60" i="68"/>
  <c r="AA63" i="68" s="1"/>
  <c r="Z60" i="68"/>
  <c r="Z63" i="68" s="1"/>
  <c r="Y60" i="68"/>
  <c r="Y63" i="68" s="1"/>
  <c r="X60" i="68"/>
  <c r="X63" i="68" s="1"/>
  <c r="W60" i="68"/>
  <c r="W63" i="68" s="1"/>
  <c r="V60" i="68"/>
  <c r="V63" i="68" s="1"/>
  <c r="U60" i="68"/>
  <c r="U63" i="68" s="1"/>
  <c r="T60" i="68"/>
  <c r="T63" i="68" s="1"/>
  <c r="S60" i="68"/>
  <c r="S63" i="68" s="1"/>
  <c r="R60" i="68"/>
  <c r="R63" i="68" s="1"/>
  <c r="Q60" i="68"/>
  <c r="Q63" i="68" s="1"/>
  <c r="P60" i="68"/>
  <c r="P63" i="68" s="1"/>
  <c r="O60" i="68"/>
  <c r="O63" i="68" s="1"/>
  <c r="N60" i="68"/>
  <c r="N63" i="68" s="1"/>
  <c r="M60" i="68"/>
  <c r="M63" i="68" s="1"/>
  <c r="L60" i="68"/>
  <c r="L63" i="68" s="1"/>
  <c r="K60" i="68"/>
  <c r="K63" i="68" s="1"/>
  <c r="K52" i="68"/>
  <c r="G68" i="48"/>
  <c r="G67" i="48"/>
  <c r="G63" i="48"/>
  <c r="G62" i="48"/>
  <c r="G54" i="48"/>
  <c r="I54" i="48"/>
  <c r="G43" i="48"/>
  <c r="G42" i="48"/>
  <c r="G40" i="48"/>
  <c r="G39" i="48"/>
  <c r="G38" i="48"/>
  <c r="G65" i="48"/>
  <c r="G75" i="68" s="1"/>
  <c r="G151" i="27"/>
  <c r="I148" i="27"/>
  <c r="G148" i="27"/>
  <c r="G146" i="27"/>
  <c r="G145" i="27"/>
  <c r="G144" i="27"/>
  <c r="G140" i="27"/>
  <c r="G114" i="27"/>
  <c r="G56" i="27"/>
  <c r="G66" i="27"/>
  <c r="G64" i="27"/>
  <c r="G63" i="27"/>
  <c r="G65" i="27"/>
  <c r="N56" i="27"/>
  <c r="M56" i="27"/>
  <c r="L56" i="27"/>
  <c r="K56" i="27"/>
  <c r="AX42" i="15"/>
  <c r="AW42" i="15"/>
  <c r="AV42" i="15"/>
  <c r="AU42" i="15"/>
  <c r="AT42" i="15"/>
  <c r="AS42" i="15"/>
  <c r="AR42" i="15"/>
  <c r="AQ42" i="15"/>
  <c r="AP42" i="15"/>
  <c r="AO42" i="15"/>
  <c r="AN42" i="15"/>
  <c r="AM42" i="15"/>
  <c r="AL42" i="15"/>
  <c r="AK42" i="15"/>
  <c r="AJ42" i="15"/>
  <c r="AI42" i="15"/>
  <c r="AH42" i="15"/>
  <c r="AG42" i="15"/>
  <c r="AF42" i="15"/>
  <c r="AE42" i="15"/>
  <c r="AD42" i="15"/>
  <c r="AC42" i="15"/>
  <c r="AB42" i="15"/>
  <c r="AA42" i="15"/>
  <c r="Z42" i="15"/>
  <c r="Y42" i="15"/>
  <c r="X42" i="15"/>
  <c r="W42" i="15"/>
  <c r="V42" i="15"/>
  <c r="U42" i="15"/>
  <c r="T42" i="15"/>
  <c r="S42" i="15"/>
  <c r="R42" i="15"/>
  <c r="Q42" i="15"/>
  <c r="P42" i="15"/>
  <c r="O42" i="15"/>
  <c r="N42" i="15"/>
  <c r="M42" i="15"/>
  <c r="L42" i="15"/>
  <c r="K42" i="15"/>
  <c r="AX33" i="15"/>
  <c r="AW33" i="15"/>
  <c r="AV33" i="15"/>
  <c r="AU33" i="15"/>
  <c r="AT33" i="15"/>
  <c r="AS33" i="15"/>
  <c r="AR33" i="15"/>
  <c r="AQ33" i="15"/>
  <c r="AP33" i="15"/>
  <c r="AO33" i="15"/>
  <c r="AN33" i="15"/>
  <c r="AM33" i="15"/>
  <c r="AL33" i="15"/>
  <c r="AK33" i="15"/>
  <c r="AJ33" i="15"/>
  <c r="AI33" i="15"/>
  <c r="AH33" i="15"/>
  <c r="AG33" i="15"/>
  <c r="AF33" i="15"/>
  <c r="AE33" i="15"/>
  <c r="AD33" i="15"/>
  <c r="AC33" i="15"/>
  <c r="AB33" i="15"/>
  <c r="AA33" i="15"/>
  <c r="Z33" i="15"/>
  <c r="Y33" i="15"/>
  <c r="X33" i="15"/>
  <c r="W33" i="15"/>
  <c r="V33" i="15"/>
  <c r="U33" i="15"/>
  <c r="T33" i="15"/>
  <c r="S33" i="15"/>
  <c r="R33" i="15"/>
  <c r="Q33" i="15"/>
  <c r="P33" i="15"/>
  <c r="O33" i="15"/>
  <c r="N33" i="15"/>
  <c r="M33" i="15"/>
  <c r="L33" i="15"/>
  <c r="K33" i="15"/>
  <c r="AJ131" i="6" l="1"/>
  <c r="AJ130" i="6"/>
  <c r="AK131" i="6" l="1"/>
  <c r="AK130" i="6"/>
  <c r="I152" i="6"/>
  <c r="I157" i="6" l="1"/>
  <c r="G41" i="22" s="1"/>
  <c r="I154" i="6"/>
  <c r="AL130" i="6"/>
  <c r="AL131" i="6"/>
  <c r="E44" i="71"/>
  <c r="AM131" i="6" l="1"/>
  <c r="AM130" i="6"/>
  <c r="G34" i="27"/>
  <c r="I34" i="27"/>
  <c r="G35" i="27"/>
  <c r="I35" i="27"/>
  <c r="AN131" i="6" l="1"/>
  <c r="AN130" i="6"/>
  <c r="I133" i="71"/>
  <c r="G133" i="71"/>
  <c r="E133" i="71"/>
  <c r="I128" i="71"/>
  <c r="I129" i="71"/>
  <c r="I127" i="71"/>
  <c r="G127" i="71"/>
  <c r="G128" i="71"/>
  <c r="G129" i="71"/>
  <c r="E128" i="71"/>
  <c r="E129" i="71"/>
  <c r="E127" i="71"/>
  <c r="I123" i="71"/>
  <c r="I122" i="71"/>
  <c r="G122" i="71"/>
  <c r="E122" i="71"/>
  <c r="I115" i="71"/>
  <c r="I116" i="71"/>
  <c r="I117" i="71"/>
  <c r="I118" i="71"/>
  <c r="G115" i="71"/>
  <c r="G116" i="71"/>
  <c r="G117" i="71"/>
  <c r="G118" i="71"/>
  <c r="E115" i="71"/>
  <c r="E116" i="71"/>
  <c r="E117" i="71"/>
  <c r="E118" i="71"/>
  <c r="I44" i="71"/>
  <c r="I45" i="71"/>
  <c r="I47" i="71"/>
  <c r="I48" i="71"/>
  <c r="I50" i="71"/>
  <c r="I51" i="71"/>
  <c r="I43" i="71"/>
  <c r="G43" i="71"/>
  <c r="G44" i="71"/>
  <c r="G45" i="71"/>
  <c r="G47" i="71"/>
  <c r="G48" i="71"/>
  <c r="G50" i="71"/>
  <c r="G51" i="71"/>
  <c r="E45" i="71"/>
  <c r="E47" i="71"/>
  <c r="E48" i="71"/>
  <c r="E50" i="71"/>
  <c r="E51" i="71"/>
  <c r="E43" i="71"/>
  <c r="I33" i="71"/>
  <c r="E33" i="71"/>
  <c r="I29" i="71"/>
  <c r="I30" i="71"/>
  <c r="I31" i="71"/>
  <c r="I28" i="71"/>
  <c r="E29" i="71"/>
  <c r="G29" i="71"/>
  <c r="E30" i="71"/>
  <c r="G30" i="71"/>
  <c r="E31" i="71"/>
  <c r="G31" i="71"/>
  <c r="G28" i="71"/>
  <c r="E28" i="71"/>
  <c r="I22" i="71"/>
  <c r="I18" i="71"/>
  <c r="G18" i="71"/>
  <c r="H18" i="71"/>
  <c r="H22" i="71"/>
  <c r="E22" i="71"/>
  <c r="E18" i="71"/>
  <c r="I15" i="71"/>
  <c r="I16" i="71"/>
  <c r="I14" i="71"/>
  <c r="E15" i="71"/>
  <c r="E16" i="71"/>
  <c r="E14" i="71"/>
  <c r="I7" i="71"/>
  <c r="I8" i="71"/>
  <c r="I6" i="71"/>
  <c r="G7" i="71"/>
  <c r="G8" i="71"/>
  <c r="G6" i="71"/>
  <c r="E7" i="71"/>
  <c r="E8" i="71"/>
  <c r="E6" i="71"/>
  <c r="AO131" i="6" l="1"/>
  <c r="AO130" i="6"/>
  <c r="V182" i="6"/>
  <c r="K15" i="67"/>
  <c r="AP131" i="6" l="1"/>
  <c r="AP130" i="6"/>
  <c r="W182" i="6"/>
  <c r="I192" i="6"/>
  <c r="G34" i="6"/>
  <c r="AQ131" i="6" l="1"/>
  <c r="AQ130" i="6"/>
  <c r="X182" i="6"/>
  <c r="I194" i="6"/>
  <c r="I195" i="6" s="1"/>
  <c r="AR131" i="6" l="1"/>
  <c r="AR130" i="6"/>
  <c r="Y182" i="6"/>
  <c r="G28" i="6"/>
  <c r="G22" i="71" s="1"/>
  <c r="AS130" i="6" l="1"/>
  <c r="AS131" i="6"/>
  <c r="Z182" i="6"/>
  <c r="E192" i="6"/>
  <c r="E60" i="6"/>
  <c r="E61" i="6"/>
  <c r="E62" i="6"/>
  <c r="E59" i="6"/>
  <c r="E35" i="6"/>
  <c r="E36" i="6"/>
  <c r="E34" i="6"/>
  <c r="G51" i="6"/>
  <c r="G33" i="71" s="1"/>
  <c r="G47" i="6"/>
  <c r="AT131" i="6" l="1"/>
  <c r="AT130" i="6"/>
  <c r="AA182" i="6"/>
  <c r="H182" i="6"/>
  <c r="H123" i="71" s="1"/>
  <c r="G20" i="6"/>
  <c r="G14" i="71" s="1"/>
  <c r="AU131" i="6" l="1"/>
  <c r="AU130" i="6"/>
  <c r="AB182" i="6"/>
  <c r="G15" i="21"/>
  <c r="G14" i="21"/>
  <c r="AV131" i="6" l="1"/>
  <c r="AV130" i="6"/>
  <c r="AC182" i="6"/>
  <c r="E11" i="66"/>
  <c r="E10" i="66"/>
  <c r="G182" i="6"/>
  <c r="G123" i="71" s="1"/>
  <c r="E182" i="6"/>
  <c r="E123" i="71" s="1"/>
  <c r="H180" i="6"/>
  <c r="G180" i="6"/>
  <c r="E180" i="6"/>
  <c r="H47" i="6"/>
  <c r="E47" i="6"/>
  <c r="G24" i="21"/>
  <c r="G23" i="21"/>
  <c r="G21" i="21"/>
  <c r="G20" i="21"/>
  <c r="G18" i="21"/>
  <c r="G17" i="21"/>
  <c r="G12" i="21"/>
  <c r="G11" i="21"/>
  <c r="G9" i="21"/>
  <c r="G8" i="21"/>
  <c r="G40" i="68"/>
  <c r="G36" i="68"/>
  <c r="G35" i="68"/>
  <c r="G32" i="68"/>
  <c r="G40" i="67"/>
  <c r="G35" i="67"/>
  <c r="G36" i="67"/>
  <c r="G32" i="67"/>
  <c r="G34" i="48"/>
  <c r="G33" i="48"/>
  <c r="G29" i="48"/>
  <c r="G28" i="48"/>
  <c r="G13" i="48"/>
  <c r="G12" i="48"/>
  <c r="G11" i="48"/>
  <c r="G10" i="48"/>
  <c r="G9" i="48"/>
  <c r="G8" i="48"/>
  <c r="G34" i="4"/>
  <c r="G33" i="4"/>
  <c r="G29" i="4"/>
  <c r="G28" i="4"/>
  <c r="G13" i="4"/>
  <c r="G12" i="4"/>
  <c r="G11" i="4"/>
  <c r="G10" i="4"/>
  <c r="G9" i="4"/>
  <c r="G8" i="4"/>
  <c r="G41" i="63"/>
  <c r="G40" i="63"/>
  <c r="G38" i="63"/>
  <c r="G37" i="63"/>
  <c r="G35" i="63"/>
  <c r="G34" i="63"/>
  <c r="G25" i="63"/>
  <c r="G17" i="63"/>
  <c r="G15" i="63"/>
  <c r="G14" i="63"/>
  <c r="G13" i="63"/>
  <c r="G12" i="63"/>
  <c r="G11" i="63"/>
  <c r="G10" i="63"/>
  <c r="G9" i="63"/>
  <c r="G50" i="27"/>
  <c r="G49" i="27"/>
  <c r="G48" i="27"/>
  <c r="G47" i="27"/>
  <c r="G46" i="27"/>
  <c r="G45" i="27"/>
  <c r="G44" i="27"/>
  <c r="G43" i="27"/>
  <c r="G42" i="27"/>
  <c r="G28" i="27"/>
  <c r="G27" i="27"/>
  <c r="G26" i="27"/>
  <c r="G25" i="27"/>
  <c r="G24" i="27"/>
  <c r="G26" i="15"/>
  <c r="G25" i="15"/>
  <c r="G24" i="15"/>
  <c r="G23" i="15"/>
  <c r="G22" i="15"/>
  <c r="G21" i="15"/>
  <c r="G20" i="15"/>
  <c r="G19" i="15"/>
  <c r="G36" i="6"/>
  <c r="G35" i="6"/>
  <c r="G22" i="6"/>
  <c r="G16" i="71" s="1"/>
  <c r="G21" i="6"/>
  <c r="G15" i="71" s="1"/>
  <c r="AW131" i="6" l="1"/>
  <c r="AW130" i="6"/>
  <c r="AD182" i="6"/>
  <c r="K15" i="68"/>
  <c r="E23" i="15"/>
  <c r="AX131" i="6" l="1"/>
  <c r="AX130" i="6"/>
  <c r="AE182" i="6"/>
  <c r="H32" i="6"/>
  <c r="I7" i="6"/>
  <c r="N32" i="6" l="1"/>
  <c r="Q32" i="6"/>
  <c r="P32" i="6"/>
  <c r="L32" i="6"/>
  <c r="O32" i="6"/>
  <c r="M32" i="6"/>
  <c r="R32" i="6"/>
  <c r="S32" i="6"/>
  <c r="T32" i="6"/>
  <c r="U32" i="6"/>
  <c r="V32" i="6"/>
  <c r="W32" i="6"/>
  <c r="X32" i="6"/>
  <c r="Y32" i="6"/>
  <c r="Z32" i="6"/>
  <c r="AA32" i="6"/>
  <c r="AB32" i="6"/>
  <c r="AC32" i="6"/>
  <c r="AD32" i="6"/>
  <c r="AE32" i="6"/>
  <c r="AE34" i="6" s="1"/>
  <c r="AF32" i="6"/>
  <c r="AF36" i="6" s="1"/>
  <c r="AF182" i="6"/>
  <c r="C4" i="22"/>
  <c r="AE35" i="6" l="1"/>
  <c r="AE36" i="6"/>
  <c r="M36" i="6"/>
  <c r="M34" i="6"/>
  <c r="M35" i="6"/>
  <c r="W35" i="6"/>
  <c r="W34" i="6"/>
  <c r="W36" i="6"/>
  <c r="L34" i="6"/>
  <c r="L35" i="6"/>
  <c r="L36" i="6"/>
  <c r="Z36" i="6"/>
  <c r="Z35" i="6"/>
  <c r="Z34" i="6"/>
  <c r="O36" i="6"/>
  <c r="O34" i="6"/>
  <c r="O35" i="6"/>
  <c r="AD36" i="6"/>
  <c r="AD34" i="6"/>
  <c r="AD35" i="6"/>
  <c r="V35" i="6"/>
  <c r="V34" i="6"/>
  <c r="V36" i="6"/>
  <c r="P34" i="6"/>
  <c r="P35" i="6"/>
  <c r="P36" i="6"/>
  <c r="Q36" i="6"/>
  <c r="Q34" i="6"/>
  <c r="Q35" i="6"/>
  <c r="AB35" i="6"/>
  <c r="AB34" i="6"/>
  <c r="AB36" i="6"/>
  <c r="T36" i="6"/>
  <c r="T34" i="6"/>
  <c r="T35" i="6"/>
  <c r="N36" i="6"/>
  <c r="N35" i="6"/>
  <c r="N34" i="6"/>
  <c r="R36" i="6"/>
  <c r="R34" i="6"/>
  <c r="R35" i="6"/>
  <c r="Y36" i="6"/>
  <c r="Y35" i="6"/>
  <c r="Y34" i="6"/>
  <c r="X36" i="6"/>
  <c r="X34" i="6"/>
  <c r="X35" i="6"/>
  <c r="AC36" i="6"/>
  <c r="AC35" i="6"/>
  <c r="AC34" i="6"/>
  <c r="U35" i="6"/>
  <c r="U34" i="6"/>
  <c r="U36" i="6"/>
  <c r="AA36" i="6"/>
  <c r="AA35" i="6"/>
  <c r="AA34" i="6"/>
  <c r="S36" i="6"/>
  <c r="S34" i="6"/>
  <c r="S35" i="6"/>
  <c r="K36" i="6"/>
  <c r="K34" i="6"/>
  <c r="K168" i="6"/>
  <c r="AF35" i="6"/>
  <c r="AF34" i="6"/>
  <c r="AG32" i="6"/>
  <c r="AG35" i="6" s="1"/>
  <c r="AG182" i="6"/>
  <c r="G23" i="67"/>
  <c r="AG34" i="6" l="1"/>
  <c r="AH32" i="6"/>
  <c r="AH36" i="6" s="1"/>
  <c r="AH182" i="6"/>
  <c r="AG36" i="6"/>
  <c r="K14" i="27"/>
  <c r="N168" i="6"/>
  <c r="N13" i="15" s="1"/>
  <c r="M168" i="6"/>
  <c r="M13" i="15" s="1"/>
  <c r="AC168" i="6"/>
  <c r="AC14" i="27" s="1"/>
  <c r="AC109" i="27" s="1"/>
  <c r="R168" i="6"/>
  <c r="R14" i="27" s="1"/>
  <c r="R109" i="27" s="1"/>
  <c r="W168" i="6"/>
  <c r="O168" i="6"/>
  <c r="AG168" i="6"/>
  <c r="AD168" i="6"/>
  <c r="Z168" i="6"/>
  <c r="S168" i="6"/>
  <c r="U168" i="6"/>
  <c r="AF168" i="6"/>
  <c r="AB168" i="6"/>
  <c r="AA168" i="6"/>
  <c r="V168" i="6"/>
  <c r="AE168" i="6"/>
  <c r="X168" i="6"/>
  <c r="Y168" i="6"/>
  <c r="T168" i="6"/>
  <c r="P168" i="6"/>
  <c r="Q168" i="6"/>
  <c r="L168" i="6"/>
  <c r="G23" i="68"/>
  <c r="G66" i="66"/>
  <c r="G65" i="66"/>
  <c r="G43" i="66"/>
  <c r="G59" i="66"/>
  <c r="G60" i="66"/>
  <c r="G42" i="66"/>
  <c r="L23" i="68"/>
  <c r="K23" i="68"/>
  <c r="L23" i="67"/>
  <c r="K23" i="67"/>
  <c r="G33" i="68"/>
  <c r="G33" i="67"/>
  <c r="I11" i="66"/>
  <c r="I66" i="66"/>
  <c r="I65" i="66"/>
  <c r="I60" i="66"/>
  <c r="I43" i="66"/>
  <c r="L42" i="66"/>
  <c r="K42" i="66"/>
  <c r="AI42" i="66"/>
  <c r="AI23" i="67"/>
  <c r="AH35" i="6" l="1"/>
  <c r="AI32" i="6"/>
  <c r="AI36" i="6" s="1"/>
  <c r="AI182" i="6"/>
  <c r="AH34" i="6"/>
  <c r="K109" i="27"/>
  <c r="K108" i="27"/>
  <c r="AC108" i="27"/>
  <c r="R108" i="27"/>
  <c r="K13" i="15"/>
  <c r="N14" i="27"/>
  <c r="N109" i="27" s="1"/>
  <c r="M14" i="27"/>
  <c r="M109" i="27" s="1"/>
  <c r="AC13" i="15"/>
  <c r="R13" i="15"/>
  <c r="P14" i="27"/>
  <c r="P109" i="27" s="1"/>
  <c r="P13" i="15"/>
  <c r="O13" i="15"/>
  <c r="O14" i="27"/>
  <c r="O109" i="27" s="1"/>
  <c r="AB13" i="15"/>
  <c r="AB14" i="27"/>
  <c r="AB109" i="27" s="1"/>
  <c r="T13" i="15"/>
  <c r="T14" i="27"/>
  <c r="T109" i="27" s="1"/>
  <c r="X14" i="27"/>
  <c r="X109" i="27" s="1"/>
  <c r="X13" i="15"/>
  <c r="W13" i="15"/>
  <c r="W14" i="27"/>
  <c r="W109" i="27" s="1"/>
  <c r="AE14" i="27"/>
  <c r="AE109" i="27" s="1"/>
  <c r="AE13" i="15"/>
  <c r="U13" i="15"/>
  <c r="U14" i="27"/>
  <c r="U109" i="27" s="1"/>
  <c r="Y14" i="27"/>
  <c r="Y109" i="27" s="1"/>
  <c r="Y13" i="15"/>
  <c r="V13" i="15"/>
  <c r="V14" i="27"/>
  <c r="V109" i="27" s="1"/>
  <c r="AF14" i="27"/>
  <c r="AF109" i="27" s="1"/>
  <c r="AF13" i="15"/>
  <c r="S13" i="15"/>
  <c r="S14" i="27"/>
  <c r="S109" i="27" s="1"/>
  <c r="AA14" i="27"/>
  <c r="AA109" i="27" s="1"/>
  <c r="AA13" i="15"/>
  <c r="L13" i="15"/>
  <c r="L14" i="27"/>
  <c r="L109" i="27" s="1"/>
  <c r="Z14" i="27"/>
  <c r="Z109" i="27" s="1"/>
  <c r="Z13" i="15"/>
  <c r="AD13" i="15"/>
  <c r="AD14" i="27"/>
  <c r="AD109" i="27" s="1"/>
  <c r="Q14" i="27"/>
  <c r="Q109" i="27" s="1"/>
  <c r="Q13" i="15"/>
  <c r="AG14" i="27"/>
  <c r="AG109" i="27" s="1"/>
  <c r="AG13" i="15"/>
  <c r="S183" i="6"/>
  <c r="AA183" i="6"/>
  <c r="AI183" i="6"/>
  <c r="Z183" i="6"/>
  <c r="L183" i="6"/>
  <c r="T183" i="6"/>
  <c r="AB183" i="6"/>
  <c r="M183" i="6"/>
  <c r="U183" i="6"/>
  <c r="AC183" i="6"/>
  <c r="K183" i="6"/>
  <c r="W183" i="6"/>
  <c r="N183" i="6"/>
  <c r="V183" i="6"/>
  <c r="AD183" i="6"/>
  <c r="O183" i="6"/>
  <c r="AE183" i="6"/>
  <c r="AH183" i="6"/>
  <c r="P183" i="6"/>
  <c r="X183" i="6"/>
  <c r="AF183" i="6"/>
  <c r="Q183" i="6"/>
  <c r="Y183" i="6"/>
  <c r="AG183" i="6"/>
  <c r="R183" i="6"/>
  <c r="Q23" i="67"/>
  <c r="O23" i="68"/>
  <c r="Y23" i="67"/>
  <c r="X23" i="67"/>
  <c r="AH23" i="68"/>
  <c r="P23" i="67"/>
  <c r="R23" i="68"/>
  <c r="AD23" i="68"/>
  <c r="M23" i="67"/>
  <c r="U23" i="67"/>
  <c r="AF23" i="67"/>
  <c r="N23" i="68"/>
  <c r="Z23" i="68"/>
  <c r="T23" i="67"/>
  <c r="AB23" i="67"/>
  <c r="V23" i="68"/>
  <c r="AC23" i="67"/>
  <c r="AG23" i="67"/>
  <c r="S23" i="68"/>
  <c r="W23" i="68"/>
  <c r="AA23" i="68"/>
  <c r="AE23" i="68"/>
  <c r="AI23" i="68"/>
  <c r="O23" i="67"/>
  <c r="S23" i="67"/>
  <c r="W23" i="67"/>
  <c r="AA23" i="67"/>
  <c r="AE23" i="67"/>
  <c r="M23" i="68"/>
  <c r="Q23" i="68"/>
  <c r="U23" i="68"/>
  <c r="Y23" i="68"/>
  <c r="AC23" i="68"/>
  <c r="AG23" i="68"/>
  <c r="N23" i="67"/>
  <c r="R23" i="67"/>
  <c r="V23" i="67"/>
  <c r="Z23" i="67"/>
  <c r="AD23" i="67"/>
  <c r="AH23" i="67"/>
  <c r="P23" i="68"/>
  <c r="T23" i="68"/>
  <c r="X23" i="68"/>
  <c r="AB23" i="68"/>
  <c r="AF23" i="68"/>
  <c r="O42" i="66"/>
  <c r="AE42" i="66"/>
  <c r="S42" i="66"/>
  <c r="AA42" i="66"/>
  <c r="W42" i="66"/>
  <c r="N42" i="66"/>
  <c r="R42" i="66"/>
  <c r="V42" i="66"/>
  <c r="Z42" i="66"/>
  <c r="AD42" i="66"/>
  <c r="AH42" i="66"/>
  <c r="P42" i="66"/>
  <c r="T42" i="66"/>
  <c r="X42" i="66"/>
  <c r="AB42" i="66"/>
  <c r="AF42" i="66"/>
  <c r="M42" i="66"/>
  <c r="Q42" i="66"/>
  <c r="U42" i="66"/>
  <c r="Y42" i="66"/>
  <c r="AC42" i="66"/>
  <c r="AG42" i="66"/>
  <c r="AI34" i="6" l="1"/>
  <c r="AI35" i="6"/>
  <c r="AI168" i="6" s="1"/>
  <c r="AJ32" i="6"/>
  <c r="AJ34" i="6" s="1"/>
  <c r="AJ182" i="6"/>
  <c r="AJ183" i="6" s="1"/>
  <c r="S108" i="27"/>
  <c r="AG108" i="27"/>
  <c r="Q108" i="27"/>
  <c r="AA108" i="27"/>
  <c r="Y108" i="27"/>
  <c r="X108" i="27"/>
  <c r="P108" i="27"/>
  <c r="AD108" i="27"/>
  <c r="U108" i="27"/>
  <c r="T108" i="27"/>
  <c r="AB108" i="27"/>
  <c r="Z108" i="27"/>
  <c r="AF108" i="27"/>
  <c r="AE108" i="27"/>
  <c r="M108" i="27"/>
  <c r="L108" i="27"/>
  <c r="V108" i="27"/>
  <c r="W108" i="27"/>
  <c r="O108" i="27"/>
  <c r="N108" i="27"/>
  <c r="AH168" i="6"/>
  <c r="AH26" i="68"/>
  <c r="AD26" i="68"/>
  <c r="Z26" i="68"/>
  <c r="V26" i="68"/>
  <c r="R26" i="68"/>
  <c r="N26" i="68"/>
  <c r="AI26" i="68"/>
  <c r="AG26" i="68"/>
  <c r="AF26" i="68"/>
  <c r="AE26" i="68"/>
  <c r="AC26" i="68"/>
  <c r="AB26" i="68"/>
  <c r="AA26" i="68"/>
  <c r="Y26" i="68"/>
  <c r="X26" i="68"/>
  <c r="W26" i="68"/>
  <c r="U26" i="68"/>
  <c r="T26" i="68"/>
  <c r="S26" i="68"/>
  <c r="Q26" i="68"/>
  <c r="P26" i="68"/>
  <c r="O26" i="68"/>
  <c r="M26" i="68"/>
  <c r="L26" i="68"/>
  <c r="K26" i="68"/>
  <c r="AI26" i="67"/>
  <c r="AE26" i="67"/>
  <c r="AA26" i="67"/>
  <c r="W26" i="67"/>
  <c r="S26" i="67"/>
  <c r="O26" i="67"/>
  <c r="K26" i="67"/>
  <c r="AH26" i="67"/>
  <c r="AG26" i="67"/>
  <c r="AF26" i="67"/>
  <c r="AD26" i="67"/>
  <c r="AC26" i="67"/>
  <c r="AB26" i="67"/>
  <c r="Z26" i="67"/>
  <c r="Y26" i="67"/>
  <c r="X26" i="67"/>
  <c r="V26" i="67"/>
  <c r="U26" i="67"/>
  <c r="T26" i="67"/>
  <c r="R26" i="67"/>
  <c r="Q26" i="67"/>
  <c r="P26" i="67"/>
  <c r="N26" i="67"/>
  <c r="M26" i="67"/>
  <c r="L26" i="67"/>
  <c r="K45" i="66"/>
  <c r="AJ35" i="6" l="1"/>
  <c r="AJ36" i="6"/>
  <c r="AK32" i="6"/>
  <c r="AK36" i="6" s="1"/>
  <c r="AK182" i="6"/>
  <c r="AK183" i="6" s="1"/>
  <c r="AI14" i="27"/>
  <c r="AI109" i="27" s="1"/>
  <c r="AI13" i="15"/>
  <c r="AH14" i="27"/>
  <c r="AH109" i="27" s="1"/>
  <c r="AH13" i="15"/>
  <c r="I57" i="6"/>
  <c r="L59" i="6" l="1"/>
  <c r="L13" i="63" s="1"/>
  <c r="AH59" i="6"/>
  <c r="Q59" i="6"/>
  <c r="Q13" i="63" s="1"/>
  <c r="S59" i="6"/>
  <c r="S13" i="63" s="1"/>
  <c r="U59" i="6"/>
  <c r="U13" i="63" s="1"/>
  <c r="W59" i="6"/>
  <c r="W13" i="63" s="1"/>
  <c r="Y59" i="6"/>
  <c r="Y13" i="63" s="1"/>
  <c r="AA59" i="6"/>
  <c r="AA13" i="63" s="1"/>
  <c r="AC59" i="6"/>
  <c r="AC13" i="63" s="1"/>
  <c r="AE59" i="6"/>
  <c r="AE13" i="63" s="1"/>
  <c r="AG59" i="6"/>
  <c r="AG13" i="63" s="1"/>
  <c r="M59" i="6"/>
  <c r="M13" i="63" s="1"/>
  <c r="AI59" i="6"/>
  <c r="AI13" i="63" s="1"/>
  <c r="K59" i="6"/>
  <c r="O59" i="6"/>
  <c r="O13" i="63" s="1"/>
  <c r="R59" i="6"/>
  <c r="R13" i="63" s="1"/>
  <c r="T59" i="6"/>
  <c r="T13" i="63" s="1"/>
  <c r="V59" i="6"/>
  <c r="V13" i="63" s="1"/>
  <c r="X59" i="6"/>
  <c r="X13" i="63" s="1"/>
  <c r="Z59" i="6"/>
  <c r="Z13" i="63" s="1"/>
  <c r="AB59" i="6"/>
  <c r="AB13" i="63" s="1"/>
  <c r="AD59" i="6"/>
  <c r="AD13" i="63" s="1"/>
  <c r="AF59" i="6"/>
  <c r="AF13" i="63" s="1"/>
  <c r="N59" i="6"/>
  <c r="P59" i="6"/>
  <c r="P13" i="63" s="1"/>
  <c r="AK35" i="6"/>
  <c r="AK34" i="6"/>
  <c r="AL32" i="6"/>
  <c r="AL36" i="6" s="1"/>
  <c r="AL182" i="6"/>
  <c r="AL183" i="6" s="1"/>
  <c r="AH108" i="27"/>
  <c r="AI108" i="27"/>
  <c r="AI62" i="6"/>
  <c r="AA62" i="6"/>
  <c r="S62" i="6"/>
  <c r="K62" i="6"/>
  <c r="AB61" i="6"/>
  <c r="T61" i="6"/>
  <c r="L61" i="6"/>
  <c r="AC60" i="6"/>
  <c r="U60" i="6"/>
  <c r="M60" i="6"/>
  <c r="N13" i="63"/>
  <c r="L60" i="6"/>
  <c r="AH62" i="6"/>
  <c r="Z62" i="6"/>
  <c r="R62" i="6"/>
  <c r="AI61" i="6"/>
  <c r="AA61" i="6"/>
  <c r="S61" i="6"/>
  <c r="K61" i="6"/>
  <c r="AB60" i="6"/>
  <c r="T60" i="6"/>
  <c r="AG62" i="6"/>
  <c r="Y62" i="6"/>
  <c r="Q62" i="6"/>
  <c r="AH61" i="6"/>
  <c r="Z61" i="6"/>
  <c r="R61" i="6"/>
  <c r="AI60" i="6"/>
  <c r="AA60" i="6"/>
  <c r="S60" i="6"/>
  <c r="K60" i="6"/>
  <c r="AF62" i="6"/>
  <c r="X62" i="6"/>
  <c r="P62" i="6"/>
  <c r="AG61" i="6"/>
  <c r="Y61" i="6"/>
  <c r="Q61" i="6"/>
  <c r="AH60" i="6"/>
  <c r="Z60" i="6"/>
  <c r="R60" i="6"/>
  <c r="M62" i="6"/>
  <c r="AE60" i="6"/>
  <c r="AE62" i="6"/>
  <c r="W62" i="6"/>
  <c r="O62" i="6"/>
  <c r="AF61" i="6"/>
  <c r="X61" i="6"/>
  <c r="P61" i="6"/>
  <c r="AG60" i="6"/>
  <c r="Y60" i="6"/>
  <c r="Q60" i="6"/>
  <c r="AH13" i="63"/>
  <c r="AC62" i="6"/>
  <c r="AD61" i="6"/>
  <c r="N61" i="6"/>
  <c r="O60" i="6"/>
  <c r="AD62" i="6"/>
  <c r="V62" i="6"/>
  <c r="N62" i="6"/>
  <c r="AE61" i="6"/>
  <c r="W61" i="6"/>
  <c r="O61" i="6"/>
  <c r="AF60" i="6"/>
  <c r="X60" i="6"/>
  <c r="P60" i="6"/>
  <c r="U62" i="6"/>
  <c r="V61" i="6"/>
  <c r="W60" i="6"/>
  <c r="AB62" i="6"/>
  <c r="T62" i="6"/>
  <c r="L62" i="6"/>
  <c r="AC61" i="6"/>
  <c r="U61" i="6"/>
  <c r="M61" i="6"/>
  <c r="AD60" i="6"/>
  <c r="V60" i="6"/>
  <c r="N60" i="6"/>
  <c r="AJ168" i="6"/>
  <c r="AL34" i="6" l="1"/>
  <c r="AL35" i="6"/>
  <c r="AM32" i="6"/>
  <c r="AM36" i="6" s="1"/>
  <c r="AM182" i="6"/>
  <c r="AM183" i="6" s="1"/>
  <c r="K13" i="63"/>
  <c r="AK168" i="6"/>
  <c r="AJ13" i="15"/>
  <c r="AJ14" i="27"/>
  <c r="AJ109" i="27" s="1"/>
  <c r="K8" i="4"/>
  <c r="K146" i="6"/>
  <c r="K176" i="6"/>
  <c r="K160" i="6" l="1"/>
  <c r="K170" i="6"/>
  <c r="K172" i="6" s="1"/>
  <c r="K166" i="6"/>
  <c r="K169" i="6" s="1"/>
  <c r="K15" i="27" s="1"/>
  <c r="K60" i="27" s="1"/>
  <c r="K163" i="6"/>
  <c r="AM34" i="6"/>
  <c r="AM35" i="6"/>
  <c r="AM168" i="6" s="1"/>
  <c r="AN32" i="6"/>
  <c r="AN36" i="6" s="1"/>
  <c r="AN182" i="6"/>
  <c r="AN183" i="6" s="1"/>
  <c r="AJ108" i="27"/>
  <c r="AL168" i="6"/>
  <c r="AK13" i="15"/>
  <c r="AK14" i="27"/>
  <c r="AK109" i="27" s="1"/>
  <c r="K18" i="6"/>
  <c r="K4" i="15" s="1"/>
  <c r="K159" i="6"/>
  <c r="K3" i="27"/>
  <c r="K3" i="15"/>
  <c r="L146" i="6"/>
  <c r="L145" i="6"/>
  <c r="L163" i="6" l="1"/>
  <c r="L170" i="6"/>
  <c r="L172" i="6" s="1"/>
  <c r="K171" i="6"/>
  <c r="K164" i="6"/>
  <c r="K10" i="27" s="1"/>
  <c r="L164" i="6"/>
  <c r="L10" i="27" s="1"/>
  <c r="AN35" i="6"/>
  <c r="AN34" i="6"/>
  <c r="AO32" i="6"/>
  <c r="AO36" i="6" s="1"/>
  <c r="AO182" i="6"/>
  <c r="AO183" i="6" s="1"/>
  <c r="K96" i="27"/>
  <c r="K94" i="27"/>
  <c r="AK108" i="27"/>
  <c r="K95" i="27"/>
  <c r="K97" i="27"/>
  <c r="K98" i="27"/>
  <c r="K111" i="27" s="1"/>
  <c r="K99" i="27"/>
  <c r="AM14" i="27"/>
  <c r="AM109" i="27" s="1"/>
  <c r="AM13" i="15"/>
  <c r="AL14" i="27"/>
  <c r="AL109" i="27" s="1"/>
  <c r="AL13" i="15"/>
  <c r="L18" i="6"/>
  <c r="M18" i="6" s="1"/>
  <c r="K177" i="6"/>
  <c r="L17" i="6"/>
  <c r="K4" i="27"/>
  <c r="L166" i="6"/>
  <c r="L160" i="6"/>
  <c r="L159" i="6"/>
  <c r="M146" i="6"/>
  <c r="M145" i="6"/>
  <c r="AO34" i="6" l="1"/>
  <c r="L171" i="6"/>
  <c r="M170" i="6"/>
  <c r="M172" i="6" s="1"/>
  <c r="M163" i="6"/>
  <c r="AO35" i="6"/>
  <c r="AO168" i="6" s="1"/>
  <c r="AP32" i="6"/>
  <c r="AP35" i="6" s="1"/>
  <c r="AP182" i="6"/>
  <c r="AP183" i="6" s="1"/>
  <c r="L169" i="6"/>
  <c r="L15" i="27" s="1"/>
  <c r="L60" i="27" s="1"/>
  <c r="K113" i="27"/>
  <c r="AL108" i="27"/>
  <c r="AM108" i="27"/>
  <c r="AN168" i="6"/>
  <c r="M17" i="6"/>
  <c r="L177" i="6"/>
  <c r="L176" i="6"/>
  <c r="M166" i="6"/>
  <c r="M160" i="6"/>
  <c r="M159" i="6"/>
  <c r="N146" i="6"/>
  <c r="N145" i="6"/>
  <c r="N18" i="6"/>
  <c r="N17" i="6"/>
  <c r="N163" i="6" l="1"/>
  <c r="N164" i="6" s="1"/>
  <c r="N10" i="27" s="1"/>
  <c r="N170" i="6"/>
  <c r="M171" i="6"/>
  <c r="M164" i="6"/>
  <c r="M10" i="27" s="1"/>
  <c r="AP34" i="6"/>
  <c r="AP36" i="6"/>
  <c r="AQ32" i="6"/>
  <c r="AQ34" i="6" s="1"/>
  <c r="AQ182" i="6"/>
  <c r="AQ183" i="6" s="1"/>
  <c r="M169" i="6"/>
  <c r="M15" i="27" s="1"/>
  <c r="M60" i="27" s="1"/>
  <c r="L97" i="27"/>
  <c r="L95" i="27"/>
  <c r="L98" i="27"/>
  <c r="L111" i="27" s="1"/>
  <c r="L99" i="27"/>
  <c r="L96" i="27"/>
  <c r="L94" i="27"/>
  <c r="AO14" i="27"/>
  <c r="AO109" i="27" s="1"/>
  <c r="AO13" i="15"/>
  <c r="AN14" i="27"/>
  <c r="AN109" i="27" s="1"/>
  <c r="AN13" i="15"/>
  <c r="AP168" i="6"/>
  <c r="M176" i="6"/>
  <c r="M177" i="6"/>
  <c r="N166" i="6"/>
  <c r="N169" i="6" s="1"/>
  <c r="N159" i="6"/>
  <c r="N160" i="6"/>
  <c r="O146" i="6"/>
  <c r="O145" i="6"/>
  <c r="O18" i="6"/>
  <c r="O17" i="6"/>
  <c r="N171" i="6" l="1"/>
  <c r="N172" i="6"/>
  <c r="O170" i="6"/>
  <c r="O172" i="6" s="1"/>
  <c r="P145" i="6"/>
  <c r="O163" i="6"/>
  <c r="AQ36" i="6"/>
  <c r="AQ35" i="6"/>
  <c r="AQ168" i="6" s="1"/>
  <c r="AR32" i="6"/>
  <c r="AR35" i="6" s="1"/>
  <c r="AR182" i="6"/>
  <c r="AR183" i="6" s="1"/>
  <c r="M98" i="27"/>
  <c r="M111" i="27" s="1"/>
  <c r="M94" i="27"/>
  <c r="M99" i="27"/>
  <c r="M96" i="27"/>
  <c r="M97" i="27"/>
  <c r="M95" i="27"/>
  <c r="L113" i="27"/>
  <c r="AN108" i="27"/>
  <c r="AO108" i="27"/>
  <c r="AP14" i="27"/>
  <c r="AP109" i="27" s="1"/>
  <c r="AP13" i="15"/>
  <c r="N15" i="27"/>
  <c r="N60" i="27" s="1"/>
  <c r="N177" i="6"/>
  <c r="N176" i="6"/>
  <c r="O166" i="6"/>
  <c r="O160" i="6"/>
  <c r="O159" i="6"/>
  <c r="P146" i="6"/>
  <c r="P18" i="6"/>
  <c r="P17" i="6"/>
  <c r="O171" i="6" l="1"/>
  <c r="P170" i="6"/>
  <c r="P172" i="6" s="1"/>
  <c r="O164" i="6"/>
  <c r="O10" i="27" s="1"/>
  <c r="M113" i="27"/>
  <c r="AR36" i="6"/>
  <c r="AR34" i="6"/>
  <c r="AS32" i="6"/>
  <c r="AS35" i="6" s="1"/>
  <c r="AS182" i="6"/>
  <c r="AS183" i="6" s="1"/>
  <c r="O169" i="6"/>
  <c r="O15" i="27" s="1"/>
  <c r="O60" i="27" s="1"/>
  <c r="AP108" i="27"/>
  <c r="N94" i="27"/>
  <c r="N95" i="27"/>
  <c r="N96" i="27"/>
  <c r="N97" i="27"/>
  <c r="N98" i="27"/>
  <c r="N111" i="27" s="1"/>
  <c r="N99" i="27"/>
  <c r="AQ13" i="15"/>
  <c r="AQ14" i="27"/>
  <c r="AQ109" i="27" s="1"/>
  <c r="AR168" i="6"/>
  <c r="I10" i="66"/>
  <c r="K12" i="66" s="1"/>
  <c r="O177" i="6"/>
  <c r="O176" i="6"/>
  <c r="P160" i="6"/>
  <c r="P159" i="6"/>
  <c r="P163" i="6" s="1"/>
  <c r="P164" i="6" s="1"/>
  <c r="P10" i="27" s="1"/>
  <c r="P166" i="6"/>
  <c r="Q146" i="6"/>
  <c r="Q145" i="6"/>
  <c r="Q18" i="6"/>
  <c r="Q17" i="6"/>
  <c r="Q163" i="6" l="1"/>
  <c r="Q164" i="6" s="1"/>
  <c r="Q10" i="27" s="1"/>
  <c r="Q170" i="6"/>
  <c r="P171" i="6"/>
  <c r="AS34" i="6"/>
  <c r="AS36" i="6"/>
  <c r="AT32" i="6"/>
  <c r="AT36" i="6" s="1"/>
  <c r="AT182" i="6"/>
  <c r="AT183" i="6" s="1"/>
  <c r="P169" i="6"/>
  <c r="P15" i="27" s="1"/>
  <c r="P60" i="27" s="1"/>
  <c r="AQ108" i="27"/>
  <c r="N113" i="27"/>
  <c r="O99" i="27"/>
  <c r="O94" i="27"/>
  <c r="O98" i="27"/>
  <c r="O111" i="27" s="1"/>
  <c r="O95" i="27"/>
  <c r="O96" i="27"/>
  <c r="O97" i="27"/>
  <c r="AR13" i="15"/>
  <c r="AR14" i="27"/>
  <c r="AR109" i="27" s="1"/>
  <c r="AS168" i="6"/>
  <c r="K37" i="66"/>
  <c r="K36" i="66"/>
  <c r="P177" i="6"/>
  <c r="P176" i="6"/>
  <c r="L12" i="66"/>
  <c r="Q160" i="6"/>
  <c r="Q166" i="6"/>
  <c r="Q159" i="6"/>
  <c r="R146" i="6"/>
  <c r="R145" i="6"/>
  <c r="R18" i="6"/>
  <c r="R17" i="6"/>
  <c r="Q172" i="6" l="1"/>
  <c r="Q171" i="6"/>
  <c r="R163" i="6"/>
  <c r="R164" i="6" s="1"/>
  <c r="R10" i="27" s="1"/>
  <c r="R170" i="6"/>
  <c r="AT34" i="6"/>
  <c r="AT35" i="6"/>
  <c r="AT168" i="6" s="1"/>
  <c r="AU32" i="6"/>
  <c r="AU35" i="6" s="1"/>
  <c r="AU182" i="6"/>
  <c r="AU183" i="6" s="1"/>
  <c r="P98" i="27"/>
  <c r="P111" i="27" s="1"/>
  <c r="P96" i="27"/>
  <c r="P95" i="27"/>
  <c r="P97" i="27"/>
  <c r="P94" i="27"/>
  <c r="P99" i="27"/>
  <c r="Q169" i="6"/>
  <c r="Q15" i="27" s="1"/>
  <c r="Q60" i="27" s="1"/>
  <c r="AR108" i="27"/>
  <c r="O113" i="27"/>
  <c r="AS13" i="15"/>
  <c r="AS14" i="27"/>
  <c r="AS109" i="27" s="1"/>
  <c r="L36" i="66"/>
  <c r="L37" i="66"/>
  <c r="Q177" i="6"/>
  <c r="Q176" i="6"/>
  <c r="M12" i="66"/>
  <c r="R166" i="6"/>
  <c r="R159" i="6"/>
  <c r="R160" i="6"/>
  <c r="S146" i="6"/>
  <c r="S145" i="6"/>
  <c r="S18" i="6"/>
  <c r="S17" i="6"/>
  <c r="R171" i="6" l="1"/>
  <c r="R172" i="6"/>
  <c r="AU34" i="6"/>
  <c r="AU36" i="6"/>
  <c r="AU27" i="27" s="1"/>
  <c r="AV32" i="6"/>
  <c r="AV34" i="6" s="1"/>
  <c r="AV182" i="6"/>
  <c r="AV183" i="6" s="1"/>
  <c r="P113" i="27"/>
  <c r="Q97" i="27"/>
  <c r="Q96" i="27"/>
  <c r="Q99" i="27"/>
  <c r="Q98" i="27"/>
  <c r="Q111" i="27" s="1"/>
  <c r="Q94" i="27"/>
  <c r="Q95" i="27"/>
  <c r="R169" i="6"/>
  <c r="R15" i="27" s="1"/>
  <c r="R60" i="27" s="1"/>
  <c r="AS108" i="27"/>
  <c r="AT13" i="15"/>
  <c r="AT14" i="27"/>
  <c r="AT109" i="27" s="1"/>
  <c r="AU168" i="6"/>
  <c r="M37" i="66"/>
  <c r="M36" i="66"/>
  <c r="R177" i="6"/>
  <c r="R176" i="6"/>
  <c r="N12" i="66"/>
  <c r="S166" i="6"/>
  <c r="S159" i="6"/>
  <c r="S160" i="6" s="1"/>
  <c r="T146" i="6"/>
  <c r="T145" i="6"/>
  <c r="T18" i="6"/>
  <c r="T17" i="6"/>
  <c r="S170" i="6" l="1"/>
  <c r="S171" i="6" s="1"/>
  <c r="T170" i="6"/>
  <c r="AV35" i="6"/>
  <c r="AV36" i="6"/>
  <c r="AV27" i="27" s="1"/>
  <c r="U145" i="6"/>
  <c r="S163" i="6"/>
  <c r="AU25" i="27"/>
  <c r="AW32" i="6"/>
  <c r="AW36" i="6" s="1"/>
  <c r="AW182" i="6"/>
  <c r="AW183" i="6" s="1"/>
  <c r="R95" i="27"/>
  <c r="R99" i="27"/>
  <c r="R97" i="27"/>
  <c r="R94" i="27"/>
  <c r="R96" i="27"/>
  <c r="Q113" i="27"/>
  <c r="S169" i="6"/>
  <c r="S15" i="27" s="1"/>
  <c r="S60" i="27" s="1"/>
  <c r="R98" i="27"/>
  <c r="R111" i="27" s="1"/>
  <c r="AT108" i="27"/>
  <c r="AV25" i="27"/>
  <c r="AU14" i="27"/>
  <c r="AU109" i="27" s="1"/>
  <c r="AU13" i="15"/>
  <c r="AU26" i="27"/>
  <c r="N37" i="66"/>
  <c r="N36" i="66"/>
  <c r="S177" i="6"/>
  <c r="S176" i="6"/>
  <c r="O12" i="66"/>
  <c r="T160" i="6"/>
  <c r="T166" i="6"/>
  <c r="T159" i="6"/>
  <c r="T163" i="6" s="1"/>
  <c r="U146" i="6"/>
  <c r="U18" i="6"/>
  <c r="U17" i="6"/>
  <c r="T171" i="6" l="1"/>
  <c r="S172" i="6"/>
  <c r="AV168" i="6"/>
  <c r="AV14" i="27" s="1"/>
  <c r="AV109" i="27" s="1"/>
  <c r="T172" i="6"/>
  <c r="U163" i="6"/>
  <c r="U164" i="6" s="1"/>
  <c r="U10" i="27" s="1"/>
  <c r="U170" i="6"/>
  <c r="U171" i="6" s="1"/>
  <c r="T164" i="6"/>
  <c r="T10" i="27" s="1"/>
  <c r="S164" i="6"/>
  <c r="S10" i="27" s="1"/>
  <c r="AW34" i="6"/>
  <c r="AW35" i="6"/>
  <c r="AW168" i="6" s="1"/>
  <c r="AX32" i="6"/>
  <c r="AX35" i="6" s="1"/>
  <c r="AX182" i="6"/>
  <c r="AX183" i="6" s="1"/>
  <c r="R113" i="27"/>
  <c r="S95" i="27"/>
  <c r="S97" i="27"/>
  <c r="S99" i="27"/>
  <c r="S94" i="27"/>
  <c r="S98" i="27"/>
  <c r="S111" i="27" s="1"/>
  <c r="S96" i="27"/>
  <c r="T169" i="6"/>
  <c r="T15" i="27" s="1"/>
  <c r="T60" i="27" s="1"/>
  <c r="AU108" i="27"/>
  <c r="AV26" i="27"/>
  <c r="AW27" i="27"/>
  <c r="O37" i="66"/>
  <c r="O36" i="66"/>
  <c r="T177" i="6"/>
  <c r="T176" i="6"/>
  <c r="P12" i="66"/>
  <c r="U166" i="6"/>
  <c r="U159" i="6"/>
  <c r="U160" i="6" s="1"/>
  <c r="V146" i="6"/>
  <c r="V145" i="6"/>
  <c r="V18" i="6"/>
  <c r="V17" i="6"/>
  <c r="AV13" i="15" l="1"/>
  <c r="AW25" i="27"/>
  <c r="V163" i="6"/>
  <c r="V164" i="6" s="1"/>
  <c r="V10" i="27" s="1"/>
  <c r="U172" i="6"/>
  <c r="AX34" i="6"/>
  <c r="AX36" i="6"/>
  <c r="T96" i="27"/>
  <c r="T99" i="27"/>
  <c r="T95" i="27"/>
  <c r="T94" i="27"/>
  <c r="T97" i="27"/>
  <c r="T98" i="27"/>
  <c r="T111" i="27" s="1"/>
  <c r="U169" i="6"/>
  <c r="U15" i="27" s="1"/>
  <c r="U60" i="27" s="1"/>
  <c r="S113" i="27"/>
  <c r="AV108" i="27"/>
  <c r="AW26" i="27"/>
  <c r="AX168" i="6"/>
  <c r="AW14" i="27"/>
  <c r="AW109" i="27" s="1"/>
  <c r="AW13" i="15"/>
  <c r="AX26" i="27"/>
  <c r="AX167" i="6"/>
  <c r="P36" i="66"/>
  <c r="P37" i="66"/>
  <c r="U176" i="6"/>
  <c r="U177" i="6"/>
  <c r="Q12" i="66"/>
  <c r="V166" i="6"/>
  <c r="V159" i="6"/>
  <c r="V160" i="6" s="1"/>
  <c r="W146" i="6"/>
  <c r="W145" i="6"/>
  <c r="W18" i="6"/>
  <c r="W17" i="6"/>
  <c r="AU165" i="6" l="1"/>
  <c r="AV165" i="6"/>
  <c r="AT165" i="6"/>
  <c r="P165" i="6"/>
  <c r="L165" i="6"/>
  <c r="K165" i="6"/>
  <c r="O165" i="6"/>
  <c r="M165" i="6"/>
  <c r="R165" i="6"/>
  <c r="N165" i="6"/>
  <c r="Q165" i="6"/>
  <c r="S165" i="6"/>
  <c r="T165" i="6"/>
  <c r="U165" i="6"/>
  <c r="W165" i="6"/>
  <c r="V165" i="6"/>
  <c r="Y165" i="6"/>
  <c r="X165" i="6"/>
  <c r="Z165" i="6"/>
  <c r="AE165" i="6"/>
  <c r="AB165" i="6"/>
  <c r="AC165" i="6"/>
  <c r="AA165" i="6"/>
  <c r="AD165" i="6"/>
  <c r="AJ165" i="6"/>
  <c r="AF165" i="6"/>
  <c r="AH165" i="6"/>
  <c r="AG165" i="6"/>
  <c r="AI165" i="6"/>
  <c r="AL165" i="6"/>
  <c r="AK165" i="6"/>
  <c r="AM165" i="6"/>
  <c r="AN165" i="6"/>
  <c r="AO165" i="6"/>
  <c r="AQ165" i="6"/>
  <c r="AR165" i="6"/>
  <c r="AP165" i="6"/>
  <c r="AS165" i="6"/>
  <c r="AX165" i="6"/>
  <c r="AW165" i="6"/>
  <c r="W163" i="6"/>
  <c r="W164" i="6" s="1"/>
  <c r="W10" i="27" s="1"/>
  <c r="W170" i="6"/>
  <c r="W172" i="6" s="1"/>
  <c r="V170" i="6"/>
  <c r="V171" i="6" s="1"/>
  <c r="AX27" i="27"/>
  <c r="AX25" i="27"/>
  <c r="U98" i="27"/>
  <c r="U111" i="27" s="1"/>
  <c r="U94" i="27"/>
  <c r="U96" i="27"/>
  <c r="U95" i="27"/>
  <c r="U97" i="27"/>
  <c r="U99" i="27"/>
  <c r="V169" i="6"/>
  <c r="V15" i="27" s="1"/>
  <c r="V60" i="27" s="1"/>
  <c r="T113" i="27"/>
  <c r="AW108" i="27"/>
  <c r="AX14" i="27"/>
  <c r="AX109" i="27" s="1"/>
  <c r="AX13" i="15"/>
  <c r="Q37" i="66"/>
  <c r="Q36" i="66"/>
  <c r="V177" i="6"/>
  <c r="V176" i="6"/>
  <c r="R12" i="66"/>
  <c r="W166" i="6"/>
  <c r="W159" i="6"/>
  <c r="W160" i="6" s="1"/>
  <c r="X146" i="6"/>
  <c r="X145" i="6"/>
  <c r="X18" i="6"/>
  <c r="X17" i="6"/>
  <c r="V172" i="6" l="1"/>
  <c r="X163" i="6"/>
  <c r="X164" i="6" s="1"/>
  <c r="X10" i="27" s="1"/>
  <c r="X170" i="6"/>
  <c r="X171" i="6" s="1"/>
  <c r="W171" i="6"/>
  <c r="AU11" i="15"/>
  <c r="AU11" i="27"/>
  <c r="AX11" i="15"/>
  <c r="AX11" i="27"/>
  <c r="AS11" i="27"/>
  <c r="AS11" i="15"/>
  <c r="AK11" i="15"/>
  <c r="AK11" i="27"/>
  <c r="AG11" i="27"/>
  <c r="AG11" i="15"/>
  <c r="AC11" i="15"/>
  <c r="AC11" i="27"/>
  <c r="Z11" i="15"/>
  <c r="Z11" i="27"/>
  <c r="M11" i="15"/>
  <c r="M11" i="27"/>
  <c r="N11" i="15"/>
  <c r="N11" i="27"/>
  <c r="U11" i="27"/>
  <c r="U11" i="15"/>
  <c r="AT11" i="15"/>
  <c r="AT11" i="27"/>
  <c r="AM11" i="15"/>
  <c r="AM11" i="27"/>
  <c r="AL11" i="15"/>
  <c r="AL11" i="27"/>
  <c r="AJ11" i="27"/>
  <c r="AJ11" i="15"/>
  <c r="AD11" i="15"/>
  <c r="AD11" i="27"/>
  <c r="X11" i="27"/>
  <c r="X11" i="15"/>
  <c r="V11" i="15"/>
  <c r="V11" i="27"/>
  <c r="L11" i="27"/>
  <c r="L11" i="15"/>
  <c r="W11" i="15"/>
  <c r="W11" i="27"/>
  <c r="AW11" i="15"/>
  <c r="AW11" i="27"/>
  <c r="AP11" i="15"/>
  <c r="AP11" i="27"/>
  <c r="AN11" i="27"/>
  <c r="AN11" i="15"/>
  <c r="AH11" i="15"/>
  <c r="AH11" i="27"/>
  <c r="AF11" i="27"/>
  <c r="AF11" i="15"/>
  <c r="AE11" i="27"/>
  <c r="AE11" i="15"/>
  <c r="Y11" i="15"/>
  <c r="Y11" i="27"/>
  <c r="K11" i="27"/>
  <c r="K11" i="15"/>
  <c r="S11" i="27"/>
  <c r="S11" i="15"/>
  <c r="T11" i="27"/>
  <c r="T11" i="15"/>
  <c r="AR11" i="27"/>
  <c r="AR11" i="15"/>
  <c r="AV11" i="27"/>
  <c r="AV11" i="15"/>
  <c r="AQ11" i="27"/>
  <c r="AQ11" i="15"/>
  <c r="AO11" i="15"/>
  <c r="AO11" i="27"/>
  <c r="AI11" i="27"/>
  <c r="AI11" i="15"/>
  <c r="AB11" i="27"/>
  <c r="AB11" i="15"/>
  <c r="AA11" i="27"/>
  <c r="AA11" i="15"/>
  <c r="O11" i="27"/>
  <c r="O11" i="15"/>
  <c r="Q11" i="15"/>
  <c r="Q11" i="27"/>
  <c r="P11" i="27"/>
  <c r="P11" i="15"/>
  <c r="R11" i="15"/>
  <c r="R11" i="27"/>
  <c r="V99" i="27"/>
  <c r="V97" i="27"/>
  <c r="V95" i="27"/>
  <c r="V98" i="27"/>
  <c r="V111" i="27" s="1"/>
  <c r="V94" i="27"/>
  <c r="V96" i="27"/>
  <c r="W169" i="6"/>
  <c r="W15" i="27" s="1"/>
  <c r="W60" i="27" s="1"/>
  <c r="U113" i="27"/>
  <c r="AX108" i="27"/>
  <c r="R36" i="66"/>
  <c r="R37" i="66"/>
  <c r="W176" i="6"/>
  <c r="W177" i="6"/>
  <c r="S12" i="66"/>
  <c r="X166" i="6"/>
  <c r="X160" i="6"/>
  <c r="X159" i="6"/>
  <c r="Y146" i="6"/>
  <c r="Y145" i="6"/>
  <c r="Y18" i="6"/>
  <c r="Y17" i="6"/>
  <c r="X172" i="6" l="1"/>
  <c r="Y163" i="6"/>
  <c r="Y164" i="6" s="1"/>
  <c r="Y10" i="27" s="1"/>
  <c r="Y170" i="6"/>
  <c r="Y171" i="6" s="1"/>
  <c r="W97" i="27"/>
  <c r="W99" i="27"/>
  <c r="W94" i="27"/>
  <c r="W96" i="27"/>
  <c r="W98" i="27"/>
  <c r="W111" i="27" s="1"/>
  <c r="W95" i="27"/>
  <c r="X169" i="6"/>
  <c r="X15" i="27" s="1"/>
  <c r="X60" i="27" s="1"/>
  <c r="V113" i="27"/>
  <c r="S36" i="66"/>
  <c r="S37" i="66"/>
  <c r="X177" i="6"/>
  <c r="X176" i="6"/>
  <c r="T12" i="66"/>
  <c r="Y166" i="6"/>
  <c r="Y160" i="6"/>
  <c r="Y159" i="6"/>
  <c r="Z146" i="6"/>
  <c r="Z145" i="6"/>
  <c r="Z18" i="6"/>
  <c r="Z17" i="6"/>
  <c r="Y172" i="6" l="1"/>
  <c r="Z170" i="6"/>
  <c r="Z171" i="6" s="1"/>
  <c r="Z163" i="6"/>
  <c r="Z164" i="6" s="1"/>
  <c r="Z10" i="27" s="1"/>
  <c r="X95" i="27"/>
  <c r="X99" i="27"/>
  <c r="X94" i="27"/>
  <c r="X98" i="27"/>
  <c r="X111" i="27" s="1"/>
  <c r="X97" i="27"/>
  <c r="X96" i="27"/>
  <c r="Y169" i="6"/>
  <c r="Y15" i="27" s="1"/>
  <c r="Y60" i="27" s="1"/>
  <c r="W113" i="27"/>
  <c r="T36" i="66"/>
  <c r="T37" i="66"/>
  <c r="Y176" i="6"/>
  <c r="Y177" i="6"/>
  <c r="U12" i="66"/>
  <c r="Z166" i="6"/>
  <c r="Z160" i="6"/>
  <c r="Z159" i="6"/>
  <c r="AA146" i="6"/>
  <c r="AA145" i="6"/>
  <c r="AA18" i="6"/>
  <c r="AA17" i="6"/>
  <c r="Z172" i="6" l="1"/>
  <c r="AA163" i="6"/>
  <c r="AA164" i="6" s="1"/>
  <c r="AA10" i="27" s="1"/>
  <c r="AA170" i="6"/>
  <c r="AA171" i="6" s="1"/>
  <c r="X113" i="27"/>
  <c r="Y95" i="27"/>
  <c r="Y96" i="27"/>
  <c r="Y94" i="27"/>
  <c r="Y97" i="27"/>
  <c r="Y98" i="27"/>
  <c r="Y111" i="27" s="1"/>
  <c r="Y99" i="27"/>
  <c r="Z169" i="6"/>
  <c r="Z15" i="27" s="1"/>
  <c r="Z60" i="27" s="1"/>
  <c r="U36" i="66"/>
  <c r="U37" i="66"/>
  <c r="Z177" i="6"/>
  <c r="Z176" i="6"/>
  <c r="V12" i="66"/>
  <c r="AA166" i="6"/>
  <c r="AA160" i="6"/>
  <c r="AA159" i="6"/>
  <c r="AB146" i="6"/>
  <c r="AB145" i="6"/>
  <c r="AB18" i="6"/>
  <c r="AB17" i="6"/>
  <c r="AA172" i="6" l="1"/>
  <c r="AB170" i="6"/>
  <c r="AB171" i="6" s="1"/>
  <c r="AB163" i="6"/>
  <c r="AB164" i="6" s="1"/>
  <c r="AB10" i="27" s="1"/>
  <c r="Y113" i="27"/>
  <c r="Z98" i="27"/>
  <c r="Z111" i="27" s="1"/>
  <c r="Z94" i="27"/>
  <c r="Z95" i="27"/>
  <c r="Z96" i="27"/>
  <c r="Z99" i="27"/>
  <c r="Z97" i="27"/>
  <c r="AA169" i="6"/>
  <c r="AA15" i="27" s="1"/>
  <c r="AA60" i="27" s="1"/>
  <c r="V36" i="66"/>
  <c r="V37" i="66"/>
  <c r="AA177" i="6"/>
  <c r="AA176" i="6"/>
  <c r="W12" i="66"/>
  <c r="AB159" i="6"/>
  <c r="AB160" i="6"/>
  <c r="AB166" i="6"/>
  <c r="AC146" i="6"/>
  <c r="AC145" i="6"/>
  <c r="AC18" i="6"/>
  <c r="AC17" i="6"/>
  <c r="AB172" i="6" l="1"/>
  <c r="AC163" i="6"/>
  <c r="AC164" i="6" s="1"/>
  <c r="AC10" i="27" s="1"/>
  <c r="AC170" i="6"/>
  <c r="AC171" i="6" s="1"/>
  <c r="AA99" i="27"/>
  <c r="AA94" i="27"/>
  <c r="AA96" i="27"/>
  <c r="AA95" i="27"/>
  <c r="AA97" i="27"/>
  <c r="AA98" i="27"/>
  <c r="AA111" i="27" s="1"/>
  <c r="Z113" i="27"/>
  <c r="AB169" i="6"/>
  <c r="AB15" i="27" s="1"/>
  <c r="AB60" i="27" s="1"/>
  <c r="W36" i="66"/>
  <c r="W37" i="66"/>
  <c r="AB177" i="6"/>
  <c r="AB176" i="6"/>
  <c r="X12" i="66"/>
  <c r="AC166" i="6"/>
  <c r="AC160" i="6"/>
  <c r="AC159" i="6"/>
  <c r="AD146" i="6"/>
  <c r="AD145" i="6"/>
  <c r="AD18" i="6"/>
  <c r="AD17" i="6"/>
  <c r="AC172" i="6" l="1"/>
  <c r="AD170" i="6"/>
  <c r="AD171" i="6" s="1"/>
  <c r="AD163" i="6"/>
  <c r="AD164" i="6" s="1"/>
  <c r="AD10" i="27" s="1"/>
  <c r="AA113" i="27"/>
  <c r="AB97" i="27"/>
  <c r="AB94" i="27"/>
  <c r="AB96" i="27"/>
  <c r="AB95" i="27"/>
  <c r="AB98" i="27"/>
  <c r="AB111" i="27" s="1"/>
  <c r="AB99" i="27"/>
  <c r="AC169" i="6"/>
  <c r="AC15" i="27" s="1"/>
  <c r="AC60" i="27" s="1"/>
  <c r="X36" i="66"/>
  <c r="X37" i="66"/>
  <c r="AC177" i="6"/>
  <c r="AC176" i="6"/>
  <c r="Y12" i="66"/>
  <c r="AD166" i="6"/>
  <c r="AD160" i="6"/>
  <c r="AD159" i="6"/>
  <c r="AE146" i="6"/>
  <c r="AE145" i="6"/>
  <c r="AE18" i="6"/>
  <c r="AE17" i="6"/>
  <c r="AD172" i="6" l="1"/>
  <c r="AE163" i="6"/>
  <c r="AE164" i="6" s="1"/>
  <c r="AE10" i="27" s="1"/>
  <c r="AE170" i="6"/>
  <c r="AE171" i="6" s="1"/>
  <c r="AB113" i="27"/>
  <c r="AC99" i="27"/>
  <c r="AC98" i="27"/>
  <c r="AC111" i="27" s="1"/>
  <c r="AC95" i="27"/>
  <c r="AC96" i="27"/>
  <c r="AC94" i="27"/>
  <c r="AC97" i="27"/>
  <c r="AD169" i="6"/>
  <c r="AD15" i="27" s="1"/>
  <c r="AD60" i="27" s="1"/>
  <c r="Y36" i="66"/>
  <c r="Y37" i="66"/>
  <c r="AD176" i="6"/>
  <c r="AD177" i="6"/>
  <c r="Z12" i="66"/>
  <c r="AE166" i="6"/>
  <c r="AE160" i="6"/>
  <c r="AE159" i="6"/>
  <c r="AF146" i="6"/>
  <c r="AF145" i="6"/>
  <c r="AF18" i="6"/>
  <c r="AF17" i="6"/>
  <c r="AE172" i="6" l="1"/>
  <c r="AF170" i="6"/>
  <c r="AF171" i="6" s="1"/>
  <c r="AF163" i="6"/>
  <c r="AF164" i="6" s="1"/>
  <c r="AF10" i="27" s="1"/>
  <c r="AC113" i="27"/>
  <c r="AD96" i="27"/>
  <c r="AD95" i="27"/>
  <c r="AD94" i="27"/>
  <c r="AD99" i="27"/>
  <c r="AD98" i="27"/>
  <c r="AD111" i="27" s="1"/>
  <c r="AD97" i="27"/>
  <c r="AE169" i="6"/>
  <c r="AE15" i="27" s="1"/>
  <c r="AE60" i="27" s="1"/>
  <c r="Z36" i="66"/>
  <c r="Z37" i="66"/>
  <c r="AE176" i="6"/>
  <c r="AE177" i="6"/>
  <c r="AA12" i="66"/>
  <c r="AF166" i="6"/>
  <c r="AF160" i="6"/>
  <c r="AF159" i="6"/>
  <c r="AG146" i="6"/>
  <c r="AG145" i="6"/>
  <c r="AG18" i="6"/>
  <c r="AG17" i="6"/>
  <c r="AF172" i="6" l="1"/>
  <c r="AG170" i="6"/>
  <c r="AG171" i="6" s="1"/>
  <c r="AG163" i="6"/>
  <c r="AG164" i="6" s="1"/>
  <c r="AG10" i="27" s="1"/>
  <c r="AD113" i="27"/>
  <c r="AE98" i="27"/>
  <c r="AE111" i="27" s="1"/>
  <c r="AF169" i="6"/>
  <c r="AF15" i="27" s="1"/>
  <c r="AF60" i="27" s="1"/>
  <c r="AE95" i="27"/>
  <c r="AE96" i="27"/>
  <c r="AE97" i="27"/>
  <c r="AE94" i="27"/>
  <c r="AE99" i="27"/>
  <c r="AA36" i="66"/>
  <c r="AA37" i="66"/>
  <c r="AF177" i="6"/>
  <c r="AF176" i="6"/>
  <c r="AB12" i="66"/>
  <c r="AG166" i="6"/>
  <c r="AG160" i="6"/>
  <c r="AG159" i="6"/>
  <c r="AH146" i="6"/>
  <c r="AH145" i="6"/>
  <c r="AH18" i="6"/>
  <c r="AH17" i="6"/>
  <c r="AG172" i="6" l="1"/>
  <c r="AH163" i="6"/>
  <c r="AH164" i="6" s="1"/>
  <c r="AH10" i="27" s="1"/>
  <c r="AH170" i="6"/>
  <c r="AH171" i="6" s="1"/>
  <c r="AF95" i="27"/>
  <c r="AF96" i="27"/>
  <c r="AF98" i="27"/>
  <c r="AF111" i="27" s="1"/>
  <c r="AF94" i="27"/>
  <c r="AF97" i="27"/>
  <c r="AF99" i="27"/>
  <c r="AE113" i="27"/>
  <c r="AG169" i="6"/>
  <c r="AG15" i="27" s="1"/>
  <c r="AG60" i="27" s="1"/>
  <c r="AB37" i="66"/>
  <c r="AB36" i="66"/>
  <c r="AG177" i="6"/>
  <c r="AG176" i="6"/>
  <c r="AC12" i="66"/>
  <c r="AH166" i="6"/>
  <c r="AH160" i="6"/>
  <c r="AH159" i="6"/>
  <c r="AI146" i="6"/>
  <c r="AI145" i="6"/>
  <c r="AI18" i="6"/>
  <c r="AI17" i="6"/>
  <c r="AH172" i="6" l="1"/>
  <c r="AI163" i="6"/>
  <c r="AI164" i="6" s="1"/>
  <c r="AI10" i="27" s="1"/>
  <c r="AI170" i="6"/>
  <c r="AI171" i="6" s="1"/>
  <c r="AF113" i="27"/>
  <c r="AG98" i="27"/>
  <c r="AG111" i="27" s="1"/>
  <c r="AG95" i="27"/>
  <c r="AG97" i="27"/>
  <c r="AG96" i="27"/>
  <c r="AG94" i="27"/>
  <c r="AG99" i="27"/>
  <c r="AH169" i="6"/>
  <c r="AH15" i="27" s="1"/>
  <c r="AH60" i="27" s="1"/>
  <c r="AC36" i="66"/>
  <c r="AC37" i="66"/>
  <c r="AH177" i="6"/>
  <c r="AH176" i="6"/>
  <c r="AD12" i="66"/>
  <c r="AI166" i="6"/>
  <c r="AI160" i="6"/>
  <c r="AI159" i="6"/>
  <c r="AJ146" i="6"/>
  <c r="AJ145" i="6"/>
  <c r="AJ18" i="6"/>
  <c r="AJ17" i="6"/>
  <c r="AI172" i="6" l="1"/>
  <c r="AJ170" i="6"/>
  <c r="AJ171" i="6" s="1"/>
  <c r="AJ163" i="6"/>
  <c r="AJ164" i="6" s="1"/>
  <c r="AJ10" i="27" s="1"/>
  <c r="AH97" i="27"/>
  <c r="AH98" i="27"/>
  <c r="AH111" i="27" s="1"/>
  <c r="AH96" i="27"/>
  <c r="AH99" i="27"/>
  <c r="AH94" i="27"/>
  <c r="AH95" i="27"/>
  <c r="AG113" i="27"/>
  <c r="AI169" i="6"/>
  <c r="AI15" i="27" s="1"/>
  <c r="AI60" i="27" s="1"/>
  <c r="AD36" i="66"/>
  <c r="AD37" i="66"/>
  <c r="AI177" i="6"/>
  <c r="AI176" i="6"/>
  <c r="AE12" i="66"/>
  <c r="AJ166" i="6"/>
  <c r="AJ160" i="6"/>
  <c r="AJ159" i="6"/>
  <c r="AK146" i="6"/>
  <c r="AK145" i="6"/>
  <c r="AK18" i="6"/>
  <c r="AK17" i="6"/>
  <c r="AK170" i="6" l="1"/>
  <c r="AK171" i="6" s="1"/>
  <c r="AJ172" i="6"/>
  <c r="AK163" i="6"/>
  <c r="AK164" i="6" s="1"/>
  <c r="AK10" i="27" s="1"/>
  <c r="AH113" i="27"/>
  <c r="AI97" i="27"/>
  <c r="AI96" i="27"/>
  <c r="AI94" i="27"/>
  <c r="AI98" i="27"/>
  <c r="AI111" i="27" s="1"/>
  <c r="AI95" i="27"/>
  <c r="AI99" i="27"/>
  <c r="AJ169" i="6"/>
  <c r="AJ15" i="27" s="1"/>
  <c r="AJ60" i="27" s="1"/>
  <c r="AE36" i="66"/>
  <c r="AE37" i="66"/>
  <c r="AJ177" i="6"/>
  <c r="AJ176" i="6"/>
  <c r="AF12" i="66"/>
  <c r="AK166" i="6"/>
  <c r="AK160" i="6"/>
  <c r="AK159" i="6"/>
  <c r="AL146" i="6"/>
  <c r="AL145" i="6"/>
  <c r="AL18" i="6"/>
  <c r="AL17" i="6"/>
  <c r="AK172" i="6" l="1"/>
  <c r="AL163" i="6"/>
  <c r="AL164" i="6" s="1"/>
  <c r="AL10" i="27" s="1"/>
  <c r="AI113" i="27"/>
  <c r="AJ99" i="27"/>
  <c r="AJ98" i="27"/>
  <c r="AJ111" i="27" s="1"/>
  <c r="AJ94" i="27"/>
  <c r="AJ97" i="27"/>
  <c r="AJ96" i="27"/>
  <c r="AJ95" i="27"/>
  <c r="AK169" i="6"/>
  <c r="AK15" i="27" s="1"/>
  <c r="AK60" i="27" s="1"/>
  <c r="AF36" i="66"/>
  <c r="AF37" i="66"/>
  <c r="AK177" i="6"/>
  <c r="AK176" i="6"/>
  <c r="AG12" i="66"/>
  <c r="AL166" i="6"/>
  <c r="AL160" i="6"/>
  <c r="AL159" i="6"/>
  <c r="AL170" i="6" s="1"/>
  <c r="AL171" i="6" s="1"/>
  <c r="AM146" i="6"/>
  <c r="AM145" i="6"/>
  <c r="AM18" i="6"/>
  <c r="AM17" i="6"/>
  <c r="AL172" i="6" l="1"/>
  <c r="AM163" i="6"/>
  <c r="AM164" i="6" s="1"/>
  <c r="AM10" i="27" s="1"/>
  <c r="AM170" i="6"/>
  <c r="AM171" i="6" s="1"/>
  <c r="AJ113" i="27"/>
  <c r="AK97" i="27"/>
  <c r="AK96" i="27"/>
  <c r="AK99" i="27"/>
  <c r="AK94" i="27"/>
  <c r="AK95" i="27"/>
  <c r="AL169" i="6"/>
  <c r="AL15" i="27" s="1"/>
  <c r="AL60" i="27" s="1"/>
  <c r="AK98" i="27"/>
  <c r="AK111" i="27" s="1"/>
  <c r="AG36" i="66"/>
  <c r="AG37" i="66"/>
  <c r="AL177" i="6"/>
  <c r="AL176" i="6"/>
  <c r="AH12" i="66"/>
  <c r="AM166" i="6"/>
  <c r="AM160" i="6"/>
  <c r="AM159" i="6"/>
  <c r="AN146" i="6"/>
  <c r="AN145" i="6"/>
  <c r="AN18" i="6"/>
  <c r="AN17" i="6"/>
  <c r="AM172" i="6" l="1"/>
  <c r="AN170" i="6"/>
  <c r="AN171" i="6" s="1"/>
  <c r="AK113" i="27"/>
  <c r="AL96" i="27"/>
  <c r="AL98" i="27"/>
  <c r="AL111" i="27" s="1"/>
  <c r="AL97" i="27"/>
  <c r="AL99" i="27"/>
  <c r="AL95" i="27"/>
  <c r="AL94" i="27"/>
  <c r="AM169" i="6"/>
  <c r="AM15" i="27" s="1"/>
  <c r="AM60" i="27" s="1"/>
  <c r="AH36" i="66"/>
  <c r="AH37" i="66"/>
  <c r="AM176" i="6"/>
  <c r="AM177" i="6"/>
  <c r="AI12" i="66"/>
  <c r="AN166" i="6"/>
  <c r="AN160" i="6"/>
  <c r="AN159" i="6"/>
  <c r="AN163" i="6" s="1"/>
  <c r="AN164" i="6" s="1"/>
  <c r="AN10" i="27" s="1"/>
  <c r="AO146" i="6"/>
  <c r="AO145" i="6"/>
  <c r="AO18" i="6"/>
  <c r="AO17" i="6"/>
  <c r="AN172" i="6" l="1"/>
  <c r="AO163" i="6"/>
  <c r="AO164" i="6" s="1"/>
  <c r="AO10" i="27" s="1"/>
  <c r="AL113" i="27"/>
  <c r="AM98" i="27"/>
  <c r="AM111" i="27" s="1"/>
  <c r="AM99" i="27"/>
  <c r="AM94" i="27"/>
  <c r="AM96" i="27"/>
  <c r="AM97" i="27"/>
  <c r="AM95" i="27"/>
  <c r="AN169" i="6"/>
  <c r="AN15" i="27" s="1"/>
  <c r="AN60" i="27" s="1"/>
  <c r="AI36" i="66"/>
  <c r="AI37" i="66"/>
  <c r="AN177" i="6"/>
  <c r="AN176" i="6"/>
  <c r="AO166" i="6"/>
  <c r="AO160" i="6"/>
  <c r="AO159" i="6"/>
  <c r="AO170" i="6" s="1"/>
  <c r="AP146" i="6"/>
  <c r="AP145" i="6"/>
  <c r="AP18" i="6"/>
  <c r="AP17" i="6"/>
  <c r="AO171" i="6" l="1"/>
  <c r="AO172" i="6"/>
  <c r="AP163" i="6"/>
  <c r="AP164" i="6" s="1"/>
  <c r="AP10" i="27" s="1"/>
  <c r="AP170" i="6"/>
  <c r="AP171" i="6" s="1"/>
  <c r="AM113" i="27"/>
  <c r="AN95" i="27"/>
  <c r="AN99" i="27"/>
  <c r="AN97" i="27"/>
  <c r="AN98" i="27"/>
  <c r="AN111" i="27" s="1"/>
  <c r="AN96" i="27"/>
  <c r="AN94" i="27"/>
  <c r="AO169" i="6"/>
  <c r="AO15" i="27" s="1"/>
  <c r="AO60" i="27" s="1"/>
  <c r="AO177" i="6"/>
  <c r="AO176" i="6"/>
  <c r="AP166" i="6"/>
  <c r="AP160" i="6"/>
  <c r="AP159" i="6"/>
  <c r="AQ146" i="6"/>
  <c r="AQ145" i="6"/>
  <c r="AQ18" i="6"/>
  <c r="AQ17" i="6"/>
  <c r="AP172" i="6" l="1"/>
  <c r="AQ170" i="6"/>
  <c r="AQ171" i="6" s="1"/>
  <c r="AO96" i="27"/>
  <c r="AO94" i="27"/>
  <c r="AO95" i="27"/>
  <c r="AO98" i="27"/>
  <c r="AO111" i="27" s="1"/>
  <c r="AO99" i="27"/>
  <c r="AO97" i="27"/>
  <c r="AP169" i="6"/>
  <c r="AP15" i="27" s="1"/>
  <c r="AP60" i="27" s="1"/>
  <c r="AN113" i="27"/>
  <c r="AP176" i="6"/>
  <c r="AP177" i="6"/>
  <c r="AQ166" i="6"/>
  <c r="AQ160" i="6"/>
  <c r="AQ159" i="6"/>
  <c r="AQ163" i="6" s="1"/>
  <c r="AQ164" i="6" s="1"/>
  <c r="AQ10" i="27" s="1"/>
  <c r="AR146" i="6"/>
  <c r="AR145" i="6"/>
  <c r="AR18" i="6"/>
  <c r="AR17" i="6"/>
  <c r="AR163" i="6" l="1"/>
  <c r="AR164" i="6" s="1"/>
  <c r="AR10" i="27" s="1"/>
  <c r="AR170" i="6"/>
  <c r="AR171" i="6" s="1"/>
  <c r="AQ172" i="6"/>
  <c r="AP94" i="27"/>
  <c r="AP98" i="27"/>
  <c r="AP111" i="27" s="1"/>
  <c r="AP99" i="27"/>
  <c r="AO113" i="27"/>
  <c r="AP95" i="27"/>
  <c r="AP97" i="27"/>
  <c r="AQ169" i="6"/>
  <c r="AQ15" i="27" s="1"/>
  <c r="AQ60" i="27" s="1"/>
  <c r="AP96" i="27"/>
  <c r="AQ176" i="6"/>
  <c r="AQ177" i="6"/>
  <c r="AR166" i="6"/>
  <c r="AR160" i="6"/>
  <c r="AR159" i="6"/>
  <c r="AS146" i="6"/>
  <c r="AS145" i="6"/>
  <c r="AS18" i="6"/>
  <c r="AS17" i="6"/>
  <c r="AR172" i="6" l="1"/>
  <c r="AS170" i="6"/>
  <c r="AS171" i="6" s="1"/>
  <c r="AP113" i="27"/>
  <c r="AQ97" i="27"/>
  <c r="AQ94" i="27"/>
  <c r="AQ99" i="27"/>
  <c r="AQ98" i="27"/>
  <c r="AQ111" i="27" s="1"/>
  <c r="AQ96" i="27"/>
  <c r="AQ95" i="27"/>
  <c r="AR169" i="6"/>
  <c r="AR15" i="27" s="1"/>
  <c r="AR60" i="27" s="1"/>
  <c r="AR177" i="6"/>
  <c r="AR176" i="6"/>
  <c r="AS166" i="6"/>
  <c r="AS160" i="6"/>
  <c r="AS159" i="6"/>
  <c r="AS163" i="6" s="1"/>
  <c r="AS164" i="6" s="1"/>
  <c r="AS10" i="27" s="1"/>
  <c r="AT146" i="6"/>
  <c r="AT145" i="6"/>
  <c r="AT18" i="6"/>
  <c r="AT17" i="6"/>
  <c r="AS172" i="6" l="1"/>
  <c r="AT163" i="6"/>
  <c r="AT164" i="6" s="1"/>
  <c r="AT10" i="27" s="1"/>
  <c r="AT170" i="6"/>
  <c r="AT171" i="6" s="1"/>
  <c r="AQ113" i="27"/>
  <c r="AR96" i="27"/>
  <c r="AR94" i="27"/>
  <c r="AR97" i="27"/>
  <c r="AR98" i="27"/>
  <c r="AR111" i="27" s="1"/>
  <c r="AR99" i="27"/>
  <c r="AR95" i="27"/>
  <c r="AS169" i="6"/>
  <c r="AS15" i="27" s="1"/>
  <c r="AS60" i="27" s="1"/>
  <c r="AS177" i="6"/>
  <c r="AS176" i="6"/>
  <c r="AT166" i="6"/>
  <c r="AT160" i="6"/>
  <c r="AT159" i="6"/>
  <c r="AU146" i="6"/>
  <c r="AU145" i="6"/>
  <c r="AU18" i="6"/>
  <c r="AU17" i="6"/>
  <c r="AT172" i="6" l="1"/>
  <c r="AU163" i="6"/>
  <c r="AU164" i="6" s="1"/>
  <c r="AU10" i="27" s="1"/>
  <c r="AU170" i="6"/>
  <c r="AU171" i="6" s="1"/>
  <c r="AR113" i="27"/>
  <c r="AS96" i="27"/>
  <c r="AS94" i="27"/>
  <c r="AS99" i="27"/>
  <c r="AS95" i="27"/>
  <c r="AT169" i="6"/>
  <c r="AT15" i="27" s="1"/>
  <c r="AT60" i="27" s="1"/>
  <c r="AS97" i="27"/>
  <c r="AS98" i="27"/>
  <c r="AS111" i="27" s="1"/>
  <c r="AT177" i="6"/>
  <c r="AT176" i="6"/>
  <c r="AU166" i="6"/>
  <c r="AU169" i="6" s="1"/>
  <c r="AU160" i="6"/>
  <c r="AU159" i="6"/>
  <c r="AV146" i="6"/>
  <c r="AV145" i="6"/>
  <c r="AV18" i="6"/>
  <c r="AV17" i="6"/>
  <c r="AU172" i="6" l="1"/>
  <c r="AV163" i="6"/>
  <c r="AV164" i="6" s="1"/>
  <c r="AV10" i="27" s="1"/>
  <c r="AV170" i="6"/>
  <c r="AV171" i="6" s="1"/>
  <c r="AS113" i="27"/>
  <c r="AT95" i="27"/>
  <c r="AT97" i="27"/>
  <c r="AT94" i="27"/>
  <c r="AT99" i="27"/>
  <c r="AT96" i="27"/>
  <c r="AT98" i="27"/>
  <c r="AT111" i="27" s="1"/>
  <c r="AU12" i="27"/>
  <c r="AU155" i="27" s="1"/>
  <c r="AU44" i="15" s="1"/>
  <c r="AU15" i="27"/>
  <c r="AU60" i="27" s="1"/>
  <c r="AU177" i="6"/>
  <c r="AU176" i="6"/>
  <c r="AV166" i="6"/>
  <c r="AV169" i="6" s="1"/>
  <c r="AV160" i="6"/>
  <c r="AV159" i="6"/>
  <c r="AW146" i="6"/>
  <c r="AW145" i="6"/>
  <c r="AW18" i="6"/>
  <c r="AW17" i="6"/>
  <c r="AV172" i="6" l="1"/>
  <c r="AW163" i="6"/>
  <c r="AW164" i="6" s="1"/>
  <c r="AW10" i="27" s="1"/>
  <c r="AW170" i="6"/>
  <c r="AW171" i="6" s="1"/>
  <c r="AT113" i="27"/>
  <c r="AU98" i="27"/>
  <c r="AU111" i="27" s="1"/>
  <c r="AU94" i="27"/>
  <c r="AU97" i="27"/>
  <c r="AU96" i="27"/>
  <c r="AU99" i="27"/>
  <c r="AU95" i="27"/>
  <c r="AV12" i="27"/>
  <c r="AV155" i="27" s="1"/>
  <c r="AV44" i="15" s="1"/>
  <c r="AV15" i="27"/>
  <c r="AV60" i="27" s="1"/>
  <c r="AV176" i="6"/>
  <c r="AV177" i="6"/>
  <c r="AW166" i="6"/>
  <c r="AW169" i="6" s="1"/>
  <c r="AW160" i="6"/>
  <c r="AW159" i="6"/>
  <c r="AX146" i="6"/>
  <c r="AX145" i="6"/>
  <c r="AX18" i="6"/>
  <c r="AX17" i="6"/>
  <c r="AW172" i="6" l="1"/>
  <c r="AX163" i="6"/>
  <c r="AX164" i="6" s="1"/>
  <c r="AX10" i="27" s="1"/>
  <c r="AX170" i="6"/>
  <c r="AX171" i="6" s="1"/>
  <c r="AU113" i="27"/>
  <c r="AV98" i="27"/>
  <c r="AV111" i="27" s="1"/>
  <c r="AV97" i="27"/>
  <c r="AV99" i="27"/>
  <c r="AV94" i="27"/>
  <c r="AV95" i="27"/>
  <c r="AV96" i="27"/>
  <c r="AW12" i="27"/>
  <c r="AW155" i="27" s="1"/>
  <c r="AW44" i="15" s="1"/>
  <c r="AW15" i="27"/>
  <c r="AW60" i="27" s="1"/>
  <c r="AW176" i="6"/>
  <c r="AW177" i="6"/>
  <c r="AX166" i="6"/>
  <c r="AX169" i="6" s="1"/>
  <c r="AX160" i="6"/>
  <c r="AX159" i="6"/>
  <c r="AX172" i="6" l="1"/>
  <c r="AV113" i="27"/>
  <c r="AW95" i="27"/>
  <c r="AW96" i="27"/>
  <c r="AW94" i="27"/>
  <c r="AW99" i="27"/>
  <c r="AW98" i="27"/>
  <c r="AW111" i="27" s="1"/>
  <c r="AW97" i="27"/>
  <c r="AX12" i="27"/>
  <c r="AX155" i="27" s="1"/>
  <c r="AX44" i="15" s="1"/>
  <c r="AX15" i="27"/>
  <c r="AX60" i="27" s="1"/>
  <c r="AX176" i="6"/>
  <c r="AX177" i="6"/>
  <c r="G32" i="63"/>
  <c r="G31" i="63"/>
  <c r="I21" i="63"/>
  <c r="K22" i="63" s="1"/>
  <c r="AI47" i="66"/>
  <c r="AH47" i="66"/>
  <c r="AG47" i="66"/>
  <c r="AF47" i="66"/>
  <c r="AE47" i="66"/>
  <c r="AD47" i="66"/>
  <c r="AC47" i="66"/>
  <c r="AB47" i="66"/>
  <c r="AA47" i="66"/>
  <c r="Z47" i="66"/>
  <c r="Y47" i="66"/>
  <c r="X47" i="66"/>
  <c r="W47" i="66"/>
  <c r="V47" i="66"/>
  <c r="U47" i="66"/>
  <c r="T47" i="66"/>
  <c r="S47" i="66"/>
  <c r="R47" i="66"/>
  <c r="Q47" i="66"/>
  <c r="P47" i="66"/>
  <c r="O47" i="66"/>
  <c r="N47" i="66"/>
  <c r="M47" i="66"/>
  <c r="L47" i="66"/>
  <c r="K47" i="66"/>
  <c r="K9" i="63"/>
  <c r="AW113" i="27" l="1"/>
  <c r="AX94" i="27"/>
  <c r="AX99" i="27"/>
  <c r="AX96" i="27"/>
  <c r="AX98" i="27"/>
  <c r="AX111" i="27" s="1"/>
  <c r="AX97" i="27"/>
  <c r="AX95" i="27"/>
  <c r="K23" i="63"/>
  <c r="L22" i="63"/>
  <c r="AX113" i="27" l="1"/>
  <c r="L23" i="63"/>
  <c r="M22" i="63"/>
  <c r="N22" i="63" l="1"/>
  <c r="M23" i="63"/>
  <c r="N23" i="63" l="1"/>
  <c r="O22" i="63"/>
  <c r="O23" i="63" l="1"/>
  <c r="P22" i="63"/>
  <c r="P23" i="63" l="1"/>
  <c r="Q22" i="63"/>
  <c r="Q23" i="63" l="1"/>
  <c r="R22" i="63"/>
  <c r="R23" i="63" l="1"/>
  <c r="S22" i="63"/>
  <c r="S23" i="63" l="1"/>
  <c r="T22" i="63"/>
  <c r="T23" i="63" l="1"/>
  <c r="U22" i="63"/>
  <c r="U23" i="63" l="1"/>
  <c r="V22" i="63"/>
  <c r="V23" i="63" l="1"/>
  <c r="W22" i="63"/>
  <c r="W23" i="63" l="1"/>
  <c r="X22" i="63"/>
  <c r="X23" i="63" l="1"/>
  <c r="Y22" i="63"/>
  <c r="Y23" i="63" l="1"/>
  <c r="Z22" i="63"/>
  <c r="Z23" i="63" l="1"/>
  <c r="AA22" i="63"/>
  <c r="AA23" i="63" l="1"/>
  <c r="AB22" i="63"/>
  <c r="AB23" i="63" l="1"/>
  <c r="AC22" i="63"/>
  <c r="AD22" i="63" l="1"/>
  <c r="AC23" i="63"/>
  <c r="AD23" i="63" l="1"/>
  <c r="AE22" i="63"/>
  <c r="AE23" i="63" l="1"/>
  <c r="AF22" i="63"/>
  <c r="AF23" i="63" l="1"/>
  <c r="AG22" i="63"/>
  <c r="AG23" i="63" l="1"/>
  <c r="AH22" i="63"/>
  <c r="AH23" i="63" l="1"/>
  <c r="AI22" i="63"/>
  <c r="AI23" i="63" s="1"/>
  <c r="L4" i="48" l="1"/>
  <c r="L4" i="4"/>
  <c r="M4" i="4" s="1"/>
  <c r="N4" i="4" s="1"/>
  <c r="O4" i="4" s="1"/>
  <c r="P4" i="4" s="1"/>
  <c r="Q4" i="4" s="1"/>
  <c r="R4" i="4" s="1"/>
  <c r="S4" i="4" s="1"/>
  <c r="T4" i="4" s="1"/>
  <c r="U4" i="4" s="1"/>
  <c r="V4" i="4" s="1"/>
  <c r="W4" i="4" s="1"/>
  <c r="X4" i="4" s="1"/>
  <c r="Y4" i="4" s="1"/>
  <c r="Z4" i="4" s="1"/>
  <c r="AA4" i="4" s="1"/>
  <c r="AB4" i="4" s="1"/>
  <c r="AC4" i="4" s="1"/>
  <c r="AD4" i="4" s="1"/>
  <c r="AE4" i="4" s="1"/>
  <c r="AF4" i="4" s="1"/>
  <c r="AG4" i="4" s="1"/>
  <c r="AH4" i="4" s="1"/>
  <c r="AI4" i="4" s="1"/>
  <c r="M4" i="48" l="1"/>
  <c r="AI10" i="48"/>
  <c r="AH10" i="48"/>
  <c r="AG10" i="48"/>
  <c r="AF10" i="48"/>
  <c r="AE10" i="48"/>
  <c r="AD10" i="48"/>
  <c r="AC10" i="48"/>
  <c r="AB10" i="48"/>
  <c r="AA10" i="48"/>
  <c r="Z10" i="48"/>
  <c r="Y10" i="48"/>
  <c r="X10" i="48"/>
  <c r="W10" i="48"/>
  <c r="V10" i="48"/>
  <c r="U10" i="48"/>
  <c r="T10" i="48"/>
  <c r="S10" i="48"/>
  <c r="R10" i="48"/>
  <c r="Q10" i="48"/>
  <c r="P10" i="48"/>
  <c r="O10" i="48"/>
  <c r="N10" i="48"/>
  <c r="M10" i="48"/>
  <c r="L10" i="48"/>
  <c r="K10" i="48"/>
  <c r="AI9" i="48"/>
  <c r="AH9" i="48"/>
  <c r="AG9" i="48"/>
  <c r="AF9" i="48"/>
  <c r="AE9" i="48"/>
  <c r="AD9" i="48"/>
  <c r="AC9" i="48"/>
  <c r="AB9" i="48"/>
  <c r="AA9" i="48"/>
  <c r="Z9" i="48"/>
  <c r="Y9" i="48"/>
  <c r="X9" i="48"/>
  <c r="W9" i="48"/>
  <c r="V9" i="48"/>
  <c r="U9" i="48"/>
  <c r="T9" i="48"/>
  <c r="S9" i="48"/>
  <c r="R9" i="48"/>
  <c r="Q9" i="48"/>
  <c r="P9" i="48"/>
  <c r="O9" i="48"/>
  <c r="N9" i="48"/>
  <c r="M9" i="48"/>
  <c r="L9" i="48"/>
  <c r="K9" i="48"/>
  <c r="AI8" i="48"/>
  <c r="AH8" i="48"/>
  <c r="AG8" i="48"/>
  <c r="AF8" i="48"/>
  <c r="AE8" i="48"/>
  <c r="AD8" i="48"/>
  <c r="AC8" i="48"/>
  <c r="AB8" i="48"/>
  <c r="AA8" i="48"/>
  <c r="Z8" i="48"/>
  <c r="Y8" i="48"/>
  <c r="X8" i="48"/>
  <c r="W8" i="48"/>
  <c r="V8" i="48"/>
  <c r="U8" i="48"/>
  <c r="T8" i="48"/>
  <c r="S8" i="48"/>
  <c r="R8" i="48"/>
  <c r="Q8" i="48"/>
  <c r="P8" i="48"/>
  <c r="O8" i="48"/>
  <c r="N8" i="48"/>
  <c r="M8" i="48"/>
  <c r="L8" i="48"/>
  <c r="K8" i="48"/>
  <c r="L8" i="4"/>
  <c r="M8" i="4"/>
  <c r="N8" i="4"/>
  <c r="O8" i="4"/>
  <c r="P8" i="4"/>
  <c r="Q8" i="4"/>
  <c r="R8" i="4"/>
  <c r="S8" i="4"/>
  <c r="T8" i="4"/>
  <c r="U8" i="4"/>
  <c r="V8" i="4"/>
  <c r="W8" i="4"/>
  <c r="X8" i="4"/>
  <c r="Y8" i="4"/>
  <c r="Z8" i="4"/>
  <c r="AA8" i="4"/>
  <c r="AB8" i="4"/>
  <c r="AC8" i="4"/>
  <c r="AD8" i="4"/>
  <c r="AE8" i="4"/>
  <c r="AF8" i="4"/>
  <c r="AG8" i="4"/>
  <c r="AH8" i="4"/>
  <c r="AI8" i="4"/>
  <c r="L9" i="4"/>
  <c r="M9" i="4"/>
  <c r="N9" i="4"/>
  <c r="O9" i="4"/>
  <c r="P9" i="4"/>
  <c r="Q9" i="4"/>
  <c r="R9" i="4"/>
  <c r="S9" i="4"/>
  <c r="T9" i="4"/>
  <c r="U9" i="4"/>
  <c r="V9" i="4"/>
  <c r="W9" i="4"/>
  <c r="X9" i="4"/>
  <c r="Y9" i="4"/>
  <c r="Z9" i="4"/>
  <c r="AA9" i="4"/>
  <c r="AB9" i="4"/>
  <c r="AC9" i="4"/>
  <c r="AD9" i="4"/>
  <c r="AE9" i="4"/>
  <c r="AF9" i="4"/>
  <c r="AG9" i="4"/>
  <c r="AH9" i="4"/>
  <c r="AI9" i="4"/>
  <c r="L10" i="4"/>
  <c r="M10" i="4"/>
  <c r="N10" i="4"/>
  <c r="O10" i="4"/>
  <c r="P10" i="4"/>
  <c r="Q10" i="4"/>
  <c r="R10" i="4"/>
  <c r="S10" i="4"/>
  <c r="T10" i="4"/>
  <c r="U10" i="4"/>
  <c r="V10" i="4"/>
  <c r="W10" i="4"/>
  <c r="X10" i="4"/>
  <c r="Y10" i="4"/>
  <c r="Z10" i="4"/>
  <c r="AA10" i="4"/>
  <c r="AB10" i="4"/>
  <c r="AC10" i="4"/>
  <c r="AD10" i="4"/>
  <c r="AE10" i="4"/>
  <c r="AF10" i="4"/>
  <c r="AG10" i="4"/>
  <c r="AH10" i="4"/>
  <c r="AI10" i="4"/>
  <c r="K10" i="4"/>
  <c r="K9" i="4"/>
  <c r="N4" i="48" l="1"/>
  <c r="AE38" i="66"/>
  <c r="S38" i="66"/>
  <c r="AF38" i="66"/>
  <c r="AB38" i="66"/>
  <c r="X38" i="66"/>
  <c r="T38" i="66"/>
  <c r="P38" i="66"/>
  <c r="L38" i="66"/>
  <c r="AA38" i="66"/>
  <c r="O38" i="66"/>
  <c r="K38" i="66"/>
  <c r="AH38" i="66"/>
  <c r="AD38" i="66"/>
  <c r="Z38" i="66"/>
  <c r="V38" i="66"/>
  <c r="R38" i="66"/>
  <c r="N38" i="66"/>
  <c r="AI38" i="66"/>
  <c r="W38" i="66"/>
  <c r="AG38" i="66"/>
  <c r="AC38" i="66"/>
  <c r="Y38" i="66"/>
  <c r="U38" i="66"/>
  <c r="Q38" i="66"/>
  <c r="M38" i="66"/>
  <c r="K162" i="6"/>
  <c r="K161" i="6" s="1"/>
  <c r="L162" i="6"/>
  <c r="L161" i="6" s="1"/>
  <c r="M162" i="6"/>
  <c r="M161" i="6" s="1"/>
  <c r="N162" i="6"/>
  <c r="N161" i="6" s="1"/>
  <c r="O162" i="6"/>
  <c r="O161" i="6" s="1"/>
  <c r="P162" i="6"/>
  <c r="P161" i="6" s="1"/>
  <c r="Q162" i="6"/>
  <c r="Q161" i="6" s="1"/>
  <c r="R162" i="6"/>
  <c r="R161" i="6" s="1"/>
  <c r="S162" i="6"/>
  <c r="S161" i="6" s="1"/>
  <c r="T162" i="6"/>
  <c r="T161" i="6" s="1"/>
  <c r="U162" i="6"/>
  <c r="U161" i="6" s="1"/>
  <c r="V162" i="6"/>
  <c r="V161" i="6" s="1"/>
  <c r="W162" i="6"/>
  <c r="X162" i="6"/>
  <c r="X161" i="6" s="1"/>
  <c r="Y162" i="6"/>
  <c r="Y161" i="6" s="1"/>
  <c r="Z162" i="6"/>
  <c r="Z161" i="6" s="1"/>
  <c r="AA162" i="6"/>
  <c r="AA161" i="6" s="1"/>
  <c r="AB162" i="6"/>
  <c r="AB161" i="6" s="1"/>
  <c r="AC162" i="6"/>
  <c r="AC161" i="6" s="1"/>
  <c r="AD162" i="6"/>
  <c r="AD161" i="6" s="1"/>
  <c r="AE162" i="6"/>
  <c r="AE161" i="6" s="1"/>
  <c r="AF162" i="6"/>
  <c r="AF161" i="6" s="1"/>
  <c r="AG162" i="6"/>
  <c r="AG161" i="6" s="1"/>
  <c r="AH162" i="6"/>
  <c r="AH161" i="6" s="1"/>
  <c r="AI162" i="6"/>
  <c r="AI161" i="6" s="1"/>
  <c r="AJ162" i="6"/>
  <c r="AJ161" i="6" s="1"/>
  <c r="AK162" i="6"/>
  <c r="AK161" i="6" s="1"/>
  <c r="AL162" i="6"/>
  <c r="AL161" i="6" s="1"/>
  <c r="AM162" i="6"/>
  <c r="AM161" i="6" s="1"/>
  <c r="AN162" i="6"/>
  <c r="AN161" i="6" s="1"/>
  <c r="AO162" i="6"/>
  <c r="AO161" i="6" s="1"/>
  <c r="AP162" i="6"/>
  <c r="AP161" i="6" s="1"/>
  <c r="AQ162" i="6"/>
  <c r="AQ161" i="6" s="1"/>
  <c r="AR162" i="6"/>
  <c r="AR161" i="6" s="1"/>
  <c r="AS162" i="6"/>
  <c r="AS161" i="6" s="1"/>
  <c r="AT162" i="6"/>
  <c r="AT161" i="6" s="1"/>
  <c r="AU162" i="6"/>
  <c r="AV162" i="6"/>
  <c r="AW162" i="6"/>
  <c r="AX162" i="6"/>
  <c r="L57" i="48" l="1"/>
  <c r="K57" i="48"/>
  <c r="AU133" i="6"/>
  <c r="AT133" i="6"/>
  <c r="N57" i="48"/>
  <c r="M57" i="48"/>
  <c r="O4" i="48"/>
  <c r="O57" i="48" s="1"/>
  <c r="P16" i="66"/>
  <c r="AB16" i="66"/>
  <c r="Q16" i="66"/>
  <c r="L16" i="66"/>
  <c r="T16" i="66"/>
  <c r="AD16" i="66"/>
  <c r="AG16" i="66"/>
  <c r="W16" i="66"/>
  <c r="K16" i="66"/>
  <c r="AF16" i="66"/>
  <c r="R16" i="66"/>
  <c r="V16" i="66"/>
  <c r="Z16" i="66"/>
  <c r="AC16" i="66"/>
  <c r="AH16" i="66"/>
  <c r="O16" i="66"/>
  <c r="S16" i="66"/>
  <c r="U16" i="66"/>
  <c r="Y16" i="66"/>
  <c r="X16" i="66"/>
  <c r="AI16" i="66"/>
  <c r="M16" i="66"/>
  <c r="N16" i="66"/>
  <c r="AA16" i="66"/>
  <c r="AE16" i="66"/>
  <c r="W161" i="6"/>
  <c r="W10" i="15"/>
  <c r="AV161" i="6"/>
  <c r="AV8" i="27" s="1"/>
  <c r="AV9" i="27"/>
  <c r="AU161" i="6"/>
  <c r="AU8" i="27" s="1"/>
  <c r="AU9" i="27"/>
  <c r="AX161" i="6"/>
  <c r="AX8" i="27" s="1"/>
  <c r="AX9" i="27"/>
  <c r="AW161" i="6"/>
  <c r="AW8" i="27" s="1"/>
  <c r="AW9" i="27"/>
  <c r="K24" i="27"/>
  <c r="K26" i="27"/>
  <c r="L26" i="27"/>
  <c r="M26" i="27"/>
  <c r="N26" i="27"/>
  <c r="O26" i="27"/>
  <c r="P26" i="27"/>
  <c r="Q26" i="27"/>
  <c r="R26" i="27"/>
  <c r="S26" i="27"/>
  <c r="T26" i="27"/>
  <c r="K27" i="27"/>
  <c r="L27" i="27"/>
  <c r="M27" i="27"/>
  <c r="N27" i="27"/>
  <c r="O27" i="27"/>
  <c r="P27" i="27"/>
  <c r="Q27" i="27"/>
  <c r="R27" i="27"/>
  <c r="S27" i="27"/>
  <c r="T27" i="27"/>
  <c r="V26" i="27"/>
  <c r="W26" i="27"/>
  <c r="X26" i="27"/>
  <c r="Y26" i="27"/>
  <c r="Z26" i="27"/>
  <c r="AA26" i="27"/>
  <c r="AB26" i="27"/>
  <c r="AC26" i="27"/>
  <c r="AD26" i="27"/>
  <c r="AE26" i="27"/>
  <c r="AF26" i="27"/>
  <c r="AG26" i="27"/>
  <c r="AH26" i="27"/>
  <c r="AI26" i="27"/>
  <c r="AJ26" i="27"/>
  <c r="AK26" i="27"/>
  <c r="AL26" i="27"/>
  <c r="AM26" i="27"/>
  <c r="AN26" i="27"/>
  <c r="AO26" i="27"/>
  <c r="AP26" i="27"/>
  <c r="AQ26" i="27"/>
  <c r="AR26" i="27"/>
  <c r="AS26" i="27"/>
  <c r="AT26" i="27"/>
  <c r="V27" i="27"/>
  <c r="W27" i="27"/>
  <c r="X27" i="27"/>
  <c r="Y27" i="27"/>
  <c r="Z27" i="27"/>
  <c r="AA27" i="27"/>
  <c r="AB27" i="27"/>
  <c r="AC27" i="27"/>
  <c r="AD27" i="27"/>
  <c r="AE27" i="27"/>
  <c r="AF27" i="27"/>
  <c r="AG27" i="27"/>
  <c r="AH27" i="27"/>
  <c r="AI27" i="27"/>
  <c r="AJ27" i="27"/>
  <c r="AK27" i="27"/>
  <c r="AL27" i="27"/>
  <c r="AM27" i="27"/>
  <c r="AN27" i="27"/>
  <c r="AO27" i="27"/>
  <c r="AP27" i="27"/>
  <c r="AQ27" i="27"/>
  <c r="AR27" i="27"/>
  <c r="AS27" i="27"/>
  <c r="AT27" i="27"/>
  <c r="O38" i="48" l="1"/>
  <c r="N38" i="48"/>
  <c r="M40" i="48"/>
  <c r="M38" i="48"/>
  <c r="N75" i="48"/>
  <c r="K38" i="48"/>
  <c r="K75" i="48"/>
  <c r="L38" i="48"/>
  <c r="L75" i="48"/>
  <c r="M75" i="48"/>
  <c r="O75" i="48"/>
  <c r="AU16" i="27"/>
  <c r="AT16" i="27"/>
  <c r="AN16" i="27"/>
  <c r="AN133" i="6"/>
  <c r="AW16" i="27"/>
  <c r="AW133" i="6"/>
  <c r="AL16" i="27"/>
  <c r="AL133" i="6"/>
  <c r="L16" i="27"/>
  <c r="L133" i="6"/>
  <c r="AC16" i="27"/>
  <c r="AC133" i="6"/>
  <c r="AF16" i="27"/>
  <c r="AF133" i="6"/>
  <c r="AD16" i="27"/>
  <c r="AD133" i="6"/>
  <c r="AE16" i="27"/>
  <c r="AE133" i="6"/>
  <c r="T16" i="27"/>
  <c r="T133" i="6"/>
  <c r="AK16" i="27"/>
  <c r="AK133" i="6"/>
  <c r="AO16" i="27"/>
  <c r="AO133" i="6"/>
  <c r="V16" i="27"/>
  <c r="V133" i="6"/>
  <c r="K16" i="27"/>
  <c r="K133" i="6"/>
  <c r="AB16" i="27"/>
  <c r="AB133" i="6"/>
  <c r="AS16" i="27"/>
  <c r="AS133" i="6"/>
  <c r="AX16" i="27"/>
  <c r="AX133" i="6"/>
  <c r="AM16" i="27"/>
  <c r="AM133" i="6"/>
  <c r="R16" i="27"/>
  <c r="R133" i="6"/>
  <c r="S16" i="27"/>
  <c r="S133" i="6"/>
  <c r="AJ16" i="27"/>
  <c r="AJ133" i="6"/>
  <c r="O16" i="27"/>
  <c r="O133" i="6"/>
  <c r="W16" i="27"/>
  <c r="W133" i="6"/>
  <c r="Q16" i="27"/>
  <c r="Q133" i="6"/>
  <c r="Z16" i="27"/>
  <c r="Z133" i="6"/>
  <c r="AA16" i="27"/>
  <c r="AA133" i="6"/>
  <c r="AR16" i="27"/>
  <c r="AR133" i="6"/>
  <c r="AV16" i="27"/>
  <c r="AV133" i="6"/>
  <c r="P16" i="27"/>
  <c r="P133" i="6"/>
  <c r="Y16" i="27"/>
  <c r="Y133" i="6"/>
  <c r="AH16" i="27"/>
  <c r="AH133" i="6"/>
  <c r="AI16" i="27"/>
  <c r="AI133" i="6"/>
  <c r="N16" i="27"/>
  <c r="N133" i="6"/>
  <c r="U16" i="27"/>
  <c r="U133" i="6"/>
  <c r="X16" i="27"/>
  <c r="X133" i="6"/>
  <c r="AG16" i="27"/>
  <c r="AG133" i="6"/>
  <c r="AP16" i="27"/>
  <c r="AP133" i="6"/>
  <c r="AQ16" i="27"/>
  <c r="AQ133" i="6"/>
  <c r="M16" i="27"/>
  <c r="M133" i="6"/>
  <c r="P4" i="48"/>
  <c r="P57" i="48" s="1"/>
  <c r="L167" i="6"/>
  <c r="L13" i="27" s="1"/>
  <c r="M167" i="6"/>
  <c r="M13" i="27" s="1"/>
  <c r="N167" i="6"/>
  <c r="N13" i="27" s="1"/>
  <c r="O167" i="6"/>
  <c r="O13" i="27" s="1"/>
  <c r="P167" i="6"/>
  <c r="P13" i="27" s="1"/>
  <c r="Q167" i="6"/>
  <c r="Q13" i="27" s="1"/>
  <c r="R167" i="6"/>
  <c r="R13" i="27" s="1"/>
  <c r="S167" i="6"/>
  <c r="S13" i="27" s="1"/>
  <c r="T167" i="6"/>
  <c r="T13" i="27" s="1"/>
  <c r="U167" i="6"/>
  <c r="U13" i="27" s="1"/>
  <c r="V167" i="6"/>
  <c r="V13" i="27" s="1"/>
  <c r="W167" i="6"/>
  <c r="W13" i="27" s="1"/>
  <c r="X167" i="6"/>
  <c r="X13" i="27" s="1"/>
  <c r="Y167" i="6"/>
  <c r="Y13" i="27" s="1"/>
  <c r="Z167" i="6"/>
  <c r="Z13" i="27" s="1"/>
  <c r="AA167" i="6"/>
  <c r="AA13" i="27" s="1"/>
  <c r="AB167" i="6"/>
  <c r="AB13" i="27" s="1"/>
  <c r="AC167" i="6"/>
  <c r="AC13" i="27" s="1"/>
  <c r="AD167" i="6"/>
  <c r="AD13" i="27" s="1"/>
  <c r="AE167" i="6"/>
  <c r="AE13" i="27" s="1"/>
  <c r="AF167" i="6"/>
  <c r="AF13" i="27" s="1"/>
  <c r="AG167" i="6"/>
  <c r="AG13" i="27" s="1"/>
  <c r="AH167" i="6"/>
  <c r="AH13" i="27" s="1"/>
  <c r="AI167" i="6"/>
  <c r="AI13" i="27" s="1"/>
  <c r="AJ167" i="6"/>
  <c r="AJ13" i="27" s="1"/>
  <c r="AK167" i="6"/>
  <c r="AK13" i="27" s="1"/>
  <c r="AL167" i="6"/>
  <c r="AL13" i="27" s="1"/>
  <c r="AM167" i="6"/>
  <c r="AM13" i="27" s="1"/>
  <c r="AN167" i="6"/>
  <c r="AN13" i="27" s="1"/>
  <c r="AO167" i="6"/>
  <c r="AO13" i="27" s="1"/>
  <c r="AP167" i="6"/>
  <c r="AP13" i="27" s="1"/>
  <c r="AQ167" i="6"/>
  <c r="AQ13" i="27" s="1"/>
  <c r="AR167" i="6"/>
  <c r="AR13" i="27" s="1"/>
  <c r="AS167" i="6"/>
  <c r="AS13" i="27" s="1"/>
  <c r="AT167" i="6"/>
  <c r="AT13" i="27" s="1"/>
  <c r="AU167" i="6"/>
  <c r="AU13" i="27" s="1"/>
  <c r="AV167" i="6"/>
  <c r="AV13" i="27" s="1"/>
  <c r="AW167" i="6"/>
  <c r="AW13" i="27" s="1"/>
  <c r="AX13" i="27"/>
  <c r="K167" i="6"/>
  <c r="K13" i="27" s="1"/>
  <c r="P38" i="48" l="1"/>
  <c r="P75" i="48"/>
  <c r="AP61" i="27"/>
  <c r="N61" i="27"/>
  <c r="U61" i="27"/>
  <c r="P61" i="27"/>
  <c r="AI61" i="27"/>
  <c r="Q61" i="27"/>
  <c r="AS61" i="27"/>
  <c r="AO61" i="27"/>
  <c r="AL61" i="27"/>
  <c r="AG61" i="27"/>
  <c r="AV61" i="27"/>
  <c r="S61" i="27"/>
  <c r="AD61" i="27"/>
  <c r="X61" i="27"/>
  <c r="AR61" i="27"/>
  <c r="R61" i="27"/>
  <c r="AK61" i="27"/>
  <c r="AW61" i="27"/>
  <c r="M61" i="27"/>
  <c r="AH61" i="27"/>
  <c r="W61" i="27"/>
  <c r="AB61" i="27"/>
  <c r="AF61" i="27"/>
  <c r="AQ61" i="27"/>
  <c r="Y61" i="27"/>
  <c r="O61" i="27"/>
  <c r="AM61" i="27"/>
  <c r="T61" i="27"/>
  <c r="AC61" i="27"/>
  <c r="AN61" i="27"/>
  <c r="AA61" i="27"/>
  <c r="K61" i="27"/>
  <c r="AT61" i="27"/>
  <c r="Z61" i="27"/>
  <c r="AJ61" i="27"/>
  <c r="AX61" i="27"/>
  <c r="V61" i="27"/>
  <c r="AE61" i="27"/>
  <c r="L61" i="27"/>
  <c r="AU61" i="27"/>
  <c r="K40" i="48"/>
  <c r="K24" i="66"/>
  <c r="K26" i="66" s="1"/>
  <c r="K39" i="48"/>
  <c r="P39" i="48"/>
  <c r="P40" i="48"/>
  <c r="O40" i="48"/>
  <c r="O39" i="48"/>
  <c r="M39" i="48"/>
  <c r="M24" i="66"/>
  <c r="M26" i="66" s="1"/>
  <c r="L40" i="48"/>
  <c r="L39" i="48"/>
  <c r="L24" i="66"/>
  <c r="L26" i="66" s="1"/>
  <c r="N40" i="48"/>
  <c r="N39" i="48"/>
  <c r="N24" i="66"/>
  <c r="AR123" i="27"/>
  <c r="AR129" i="27" s="1"/>
  <c r="Z121" i="27"/>
  <c r="Z127" i="27" s="1"/>
  <c r="Z138" i="27" s="1"/>
  <c r="Q122" i="27"/>
  <c r="Q128" i="27" s="1"/>
  <c r="P119" i="27"/>
  <c r="P125" i="27" s="1"/>
  <c r="AR122" i="27"/>
  <c r="AR128" i="27" s="1"/>
  <c r="T121" i="27"/>
  <c r="T127" i="27" s="1"/>
  <c r="T138" i="27" s="1"/>
  <c r="AD120" i="27"/>
  <c r="AD126" i="27" s="1"/>
  <c r="L122" i="27"/>
  <c r="L128" i="27" s="1"/>
  <c r="AC120" i="27"/>
  <c r="AC126" i="27" s="1"/>
  <c r="W121" i="27"/>
  <c r="W127" i="27" s="1"/>
  <c r="W138" i="27" s="1"/>
  <c r="AN123" i="27"/>
  <c r="AN129" i="27" s="1"/>
  <c r="AW119" i="27"/>
  <c r="AW125" i="27" s="1"/>
  <c r="R123" i="27"/>
  <c r="R129" i="27" s="1"/>
  <c r="AI123" i="27"/>
  <c r="AI129" i="27" s="1"/>
  <c r="R121" i="27"/>
  <c r="R127" i="27" s="1"/>
  <c r="R138" i="27" s="1"/>
  <c r="U119" i="27"/>
  <c r="U125" i="27" s="1"/>
  <c r="AH122" i="27"/>
  <c r="AH128" i="27" s="1"/>
  <c r="AO123" i="27"/>
  <c r="AO129" i="27" s="1"/>
  <c r="AT120" i="27"/>
  <c r="AT126" i="27" s="1"/>
  <c r="AO120" i="27"/>
  <c r="AO126" i="27" s="1"/>
  <c r="AQ123" i="27"/>
  <c r="AQ129" i="27" s="1"/>
  <c r="AB120" i="27"/>
  <c r="AB126" i="27" s="1"/>
  <c r="M121" i="27"/>
  <c r="M127" i="27" s="1"/>
  <c r="M138" i="27" s="1"/>
  <c r="V123" i="27"/>
  <c r="V129" i="27" s="1"/>
  <c r="V121" i="27"/>
  <c r="V127" i="27" s="1"/>
  <c r="V138" i="27" s="1"/>
  <c r="AP119" i="27"/>
  <c r="AP125" i="27" s="1"/>
  <c r="T122" i="27"/>
  <c r="T128" i="27" s="1"/>
  <c r="AB119" i="27"/>
  <c r="AB125" i="27" s="1"/>
  <c r="V120" i="27"/>
  <c r="V126" i="27" s="1"/>
  <c r="T120" i="27"/>
  <c r="T126" i="27" s="1"/>
  <c r="AV121" i="27"/>
  <c r="AV127" i="27" s="1"/>
  <c r="AV138" i="27" s="1"/>
  <c r="AC119" i="27"/>
  <c r="AC125" i="27" s="1"/>
  <c r="AW120" i="27"/>
  <c r="AW126" i="27" s="1"/>
  <c r="O119" i="27"/>
  <c r="O125" i="27" s="1"/>
  <c r="AO119" i="27"/>
  <c r="AO125" i="27" s="1"/>
  <c r="M120" i="27"/>
  <c r="M126" i="27" s="1"/>
  <c r="AG119" i="27"/>
  <c r="AG125" i="27" s="1"/>
  <c r="P120" i="27"/>
  <c r="P126" i="27" s="1"/>
  <c r="Z120" i="27"/>
  <c r="Z126" i="27" s="1"/>
  <c r="AJ122" i="27"/>
  <c r="AJ128" i="27" s="1"/>
  <c r="AH123" i="27"/>
  <c r="AH129" i="27" s="1"/>
  <c r="T123" i="27"/>
  <c r="T129" i="27" s="1"/>
  <c r="AV122" i="27"/>
  <c r="AV128" i="27" s="1"/>
  <c r="AN122" i="27"/>
  <c r="AN128" i="27" s="1"/>
  <c r="O122" i="27"/>
  <c r="O128" i="27" s="1"/>
  <c r="AQ122" i="27"/>
  <c r="AQ128" i="27" s="1"/>
  <c r="X122" i="27"/>
  <c r="X128" i="27" s="1"/>
  <c r="Q123" i="27"/>
  <c r="Q129" i="27" s="1"/>
  <c r="V119" i="27"/>
  <c r="V125" i="27" s="1"/>
  <c r="AJ121" i="27"/>
  <c r="AJ127" i="27" s="1"/>
  <c r="AJ138" i="27" s="1"/>
  <c r="L121" i="27"/>
  <c r="L127" i="27" s="1"/>
  <c r="L138" i="27" s="1"/>
  <c r="AF120" i="27"/>
  <c r="AF126" i="27" s="1"/>
  <c r="M119" i="27"/>
  <c r="M125" i="27" s="1"/>
  <c r="AG120" i="27"/>
  <c r="AG126" i="27" s="1"/>
  <c r="AR121" i="27"/>
  <c r="AR127" i="27" s="1"/>
  <c r="AR138" i="27" s="1"/>
  <c r="Z119" i="27"/>
  <c r="Z125" i="27" s="1"/>
  <c r="AJ123" i="27"/>
  <c r="AJ129" i="27" s="1"/>
  <c r="AM122" i="27"/>
  <c r="AM128" i="27" s="1"/>
  <c r="K123" i="27"/>
  <c r="K129" i="27" s="1"/>
  <c r="P122" i="27"/>
  <c r="P128" i="27" s="1"/>
  <c r="AV123" i="27"/>
  <c r="AV129" i="27" s="1"/>
  <c r="AL122" i="27"/>
  <c r="AL128" i="27" s="1"/>
  <c r="O123" i="27"/>
  <c r="O129" i="27" s="1"/>
  <c r="AF123" i="27"/>
  <c r="AF129" i="27" s="1"/>
  <c r="X123" i="27"/>
  <c r="X129" i="27" s="1"/>
  <c r="AA122" i="27"/>
  <c r="AA128" i="27" s="1"/>
  <c r="K122" i="27"/>
  <c r="K128" i="27" s="1"/>
  <c r="R119" i="27"/>
  <c r="R125" i="27" s="1"/>
  <c r="AV120" i="27"/>
  <c r="AV126" i="27" s="1"/>
  <c r="AM120" i="27"/>
  <c r="AM126" i="27" s="1"/>
  <c r="Y121" i="27"/>
  <c r="Y127" i="27" s="1"/>
  <c r="Y138" i="27" s="1"/>
  <c r="K120" i="27"/>
  <c r="K126" i="27" s="1"/>
  <c r="AH121" i="27"/>
  <c r="AH127" i="27" s="1"/>
  <c r="AH138" i="27" s="1"/>
  <c r="AE120" i="27"/>
  <c r="AE126" i="27" s="1"/>
  <c r="AV119" i="27"/>
  <c r="AV125" i="27" s="1"/>
  <c r="L120" i="27"/>
  <c r="L126" i="27" s="1"/>
  <c r="AN121" i="27"/>
  <c r="AN127" i="27" s="1"/>
  <c r="AN138" i="27" s="1"/>
  <c r="O121" i="27"/>
  <c r="O127" i="27" s="1"/>
  <c r="O138" i="27" s="1"/>
  <c r="AF119" i="27"/>
  <c r="AF125" i="27" s="1"/>
  <c r="AQ121" i="27"/>
  <c r="AQ127" i="27" s="1"/>
  <c r="AQ138" i="27" s="1"/>
  <c r="AG121" i="27"/>
  <c r="AG127" i="27" s="1"/>
  <c r="AG138" i="27" s="1"/>
  <c r="AR120" i="27"/>
  <c r="AR126" i="27" s="1"/>
  <c r="Q120" i="27"/>
  <c r="Q126" i="27" s="1"/>
  <c r="AM123" i="27"/>
  <c r="AM129" i="27" s="1"/>
  <c r="AS122" i="27"/>
  <c r="AS128" i="27" s="1"/>
  <c r="P123" i="27"/>
  <c r="P129" i="27" s="1"/>
  <c r="AE122" i="27"/>
  <c r="AE128" i="27" s="1"/>
  <c r="AL123" i="27"/>
  <c r="AL129" i="27" s="1"/>
  <c r="Y122" i="27"/>
  <c r="Y128" i="27" s="1"/>
  <c r="AF122" i="27"/>
  <c r="AF128" i="27" s="1"/>
  <c r="AP122" i="27"/>
  <c r="AP128" i="27" s="1"/>
  <c r="AA123" i="27"/>
  <c r="AA129" i="27" s="1"/>
  <c r="W122" i="27"/>
  <c r="W128" i="27" s="1"/>
  <c r="K119" i="27"/>
  <c r="K125" i="27" s="1"/>
  <c r="O120" i="27"/>
  <c r="O126" i="27" s="1"/>
  <c r="AM119" i="27"/>
  <c r="AM125" i="27" s="1"/>
  <c r="AS121" i="27"/>
  <c r="AS127" i="27" s="1"/>
  <c r="AS138" i="27" s="1"/>
  <c r="K121" i="27"/>
  <c r="K127" i="27" s="1"/>
  <c r="K138" i="27" s="1"/>
  <c r="AH119" i="27"/>
  <c r="AH125" i="27" s="1"/>
  <c r="AE119" i="27"/>
  <c r="AE125" i="27" s="1"/>
  <c r="N119" i="27"/>
  <c r="N125" i="27" s="1"/>
  <c r="L119" i="27"/>
  <c r="L125" i="27" s="1"/>
  <c r="AN119" i="27"/>
  <c r="AN125" i="27" s="1"/>
  <c r="AX120" i="27"/>
  <c r="AX126" i="27" s="1"/>
  <c r="AF121" i="27"/>
  <c r="AF127" i="27" s="1"/>
  <c r="AF138" i="27" s="1"/>
  <c r="AQ120" i="27"/>
  <c r="AQ126" i="27" s="1"/>
  <c r="X121" i="27"/>
  <c r="X127" i="27" s="1"/>
  <c r="X138" i="27" s="1"/>
  <c r="AR119" i="27"/>
  <c r="AR125" i="27" s="1"/>
  <c r="Q119" i="27"/>
  <c r="Q125" i="27" s="1"/>
  <c r="S122" i="27"/>
  <c r="S128" i="27" s="1"/>
  <c r="AS123" i="27"/>
  <c r="AS129" i="27" s="1"/>
  <c r="AU122" i="27"/>
  <c r="AU128" i="27" s="1"/>
  <c r="AE123" i="27"/>
  <c r="AE129" i="27" s="1"/>
  <c r="AC122" i="27"/>
  <c r="AC128" i="27" s="1"/>
  <c r="Y123" i="27"/>
  <c r="Y129" i="27" s="1"/>
  <c r="AX122" i="27"/>
  <c r="AX128" i="27" s="1"/>
  <c r="AP123" i="27"/>
  <c r="AP129" i="27" s="1"/>
  <c r="N122" i="27"/>
  <c r="N128" i="27" s="1"/>
  <c r="W123" i="27"/>
  <c r="W129" i="27" s="1"/>
  <c r="R120" i="27"/>
  <c r="R126" i="27" s="1"/>
  <c r="AH120" i="27"/>
  <c r="AH126" i="27" s="1"/>
  <c r="AJ120" i="27"/>
  <c r="AJ126" i="27" s="1"/>
  <c r="S121" i="27"/>
  <c r="S127" i="27" s="1"/>
  <c r="S138" i="27" s="1"/>
  <c r="AM121" i="27"/>
  <c r="AM127" i="27" s="1"/>
  <c r="AM138" i="27" s="1"/>
  <c r="AS120" i="27"/>
  <c r="AS126" i="27" s="1"/>
  <c r="AU120" i="27"/>
  <c r="AU126" i="27" s="1"/>
  <c r="AK121" i="27"/>
  <c r="AK127" i="27" s="1"/>
  <c r="AK138" i="27" s="1"/>
  <c r="AE121" i="27"/>
  <c r="AE127" i="27" s="1"/>
  <c r="AE138" i="27" s="1"/>
  <c r="N121" i="27"/>
  <c r="N127" i="27" s="1"/>
  <c r="N138" i="27" s="1"/>
  <c r="AL119" i="27"/>
  <c r="AL125" i="27" s="1"/>
  <c r="AN120" i="27"/>
  <c r="AN126" i="27" s="1"/>
  <c r="AX121" i="27"/>
  <c r="AX127" i="27" s="1"/>
  <c r="AX138" i="27" s="1"/>
  <c r="AI121" i="27"/>
  <c r="AI127" i="27" s="1"/>
  <c r="AI138" i="27" s="1"/>
  <c r="AQ119" i="27"/>
  <c r="AQ125" i="27" s="1"/>
  <c r="X119" i="27"/>
  <c r="X125" i="27" s="1"/>
  <c r="AA121" i="27"/>
  <c r="AA127" i="27" s="1"/>
  <c r="AA138" i="27" s="1"/>
  <c r="Q121" i="27"/>
  <c r="Q127" i="27" s="1"/>
  <c r="Q138" i="27" s="1"/>
  <c r="S123" i="27"/>
  <c r="S129" i="27" s="1"/>
  <c r="AT122" i="27"/>
  <c r="AT128" i="27" s="1"/>
  <c r="AU123" i="27"/>
  <c r="AU129" i="27" s="1"/>
  <c r="AK122" i="27"/>
  <c r="AK128" i="27" s="1"/>
  <c r="AC123" i="27"/>
  <c r="AC129" i="27" s="1"/>
  <c r="AW122" i="27"/>
  <c r="AW128" i="27" s="1"/>
  <c r="AX123" i="27"/>
  <c r="AX129" i="27" s="1"/>
  <c r="M122" i="27"/>
  <c r="M128" i="27" s="1"/>
  <c r="N123" i="27"/>
  <c r="N129" i="27" s="1"/>
  <c r="Z122" i="27"/>
  <c r="Z128" i="27" s="1"/>
  <c r="Y120" i="27"/>
  <c r="Y126" i="27" s="1"/>
  <c r="T119" i="27"/>
  <c r="T125" i="27" s="1"/>
  <c r="AJ119" i="27"/>
  <c r="AJ125" i="27" s="1"/>
  <c r="S120" i="27"/>
  <c r="S126" i="27" s="1"/>
  <c r="AT119" i="27"/>
  <c r="AT125" i="27" s="1"/>
  <c r="AS119" i="27"/>
  <c r="AS125" i="27" s="1"/>
  <c r="AU119" i="27"/>
  <c r="AU125" i="27" s="1"/>
  <c r="AK120" i="27"/>
  <c r="AK126" i="27" s="1"/>
  <c r="AD119" i="27"/>
  <c r="AD125" i="27" s="1"/>
  <c r="N120" i="27"/>
  <c r="N126" i="27" s="1"/>
  <c r="AL121" i="27"/>
  <c r="AL127" i="27" s="1"/>
  <c r="AL138" i="27" s="1"/>
  <c r="U121" i="27"/>
  <c r="U127" i="27" s="1"/>
  <c r="U138" i="27" s="1"/>
  <c r="AX119" i="27"/>
  <c r="AX125" i="27" s="1"/>
  <c r="AI120" i="27"/>
  <c r="AI126" i="27" s="1"/>
  <c r="AP121" i="27"/>
  <c r="AP127" i="27" s="1"/>
  <c r="AP138" i="27" s="1"/>
  <c r="X120" i="27"/>
  <c r="X126" i="27" s="1"/>
  <c r="AA120" i="27"/>
  <c r="AA126" i="27" s="1"/>
  <c r="W120" i="27"/>
  <c r="W126" i="27" s="1"/>
  <c r="AT123" i="27"/>
  <c r="AT129" i="27" s="1"/>
  <c r="AB122" i="27"/>
  <c r="AB128" i="27" s="1"/>
  <c r="AK123" i="27"/>
  <c r="AK129" i="27" s="1"/>
  <c r="AD122" i="27"/>
  <c r="AD128" i="27" s="1"/>
  <c r="AW123" i="27"/>
  <c r="AW129" i="27" s="1"/>
  <c r="U122" i="27"/>
  <c r="U128" i="27" s="1"/>
  <c r="M123" i="27"/>
  <c r="M129" i="27" s="1"/>
  <c r="AG122" i="27"/>
  <c r="AG128" i="27" s="1"/>
  <c r="Z123" i="27"/>
  <c r="Z129" i="27" s="1"/>
  <c r="AI122" i="27"/>
  <c r="AI128" i="27" s="1"/>
  <c r="Y119" i="27"/>
  <c r="Y125" i="27" s="1"/>
  <c r="AW121" i="27"/>
  <c r="AW127" i="27" s="1"/>
  <c r="AW138" i="27" s="1"/>
  <c r="S119" i="27"/>
  <c r="S125" i="27" s="1"/>
  <c r="AT121" i="27"/>
  <c r="AT127" i="27" s="1"/>
  <c r="AT138" i="27" s="1"/>
  <c r="AB121" i="27"/>
  <c r="AB127" i="27" s="1"/>
  <c r="AB138" i="27" s="1"/>
  <c r="AU121" i="27"/>
  <c r="AU127" i="27" s="1"/>
  <c r="AU138" i="27" s="1"/>
  <c r="AK119" i="27"/>
  <c r="AK125" i="27" s="1"/>
  <c r="AD121" i="27"/>
  <c r="AD127" i="27" s="1"/>
  <c r="AD138" i="27" s="1"/>
  <c r="AC121" i="27"/>
  <c r="AC127" i="27" s="1"/>
  <c r="AC138" i="27" s="1"/>
  <c r="AL120" i="27"/>
  <c r="AL126" i="27" s="1"/>
  <c r="U120" i="27"/>
  <c r="U126" i="27" s="1"/>
  <c r="AO121" i="27"/>
  <c r="AO127" i="27" s="1"/>
  <c r="AO138" i="27" s="1"/>
  <c r="AI119" i="27"/>
  <c r="AI125" i="27" s="1"/>
  <c r="AP120" i="27"/>
  <c r="AP126" i="27" s="1"/>
  <c r="P121" i="27"/>
  <c r="P127" i="27" s="1"/>
  <c r="P138" i="27" s="1"/>
  <c r="AA119" i="27"/>
  <c r="AA125" i="27" s="1"/>
  <c r="W119" i="27"/>
  <c r="W125" i="27" s="1"/>
  <c r="R122" i="27"/>
  <c r="R128" i="27" s="1"/>
  <c r="AB123" i="27"/>
  <c r="AB129" i="27" s="1"/>
  <c r="V122" i="27"/>
  <c r="V128" i="27" s="1"/>
  <c r="AD123" i="27"/>
  <c r="AD129" i="27" s="1"/>
  <c r="L123" i="27"/>
  <c r="L129" i="27" s="1"/>
  <c r="U123" i="27"/>
  <c r="U129" i="27" s="1"/>
  <c r="AO122" i="27"/>
  <c r="AO128" i="27" s="1"/>
  <c r="AG123" i="27"/>
  <c r="AG129" i="27" s="1"/>
  <c r="O24" i="66"/>
  <c r="O26" i="66" s="1"/>
  <c r="Q4" i="48"/>
  <c r="V21" i="15"/>
  <c r="W21" i="15"/>
  <c r="X21" i="15"/>
  <c r="Y21" i="15"/>
  <c r="Z21" i="15"/>
  <c r="AA21" i="15"/>
  <c r="AB21" i="15"/>
  <c r="AC21" i="15"/>
  <c r="AD21" i="15"/>
  <c r="AE21" i="15"/>
  <c r="AF21" i="15"/>
  <c r="AG21" i="15"/>
  <c r="AH21" i="15"/>
  <c r="AI21" i="15"/>
  <c r="AJ21" i="15"/>
  <c r="AK21" i="15"/>
  <c r="AL21" i="15"/>
  <c r="AM21" i="15"/>
  <c r="AN21" i="15"/>
  <c r="AO21" i="15"/>
  <c r="AP21" i="15"/>
  <c r="AQ21" i="15"/>
  <c r="AR21" i="15"/>
  <c r="AS21" i="15"/>
  <c r="AT21" i="15"/>
  <c r="AU21" i="15"/>
  <c r="AV21" i="15"/>
  <c r="AW21" i="15"/>
  <c r="AX21" i="15"/>
  <c r="V22" i="15"/>
  <c r="W22" i="15"/>
  <c r="X22" i="15"/>
  <c r="Y22" i="15"/>
  <c r="Z22" i="15"/>
  <c r="AA22" i="15"/>
  <c r="AB22" i="15"/>
  <c r="AC22" i="15"/>
  <c r="AD22" i="15"/>
  <c r="AE22" i="15"/>
  <c r="AF22" i="15"/>
  <c r="AG22" i="15"/>
  <c r="AH22" i="15"/>
  <c r="AI22" i="15"/>
  <c r="AJ22" i="15"/>
  <c r="AK22" i="15"/>
  <c r="AL22" i="15"/>
  <c r="AM22" i="15"/>
  <c r="AN22" i="15"/>
  <c r="AO22" i="15"/>
  <c r="AP22" i="15"/>
  <c r="AQ22" i="15"/>
  <c r="AR22" i="15"/>
  <c r="AS22" i="15"/>
  <c r="AT22" i="15"/>
  <c r="AU22" i="15"/>
  <c r="AV22" i="15"/>
  <c r="AW22" i="15"/>
  <c r="AX22" i="15"/>
  <c r="Q57" i="48" l="1"/>
  <c r="N26" i="66"/>
  <c r="AG139" i="27"/>
  <c r="AI139" i="27"/>
  <c r="AA139" i="27"/>
  <c r="Q49" i="48"/>
  <c r="Q50" i="48" s="1"/>
  <c r="P49" i="48"/>
  <c r="P50" i="48" s="1"/>
  <c r="O49" i="48"/>
  <c r="O50" i="48" s="1"/>
  <c r="AR139" i="27"/>
  <c r="K49" i="48"/>
  <c r="K50" i="48" s="1"/>
  <c r="L49" i="48"/>
  <c r="L50" i="48" s="1"/>
  <c r="M49" i="48"/>
  <c r="M50" i="48" s="1"/>
  <c r="AV139" i="27"/>
  <c r="N49" i="48"/>
  <c r="N50" i="48" s="1"/>
  <c r="AF139" i="27"/>
  <c r="AN139" i="27"/>
  <c r="AS139" i="27"/>
  <c r="AJ139" i="27"/>
  <c r="N139" i="27"/>
  <c r="V139" i="27"/>
  <c r="Z139" i="27"/>
  <c r="Y139" i="27"/>
  <c r="Q139" i="27"/>
  <c r="AK139" i="27"/>
  <c r="AU139" i="27"/>
  <c r="AE139" i="27"/>
  <c r="K139" i="27"/>
  <c r="AH139" i="27"/>
  <c r="R139" i="27"/>
  <c r="AB139" i="27"/>
  <c r="AX139" i="27"/>
  <c r="AM139" i="27"/>
  <c r="AW139" i="27"/>
  <c r="AQ139" i="27"/>
  <c r="O139" i="27"/>
  <c r="AP139" i="27"/>
  <c r="X139" i="27"/>
  <c r="AO139" i="27"/>
  <c r="AT139" i="27"/>
  <c r="AC139" i="27"/>
  <c r="S139" i="27"/>
  <c r="P139" i="27"/>
  <c r="T139" i="27"/>
  <c r="L139" i="27"/>
  <c r="AD139" i="27"/>
  <c r="M139" i="27"/>
  <c r="AL139" i="27"/>
  <c r="W139" i="27"/>
  <c r="U139" i="27"/>
  <c r="P24" i="66"/>
  <c r="R4" i="48"/>
  <c r="K34" i="15"/>
  <c r="K10" i="15"/>
  <c r="Q75" i="48" l="1"/>
  <c r="Q38" i="48"/>
  <c r="R57" i="48"/>
  <c r="Q40" i="48"/>
  <c r="Q39" i="48"/>
  <c r="R49" i="48"/>
  <c r="R50" i="48" s="1"/>
  <c r="Q24" i="66"/>
  <c r="P26" i="66"/>
  <c r="K35" i="15"/>
  <c r="K41" i="15" s="1"/>
  <c r="S4" i="48"/>
  <c r="K8" i="15"/>
  <c r="K12" i="27"/>
  <c r="K12" i="15"/>
  <c r="K9" i="27"/>
  <c r="R75" i="48" l="1"/>
  <c r="R38" i="48"/>
  <c r="S57" i="48"/>
  <c r="S49" i="48"/>
  <c r="S50" i="48" s="1"/>
  <c r="R39" i="48"/>
  <c r="R40" i="48"/>
  <c r="R24" i="66"/>
  <c r="Q26" i="66"/>
  <c r="K155" i="27"/>
  <c r="K44" i="15" s="1"/>
  <c r="T4" i="48"/>
  <c r="K36" i="15"/>
  <c r="L32" i="15" s="1"/>
  <c r="L34" i="15" s="1"/>
  <c r="K9" i="15"/>
  <c r="K8" i="27"/>
  <c r="S75" i="48" l="1"/>
  <c r="S38" i="48"/>
  <c r="T57" i="48"/>
  <c r="T49" i="48"/>
  <c r="T50" i="48" s="1"/>
  <c r="S39" i="48"/>
  <c r="S40" i="48"/>
  <c r="S24" i="66"/>
  <c r="R26" i="66"/>
  <c r="L35" i="15"/>
  <c r="L41" i="15" s="1"/>
  <c r="U4" i="48"/>
  <c r="I31" i="63"/>
  <c r="E22" i="15"/>
  <c r="G19" i="48"/>
  <c r="G19" i="4"/>
  <c r="G20" i="48"/>
  <c r="I20" i="48"/>
  <c r="G31" i="48"/>
  <c r="G38" i="68" s="1"/>
  <c r="G20" i="4"/>
  <c r="I20" i="4"/>
  <c r="K23" i="4" s="1"/>
  <c r="G31" i="4"/>
  <c r="G38" i="67" s="1"/>
  <c r="E21" i="15"/>
  <c r="E20" i="15"/>
  <c r="G37" i="27"/>
  <c r="G38" i="27"/>
  <c r="G22" i="27"/>
  <c r="I37" i="27"/>
  <c r="I38" i="27"/>
  <c r="T75" i="48" l="1"/>
  <c r="T38" i="48"/>
  <c r="U57" i="48"/>
  <c r="U49" i="48"/>
  <c r="U50" i="48" s="1"/>
  <c r="T40" i="48"/>
  <c r="T39" i="48"/>
  <c r="T24" i="66"/>
  <c r="S26" i="66"/>
  <c r="L36" i="15"/>
  <c r="M32" i="15" s="1"/>
  <c r="M34" i="15" s="1"/>
  <c r="V4" i="48"/>
  <c r="T23" i="48"/>
  <c r="P23" i="48"/>
  <c r="L23" i="48"/>
  <c r="S23" i="48"/>
  <c r="O23" i="48"/>
  <c r="K23" i="48"/>
  <c r="R23" i="48"/>
  <c r="N23" i="48"/>
  <c r="Q23" i="48"/>
  <c r="U23" i="48"/>
  <c r="M23" i="48"/>
  <c r="AI23" i="4"/>
  <c r="AE23" i="4"/>
  <c r="AA23" i="4"/>
  <c r="W23" i="4"/>
  <c r="S23" i="4"/>
  <c r="O23" i="4"/>
  <c r="AG23" i="4"/>
  <c r="AC23" i="4"/>
  <c r="Y23" i="4"/>
  <c r="U23" i="4"/>
  <c r="Q23" i="4"/>
  <c r="M23" i="4"/>
  <c r="AF23" i="4"/>
  <c r="AB23" i="4"/>
  <c r="X23" i="4"/>
  <c r="T23" i="4"/>
  <c r="P23" i="4"/>
  <c r="L23" i="4"/>
  <c r="N23" i="4"/>
  <c r="AD23" i="4"/>
  <c r="Z23" i="4"/>
  <c r="R23" i="4"/>
  <c r="AH23" i="4"/>
  <c r="V23" i="4"/>
  <c r="I19" i="4"/>
  <c r="N24" i="4" s="1"/>
  <c r="N33" i="67" s="1"/>
  <c r="U75" i="48" l="1"/>
  <c r="U24" i="66" s="1"/>
  <c r="U38" i="48"/>
  <c r="V57" i="48"/>
  <c r="V49" i="48"/>
  <c r="V50" i="48" s="1"/>
  <c r="U40" i="48"/>
  <c r="U39" i="48"/>
  <c r="T26" i="66"/>
  <c r="M35" i="15"/>
  <c r="M41" i="15" s="1"/>
  <c r="V23" i="48"/>
  <c r="W4" i="48"/>
  <c r="AG24" i="4"/>
  <c r="AG33" i="67" s="1"/>
  <c r="AC24" i="4"/>
  <c r="AC33" i="67" s="1"/>
  <c r="Y24" i="4"/>
  <c r="Y33" i="67" s="1"/>
  <c r="U24" i="4"/>
  <c r="U33" i="67" s="1"/>
  <c r="Q24" i="4"/>
  <c r="Q33" i="67" s="1"/>
  <c r="M24" i="4"/>
  <c r="M33" i="67" s="1"/>
  <c r="AF24" i="4"/>
  <c r="AF33" i="67" s="1"/>
  <c r="AB24" i="4"/>
  <c r="AB33" i="67" s="1"/>
  <c r="X24" i="4"/>
  <c r="X33" i="67" s="1"/>
  <c r="T24" i="4"/>
  <c r="T33" i="67" s="1"/>
  <c r="P24" i="4"/>
  <c r="P33" i="67" s="1"/>
  <c r="L24" i="4"/>
  <c r="L33" i="67" s="1"/>
  <c r="AI24" i="4"/>
  <c r="AI33" i="67" s="1"/>
  <c r="AE24" i="4"/>
  <c r="AE33" i="67" s="1"/>
  <c r="AA24" i="4"/>
  <c r="AA33" i="67" s="1"/>
  <c r="W24" i="4"/>
  <c r="W33" i="67" s="1"/>
  <c r="S24" i="4"/>
  <c r="S33" i="67" s="1"/>
  <c r="O24" i="4"/>
  <c r="O33" i="67" s="1"/>
  <c r="K24" i="4"/>
  <c r="K33" i="67" s="1"/>
  <c r="AH24" i="4"/>
  <c r="AH33" i="67" s="1"/>
  <c r="AD24" i="4"/>
  <c r="AD33" i="67" s="1"/>
  <c r="Z24" i="4"/>
  <c r="Z33" i="67" s="1"/>
  <c r="V24" i="4"/>
  <c r="V33" i="67" s="1"/>
  <c r="R24" i="4"/>
  <c r="R33" i="67" s="1"/>
  <c r="L4" i="27"/>
  <c r="L3" i="27"/>
  <c r="L4" i="15"/>
  <c r="L3" i="15"/>
  <c r="P22" i="15"/>
  <c r="O22" i="15"/>
  <c r="I21" i="4"/>
  <c r="V75" i="48" l="1"/>
  <c r="V24" i="66" s="1"/>
  <c r="V26" i="66" s="1"/>
  <c r="V38" i="48"/>
  <c r="W57" i="48"/>
  <c r="W49" i="48"/>
  <c r="W50" i="48" s="1"/>
  <c r="V39" i="48"/>
  <c r="V40" i="48"/>
  <c r="M36" i="15"/>
  <c r="N32" i="15" s="1"/>
  <c r="N34" i="15" s="1"/>
  <c r="N35" i="15" s="1"/>
  <c r="U26" i="66"/>
  <c r="X4" i="48"/>
  <c r="W23" i="48"/>
  <c r="P25" i="27"/>
  <c r="S25" i="27"/>
  <c r="Q25" i="27"/>
  <c r="R25" i="27"/>
  <c r="K25" i="27"/>
  <c r="L25" i="27"/>
  <c r="O25" i="27"/>
  <c r="L12" i="15"/>
  <c r="L12" i="27"/>
  <c r="L155" i="27" s="1"/>
  <c r="L44" i="15" s="1"/>
  <c r="L8" i="15"/>
  <c r="L9" i="27"/>
  <c r="L10" i="15"/>
  <c r="M4" i="15"/>
  <c r="M3" i="15"/>
  <c r="M4" i="27"/>
  <c r="M3" i="27"/>
  <c r="M25" i="27"/>
  <c r="N25" i="27"/>
  <c r="T25" i="27"/>
  <c r="N22" i="15"/>
  <c r="I31" i="4"/>
  <c r="I38" i="67" s="1"/>
  <c r="W75" i="48" l="1"/>
  <c r="W24" i="66" s="1"/>
  <c r="W26" i="66" s="1"/>
  <c r="W38" i="48"/>
  <c r="X57" i="48"/>
  <c r="X49" i="48"/>
  <c r="X50" i="48" s="1"/>
  <c r="W40" i="48"/>
  <c r="W39" i="48"/>
  <c r="N41" i="15"/>
  <c r="N36" i="15"/>
  <c r="O32" i="15" s="1"/>
  <c r="O34" i="15" s="1"/>
  <c r="O35" i="15" s="1"/>
  <c r="O41" i="15" s="1"/>
  <c r="Y4" i="48"/>
  <c r="X23" i="48"/>
  <c r="L9" i="15"/>
  <c r="L8" i="27"/>
  <c r="AF25" i="27"/>
  <c r="AF20" i="15"/>
  <c r="AL25" i="27"/>
  <c r="AL20" i="15"/>
  <c r="Y25" i="27"/>
  <c r="Y20" i="15"/>
  <c r="AU20" i="15"/>
  <c r="AN25" i="27"/>
  <c r="AN20" i="15"/>
  <c r="AA25" i="27"/>
  <c r="AA20" i="15"/>
  <c r="AI25" i="27"/>
  <c r="AI20" i="15"/>
  <c r="AC25" i="27"/>
  <c r="AC20" i="15"/>
  <c r="AM25" i="27"/>
  <c r="AM20" i="15"/>
  <c r="AD25" i="27"/>
  <c r="AD20" i="15"/>
  <c r="AQ25" i="27"/>
  <c r="AQ20" i="15"/>
  <c r="Z25" i="27"/>
  <c r="Z20" i="15"/>
  <c r="AG25" i="27"/>
  <c r="AG20" i="15"/>
  <c r="AO25" i="27"/>
  <c r="AO20" i="15"/>
  <c r="AE25" i="27"/>
  <c r="AE20" i="15"/>
  <c r="X25" i="27"/>
  <c r="X20" i="15"/>
  <c r="AX20" i="15"/>
  <c r="AP25" i="27"/>
  <c r="AP20" i="15"/>
  <c r="AJ25" i="27"/>
  <c r="AJ20" i="15"/>
  <c r="W25" i="27"/>
  <c r="W20" i="15"/>
  <c r="AK25" i="27"/>
  <c r="AK20" i="15"/>
  <c r="AW20" i="15"/>
  <c r="AB25" i="27"/>
  <c r="AB20" i="15"/>
  <c r="AH25" i="27"/>
  <c r="AH20" i="15"/>
  <c r="AS25" i="27"/>
  <c r="AS20" i="15"/>
  <c r="AV20" i="15"/>
  <c r="AR25" i="27"/>
  <c r="AR20" i="15"/>
  <c r="AT25" i="27"/>
  <c r="AT20" i="15"/>
  <c r="V20" i="15"/>
  <c r="V25" i="27"/>
  <c r="M9" i="27"/>
  <c r="M10" i="15"/>
  <c r="M12" i="27"/>
  <c r="M155" i="27" s="1"/>
  <c r="M44" i="15" s="1"/>
  <c r="M12" i="15"/>
  <c r="M8" i="15"/>
  <c r="N4" i="27"/>
  <c r="N3" i="27"/>
  <c r="N4" i="15"/>
  <c r="N3" i="15"/>
  <c r="O20" i="15"/>
  <c r="N20" i="15"/>
  <c r="P20" i="15"/>
  <c r="M22" i="15"/>
  <c r="M20" i="15"/>
  <c r="X75" i="48" l="1"/>
  <c r="X24" i="66" s="1"/>
  <c r="X38" i="48"/>
  <c r="Y57" i="48"/>
  <c r="Y49" i="48"/>
  <c r="Y50" i="48" s="1"/>
  <c r="X39" i="48"/>
  <c r="X40" i="48"/>
  <c r="O36" i="15"/>
  <c r="P32" i="15" s="1"/>
  <c r="P34" i="15" s="1"/>
  <c r="P35" i="15" s="1"/>
  <c r="P41" i="15" s="1"/>
  <c r="X26" i="66"/>
  <c r="Z4" i="48"/>
  <c r="Y23" i="48"/>
  <c r="M9" i="15"/>
  <c r="M8" i="27"/>
  <c r="N9" i="27"/>
  <c r="N10" i="15"/>
  <c r="N8" i="15"/>
  <c r="N12" i="15"/>
  <c r="N12" i="27"/>
  <c r="N155" i="27" s="1"/>
  <c r="N44" i="15" s="1"/>
  <c r="O4" i="27"/>
  <c r="O3" i="27"/>
  <c r="O4" i="15"/>
  <c r="O3" i="15"/>
  <c r="L20" i="15"/>
  <c r="L22" i="15"/>
  <c r="Y75" i="48" l="1"/>
  <c r="Y24" i="66" s="1"/>
  <c r="Y26" i="66" s="1"/>
  <c r="Y38" i="48"/>
  <c r="P36" i="15"/>
  <c r="Q32" i="15" s="1"/>
  <c r="Q34" i="15" s="1"/>
  <c r="Q35" i="15" s="1"/>
  <c r="Q41" i="15" s="1"/>
  <c r="Z57" i="48"/>
  <c r="Z49" i="48"/>
  <c r="Z50" i="48" s="1"/>
  <c r="Y40" i="48"/>
  <c r="Y39" i="48"/>
  <c r="AA4" i="48"/>
  <c r="Z23" i="48"/>
  <c r="N9" i="15"/>
  <c r="N8" i="27"/>
  <c r="I59" i="66"/>
  <c r="I61" i="66" s="1"/>
  <c r="I32" i="63"/>
  <c r="O8" i="15"/>
  <c r="O10" i="15"/>
  <c r="O9" i="27"/>
  <c r="O12" i="27"/>
  <c r="O155" i="27" s="1"/>
  <c r="O44" i="15" s="1"/>
  <c r="O12" i="15"/>
  <c r="P4" i="15"/>
  <c r="P3" i="15"/>
  <c r="P4" i="27"/>
  <c r="P3" i="27"/>
  <c r="K20" i="15"/>
  <c r="K22" i="15"/>
  <c r="I22" i="27"/>
  <c r="I19" i="48"/>
  <c r="Z75" i="48" l="1"/>
  <c r="Z24" i="66" s="1"/>
  <c r="Z26" i="66" s="1"/>
  <c r="Z38" i="48"/>
  <c r="Q36" i="15"/>
  <c r="R32" i="15" s="1"/>
  <c r="R34" i="15" s="1"/>
  <c r="R35" i="15" s="1"/>
  <c r="R41" i="15" s="1"/>
  <c r="Z40" i="48"/>
  <c r="Z39" i="48"/>
  <c r="AA57" i="48"/>
  <c r="AA49" i="48"/>
  <c r="AA50" i="48" s="1"/>
  <c r="AB4" i="48"/>
  <c r="AA23" i="48"/>
  <c r="K28" i="27"/>
  <c r="P8" i="27"/>
  <c r="P9" i="15"/>
  <c r="O8" i="27"/>
  <c r="O9" i="15"/>
  <c r="U24" i="48"/>
  <c r="X24" i="48"/>
  <c r="T24" i="48"/>
  <c r="P24" i="48"/>
  <c r="L24" i="48"/>
  <c r="AA24" i="48"/>
  <c r="W24" i="48"/>
  <c r="S24" i="48"/>
  <c r="O24" i="48"/>
  <c r="K24" i="48"/>
  <c r="Z24" i="48"/>
  <c r="V24" i="48"/>
  <c r="R24" i="48"/>
  <c r="N24" i="48"/>
  <c r="Y24" i="48"/>
  <c r="Q24" i="48"/>
  <c r="M24" i="48"/>
  <c r="P12" i="15"/>
  <c r="P12" i="27"/>
  <c r="P155" i="27" s="1"/>
  <c r="P44" i="15" s="1"/>
  <c r="P9" i="27"/>
  <c r="P10" i="15"/>
  <c r="P8" i="15"/>
  <c r="Q4" i="27"/>
  <c r="Q3" i="27"/>
  <c r="Q4" i="15"/>
  <c r="Q3" i="15"/>
  <c r="Q22" i="15"/>
  <c r="Q20" i="15"/>
  <c r="I21" i="48"/>
  <c r="AA38" i="48" l="1"/>
  <c r="R36" i="15"/>
  <c r="S32" i="15" s="1"/>
  <c r="S34" i="15" s="1"/>
  <c r="S35" i="15" s="1"/>
  <c r="S41" i="15" s="1"/>
  <c r="AA40" i="48"/>
  <c r="AA39" i="48"/>
  <c r="AA75" i="48"/>
  <c r="AA24" i="66" s="1"/>
  <c r="AA26" i="66" s="1"/>
  <c r="AB57" i="48"/>
  <c r="AB49" i="48"/>
  <c r="AB50" i="48" s="1"/>
  <c r="AB24" i="48"/>
  <c r="AB33" i="68" s="1"/>
  <c r="O33" i="68"/>
  <c r="Y33" i="68"/>
  <c r="S33" i="68"/>
  <c r="M33" i="68"/>
  <c r="Q33" i="68"/>
  <c r="U33" i="68"/>
  <c r="W33" i="68"/>
  <c r="V33" i="68"/>
  <c r="P33" i="68"/>
  <c r="N33" i="68"/>
  <c r="R33" i="68"/>
  <c r="T33" i="68"/>
  <c r="AA33" i="68"/>
  <c r="L33" i="68"/>
  <c r="Z33" i="68"/>
  <c r="K33" i="68"/>
  <c r="X33" i="68"/>
  <c r="AC4" i="48"/>
  <c r="AB23" i="48"/>
  <c r="Q12" i="27"/>
  <c r="Q155" i="27" s="1"/>
  <c r="Q44" i="15" s="1"/>
  <c r="Q12" i="15"/>
  <c r="Q10" i="15"/>
  <c r="Q9" i="27"/>
  <c r="Q8" i="15"/>
  <c r="R4" i="15"/>
  <c r="R3" i="15"/>
  <c r="R4" i="27"/>
  <c r="R3" i="27"/>
  <c r="R22" i="15"/>
  <c r="R20" i="15"/>
  <c r="I31" i="48"/>
  <c r="I38" i="68" s="1"/>
  <c r="AB75" i="48" l="1"/>
  <c r="AB38" i="48"/>
  <c r="S36" i="15"/>
  <c r="T32" i="15" s="1"/>
  <c r="T34" i="15" s="1"/>
  <c r="T35" i="15" s="1"/>
  <c r="T41" i="15" s="1"/>
  <c r="AB40" i="48"/>
  <c r="AB39" i="48"/>
  <c r="AC57" i="48"/>
  <c r="AC49" i="48"/>
  <c r="AC50" i="48" s="1"/>
  <c r="AB24" i="66"/>
  <c r="AD4" i="48"/>
  <c r="AC23" i="48"/>
  <c r="AC24" i="48"/>
  <c r="R9" i="15"/>
  <c r="Q8" i="27"/>
  <c r="Q9" i="15"/>
  <c r="R8" i="27"/>
  <c r="R9" i="27"/>
  <c r="R10" i="15"/>
  <c r="R8" i="15"/>
  <c r="R12" i="27"/>
  <c r="R155" i="27" s="1"/>
  <c r="R44" i="15" s="1"/>
  <c r="R12" i="15"/>
  <c r="S4" i="27"/>
  <c r="S3" i="27"/>
  <c r="S4" i="15"/>
  <c r="S3" i="15"/>
  <c r="S20" i="15"/>
  <c r="S22" i="15"/>
  <c r="AC38" i="48" l="1"/>
  <c r="T36" i="15"/>
  <c r="U32" i="15" s="1"/>
  <c r="U34" i="15" s="1"/>
  <c r="U35" i="15" s="1"/>
  <c r="U41" i="15" s="1"/>
  <c r="AC40" i="48"/>
  <c r="AC39" i="48"/>
  <c r="AC75" i="48"/>
  <c r="AC24" i="66" s="1"/>
  <c r="AC26" i="66" s="1"/>
  <c r="AD57" i="48"/>
  <c r="AD49" i="48"/>
  <c r="AD50" i="48" s="1"/>
  <c r="AB26" i="66"/>
  <c r="AC33" i="68"/>
  <c r="AE4" i="48"/>
  <c r="AD23" i="48"/>
  <c r="AD24" i="48"/>
  <c r="S8" i="27"/>
  <c r="S9" i="15"/>
  <c r="S8" i="15"/>
  <c r="S9" i="27"/>
  <c r="S10" i="15"/>
  <c r="S12" i="15"/>
  <c r="S12" i="27"/>
  <c r="S155" i="27" s="1"/>
  <c r="S44" i="15" s="1"/>
  <c r="T4" i="15"/>
  <c r="T3" i="15"/>
  <c r="T4" i="27"/>
  <c r="T3" i="27"/>
  <c r="T22" i="15"/>
  <c r="T20" i="15"/>
  <c r="AD75" i="48" l="1"/>
  <c r="AD24" i="66" s="1"/>
  <c r="AD26" i="66" s="1"/>
  <c r="AD38" i="48"/>
  <c r="U36" i="15"/>
  <c r="V32" i="15" s="1"/>
  <c r="V34" i="15" s="1"/>
  <c r="V35" i="15" s="1"/>
  <c r="V41" i="15" s="1"/>
  <c r="AD40" i="48"/>
  <c r="AD39" i="48"/>
  <c r="AE57" i="48"/>
  <c r="AE49" i="48"/>
  <c r="AE50" i="48" s="1"/>
  <c r="AD33" i="68"/>
  <c r="AF4" i="48"/>
  <c r="AE23" i="48"/>
  <c r="AE24" i="48"/>
  <c r="T8" i="27"/>
  <c r="T9" i="15"/>
  <c r="T8" i="15"/>
  <c r="T12" i="15"/>
  <c r="T12" i="27"/>
  <c r="T155" i="27" s="1"/>
  <c r="T44" i="15" s="1"/>
  <c r="T10" i="15"/>
  <c r="T9" i="27"/>
  <c r="U4" i="27"/>
  <c r="U3" i="27"/>
  <c r="U4" i="15"/>
  <c r="U3" i="15"/>
  <c r="U20" i="15"/>
  <c r="U25" i="27"/>
  <c r="U22" i="15"/>
  <c r="U27" i="27"/>
  <c r="AE38" i="48" l="1"/>
  <c r="V36" i="15"/>
  <c r="W32" i="15" s="1"/>
  <c r="W34" i="15" s="1"/>
  <c r="W35" i="15" s="1"/>
  <c r="W41" i="15" s="1"/>
  <c r="AE40" i="48"/>
  <c r="AE39" i="48"/>
  <c r="AF57" i="48"/>
  <c r="AF49" i="48"/>
  <c r="AF50" i="48" s="1"/>
  <c r="AE75" i="48"/>
  <c r="AE24" i="66" s="1"/>
  <c r="AE26" i="66" s="1"/>
  <c r="AE33" i="68"/>
  <c r="AG4" i="48"/>
  <c r="AF23" i="48"/>
  <c r="AF24" i="48"/>
  <c r="U9" i="15"/>
  <c r="U9" i="27"/>
  <c r="U10" i="15"/>
  <c r="U12" i="15"/>
  <c r="U12" i="27"/>
  <c r="U155" i="27" s="1"/>
  <c r="U44" i="15" s="1"/>
  <c r="U8" i="15"/>
  <c r="V4" i="15"/>
  <c r="V3" i="15"/>
  <c r="V4" i="27"/>
  <c r="V3" i="27"/>
  <c r="AF75" i="48" l="1"/>
  <c r="AF24" i="66" s="1"/>
  <c r="AF26" i="66" s="1"/>
  <c r="AF38" i="48"/>
  <c r="W36" i="15"/>
  <c r="X32" i="15" s="1"/>
  <c r="X34" i="15" s="1"/>
  <c r="X35" i="15" s="1"/>
  <c r="X41" i="15" s="1"/>
  <c r="AF39" i="48"/>
  <c r="AF40" i="48"/>
  <c r="AG57" i="48"/>
  <c r="AG49" i="48"/>
  <c r="AG50" i="48" s="1"/>
  <c r="AF33" i="68"/>
  <c r="AH4" i="48"/>
  <c r="AG23" i="48"/>
  <c r="AG24" i="48"/>
  <c r="U8" i="27"/>
  <c r="V8" i="15"/>
  <c r="V12" i="27"/>
  <c r="V155" i="27" s="1"/>
  <c r="V44" i="15" s="1"/>
  <c r="V12" i="15"/>
  <c r="V9" i="27"/>
  <c r="W4" i="27"/>
  <c r="W3" i="27"/>
  <c r="W4" i="15"/>
  <c r="W3" i="15"/>
  <c r="AG75" i="48" l="1"/>
  <c r="AG38" i="48"/>
  <c r="X36" i="15"/>
  <c r="Y32" i="15" s="1"/>
  <c r="Y34" i="15" s="1"/>
  <c r="Y35" i="15" s="1"/>
  <c r="Y41" i="15" s="1"/>
  <c r="AG39" i="48"/>
  <c r="AG40" i="48"/>
  <c r="AH57" i="48"/>
  <c r="AH49" i="48"/>
  <c r="AH50" i="48" s="1"/>
  <c r="AG24" i="66"/>
  <c r="AG26" i="66" s="1"/>
  <c r="AG33" i="68"/>
  <c r="AI4" i="48"/>
  <c r="AH23" i="48"/>
  <c r="AH24" i="48"/>
  <c r="V10" i="15"/>
  <c r="W8" i="27"/>
  <c r="V8" i="27"/>
  <c r="V9" i="15"/>
  <c r="W12" i="27"/>
  <c r="W155" i="27" s="1"/>
  <c r="W44" i="15" s="1"/>
  <c r="W12" i="15"/>
  <c r="W8" i="15"/>
  <c r="W9" i="27"/>
  <c r="X4" i="15"/>
  <c r="X3" i="15"/>
  <c r="X4" i="27"/>
  <c r="X3" i="27"/>
  <c r="AH38" i="48" l="1"/>
  <c r="Y36" i="15"/>
  <c r="Z32" i="15" s="1"/>
  <c r="Z34" i="15" s="1"/>
  <c r="Z35" i="15" s="1"/>
  <c r="Z41" i="15" s="1"/>
  <c r="AH40" i="48"/>
  <c r="AH39" i="48"/>
  <c r="AH75" i="48"/>
  <c r="AH24" i="66" s="1"/>
  <c r="AH26" i="66" s="1"/>
  <c r="AI57" i="48"/>
  <c r="AI49" i="48"/>
  <c r="AI50" i="48" s="1"/>
  <c r="AH33" i="68"/>
  <c r="AI23" i="48"/>
  <c r="AI24" i="48"/>
  <c r="W9" i="15"/>
  <c r="X9" i="15"/>
  <c r="X8" i="27"/>
  <c r="X8" i="15"/>
  <c r="X12" i="27"/>
  <c r="X155" i="27" s="1"/>
  <c r="X44" i="15" s="1"/>
  <c r="X12" i="15"/>
  <c r="X10" i="15"/>
  <c r="X9" i="27"/>
  <c r="Y4" i="27"/>
  <c r="Y3" i="27"/>
  <c r="Y4" i="15"/>
  <c r="Y3" i="15"/>
  <c r="AI75" i="48" l="1"/>
  <c r="AI24" i="66" s="1"/>
  <c r="AI26" i="66" s="1"/>
  <c r="AI38" i="48"/>
  <c r="Z36" i="15"/>
  <c r="AA32" i="15" s="1"/>
  <c r="AA34" i="15" s="1"/>
  <c r="AA35" i="15" s="1"/>
  <c r="AA41" i="15" s="1"/>
  <c r="AI39" i="48"/>
  <c r="AI40" i="48"/>
  <c r="AI33" i="68"/>
  <c r="Y12" i="15"/>
  <c r="Y12" i="27"/>
  <c r="Y155" i="27" s="1"/>
  <c r="Y44" i="15" s="1"/>
  <c r="Y8" i="15"/>
  <c r="Y9" i="27"/>
  <c r="Y10" i="15"/>
  <c r="Z4" i="15"/>
  <c r="Z3" i="15"/>
  <c r="Z4" i="27"/>
  <c r="Z3" i="27"/>
  <c r="AA36" i="15" l="1"/>
  <c r="AB32" i="15" s="1"/>
  <c r="AB34" i="15" s="1"/>
  <c r="AB35" i="15" s="1"/>
  <c r="AB41" i="15" s="1"/>
  <c r="Y9" i="15"/>
  <c r="Y8" i="27"/>
  <c r="Z12" i="15"/>
  <c r="Z12" i="27"/>
  <c r="Z155" i="27" s="1"/>
  <c r="Z44" i="15" s="1"/>
  <c r="Z8" i="15"/>
  <c r="Z10" i="15"/>
  <c r="Z9" i="27"/>
  <c r="AA4" i="27"/>
  <c r="AA3" i="27"/>
  <c r="AA4" i="15"/>
  <c r="AA3" i="15"/>
  <c r="AB36" i="15" l="1"/>
  <c r="AC32" i="15" s="1"/>
  <c r="AC34" i="15" s="1"/>
  <c r="AC35" i="15" s="1"/>
  <c r="AC41" i="15" s="1"/>
  <c r="Z8" i="27"/>
  <c r="Z9" i="15"/>
  <c r="AA12" i="27"/>
  <c r="AA155" i="27" s="1"/>
  <c r="AA44" i="15" s="1"/>
  <c r="AA12" i="15"/>
  <c r="AA10" i="15"/>
  <c r="AA9" i="27"/>
  <c r="AA8" i="15"/>
  <c r="AB4" i="15"/>
  <c r="AB3" i="15"/>
  <c r="AB4" i="27"/>
  <c r="AB3" i="27"/>
  <c r="AC36" i="15" l="1"/>
  <c r="AD32" i="15" s="1"/>
  <c r="AD34" i="15" s="1"/>
  <c r="AD35" i="15" s="1"/>
  <c r="AD41" i="15" s="1"/>
  <c r="AA9" i="15"/>
  <c r="AA8" i="27"/>
  <c r="AB10" i="15"/>
  <c r="AB9" i="27"/>
  <c r="AB8" i="15"/>
  <c r="AB12" i="27"/>
  <c r="AB155" i="27" s="1"/>
  <c r="AB44" i="15" s="1"/>
  <c r="AB12" i="15"/>
  <c r="AC4" i="27"/>
  <c r="AC3" i="27"/>
  <c r="AC4" i="15"/>
  <c r="AC3" i="15"/>
  <c r="AD36" i="15" l="1"/>
  <c r="AE32" i="15" s="1"/>
  <c r="AE34" i="15" s="1"/>
  <c r="AE35" i="15" s="1"/>
  <c r="AE41" i="15" s="1"/>
  <c r="AB9" i="15"/>
  <c r="AB8" i="27"/>
  <c r="AC10" i="15"/>
  <c r="AC9" i="27"/>
  <c r="AC8" i="15"/>
  <c r="AC12" i="15"/>
  <c r="AC12" i="27"/>
  <c r="AC155" i="27" s="1"/>
  <c r="AC44" i="15" s="1"/>
  <c r="AD4" i="15"/>
  <c r="AD3" i="15"/>
  <c r="AD4" i="27"/>
  <c r="AD3" i="27"/>
  <c r="AE36" i="15" l="1"/>
  <c r="AF32" i="15" s="1"/>
  <c r="AF34" i="15" s="1"/>
  <c r="AF35" i="15" s="1"/>
  <c r="AF41" i="15" s="1"/>
  <c r="AC8" i="27"/>
  <c r="AC9" i="15"/>
  <c r="AD8" i="27"/>
  <c r="AD9" i="15"/>
  <c r="AD8" i="15"/>
  <c r="AD12" i="15"/>
  <c r="AD12" i="27"/>
  <c r="AD155" i="27" s="1"/>
  <c r="AD44" i="15" s="1"/>
  <c r="AD10" i="15"/>
  <c r="AD9" i="27"/>
  <c r="AE4" i="27"/>
  <c r="AE3" i="27"/>
  <c r="AE4" i="15"/>
  <c r="AE3" i="15"/>
  <c r="AF36" i="15" l="1"/>
  <c r="AG32" i="15" s="1"/>
  <c r="AG34" i="15" s="1"/>
  <c r="AG35" i="15" s="1"/>
  <c r="AG41" i="15" s="1"/>
  <c r="AE9" i="27"/>
  <c r="AE10" i="15"/>
  <c r="AE12" i="15"/>
  <c r="AE12" i="27"/>
  <c r="AE155" i="27" s="1"/>
  <c r="AE44" i="15" s="1"/>
  <c r="AE8" i="15"/>
  <c r="AF4" i="27"/>
  <c r="AF3" i="27"/>
  <c r="AF4" i="15"/>
  <c r="AF3" i="15"/>
  <c r="AG36" i="15" l="1"/>
  <c r="AH32" i="15" s="1"/>
  <c r="AH34" i="15" s="1"/>
  <c r="AH35" i="15" s="1"/>
  <c r="AH41" i="15" s="1"/>
  <c r="AF9" i="15"/>
  <c r="AF8" i="27"/>
  <c r="AE9" i="15"/>
  <c r="AE8" i="27"/>
  <c r="AF9" i="27"/>
  <c r="AF10" i="15"/>
  <c r="AF12" i="27"/>
  <c r="AF155" i="27" s="1"/>
  <c r="AF44" i="15" s="1"/>
  <c r="AF12" i="15"/>
  <c r="AF8" i="15"/>
  <c r="AG4" i="15"/>
  <c r="AG3" i="15"/>
  <c r="AG4" i="27"/>
  <c r="AG3" i="27"/>
  <c r="AH36" i="15" l="1"/>
  <c r="AI32" i="15" s="1"/>
  <c r="AI34" i="15" s="1"/>
  <c r="AG10" i="15"/>
  <c r="AG9" i="27"/>
  <c r="AG12" i="27"/>
  <c r="AG155" i="27" s="1"/>
  <c r="AG44" i="15" s="1"/>
  <c r="AG12" i="15"/>
  <c r="AG8" i="15"/>
  <c r="AH4" i="27"/>
  <c r="AH3" i="27"/>
  <c r="AH4" i="15"/>
  <c r="AH3" i="15"/>
  <c r="AI35" i="15" l="1"/>
  <c r="AI41" i="15" s="1"/>
  <c r="AG8" i="27"/>
  <c r="AG9" i="15"/>
  <c r="AH9" i="15"/>
  <c r="AH8" i="27"/>
  <c r="AH12" i="27"/>
  <c r="AH155" i="27" s="1"/>
  <c r="AH44" i="15" s="1"/>
  <c r="AH12" i="15"/>
  <c r="AH9" i="27"/>
  <c r="AH10" i="15"/>
  <c r="AH8" i="15"/>
  <c r="AI4" i="15"/>
  <c r="AI3" i="15"/>
  <c r="AI4" i="27"/>
  <c r="AI3" i="27"/>
  <c r="AI36" i="15" l="1"/>
  <c r="AJ32" i="15" s="1"/>
  <c r="AJ34" i="15" s="1"/>
  <c r="AJ35" i="15" s="1"/>
  <c r="AJ41" i="15" s="1"/>
  <c r="AI8" i="15"/>
  <c r="AI10" i="15"/>
  <c r="AI9" i="27"/>
  <c r="AI12" i="27"/>
  <c r="AI155" i="27" s="1"/>
  <c r="AI44" i="15" s="1"/>
  <c r="AI12" i="15"/>
  <c r="AJ4" i="27"/>
  <c r="AJ3" i="27"/>
  <c r="AJ4" i="15"/>
  <c r="AJ3" i="15"/>
  <c r="AJ36" i="15" l="1"/>
  <c r="AK32" i="15" s="1"/>
  <c r="AK34" i="15" s="1"/>
  <c r="AJ9" i="15"/>
  <c r="AI8" i="27"/>
  <c r="AI9" i="15"/>
  <c r="AJ8" i="27"/>
  <c r="AJ8" i="15"/>
  <c r="AJ12" i="27"/>
  <c r="AJ155" i="27" s="1"/>
  <c r="AJ44" i="15" s="1"/>
  <c r="AJ12" i="15"/>
  <c r="AJ9" i="27"/>
  <c r="AJ10" i="15"/>
  <c r="AK4" i="15"/>
  <c r="AK3" i="15"/>
  <c r="AK4" i="27"/>
  <c r="AK3" i="27"/>
  <c r="AK35" i="15" l="1"/>
  <c r="AK41" i="15" s="1"/>
  <c r="AK8" i="15"/>
  <c r="AK12" i="27"/>
  <c r="AK155" i="27" s="1"/>
  <c r="AK44" i="15" s="1"/>
  <c r="AK12" i="15"/>
  <c r="AK9" i="27"/>
  <c r="AK10" i="15"/>
  <c r="AL4" i="27"/>
  <c r="AL3" i="27"/>
  <c r="AL4" i="15"/>
  <c r="AL3" i="15"/>
  <c r="AK36" i="15" l="1"/>
  <c r="AL32" i="15" s="1"/>
  <c r="AL34" i="15" s="1"/>
  <c r="AL35" i="15" s="1"/>
  <c r="AL41" i="15" s="1"/>
  <c r="AK8" i="27"/>
  <c r="AK9" i="15"/>
  <c r="AL12" i="27"/>
  <c r="AL155" i="27" s="1"/>
  <c r="AL44" i="15" s="1"/>
  <c r="AL12" i="15"/>
  <c r="AL10" i="15"/>
  <c r="AL9" i="27"/>
  <c r="AL8" i="15"/>
  <c r="AM4" i="27"/>
  <c r="AM3" i="27"/>
  <c r="AM4" i="15"/>
  <c r="AM3" i="15"/>
  <c r="AL36" i="15" l="1"/>
  <c r="AM32" i="15" s="1"/>
  <c r="AM34" i="15" s="1"/>
  <c r="AL8" i="27"/>
  <c r="AL9" i="15"/>
  <c r="AM8" i="15"/>
  <c r="AM9" i="27"/>
  <c r="AM10" i="15"/>
  <c r="AM12" i="27"/>
  <c r="AM155" i="27" s="1"/>
  <c r="AM44" i="15" s="1"/>
  <c r="AM12" i="15"/>
  <c r="AN4" i="15"/>
  <c r="AN3" i="15"/>
  <c r="AN4" i="27"/>
  <c r="AN3" i="27"/>
  <c r="AM35" i="15" l="1"/>
  <c r="AM41" i="15" s="1"/>
  <c r="AN8" i="27"/>
  <c r="AN9" i="15"/>
  <c r="AM8" i="27"/>
  <c r="AM9" i="15"/>
  <c r="AN10" i="15"/>
  <c r="AN9" i="27"/>
  <c r="AN8" i="15"/>
  <c r="AN12" i="27"/>
  <c r="AN155" i="27" s="1"/>
  <c r="AN44" i="15" s="1"/>
  <c r="AN12" i="15"/>
  <c r="AO4" i="15"/>
  <c r="AO3" i="15"/>
  <c r="AO4" i="27"/>
  <c r="AO3" i="27"/>
  <c r="AM36" i="15" l="1"/>
  <c r="AN32" i="15" s="1"/>
  <c r="AN34" i="15" s="1"/>
  <c r="AN35" i="15" s="1"/>
  <c r="AN41" i="15" s="1"/>
  <c r="AO8" i="15"/>
  <c r="AO9" i="27"/>
  <c r="AO10" i="15"/>
  <c r="AO12" i="15"/>
  <c r="AO12" i="27"/>
  <c r="AO155" i="27" s="1"/>
  <c r="AO44" i="15" s="1"/>
  <c r="AP4" i="27"/>
  <c r="AP3" i="27"/>
  <c r="AP4" i="15"/>
  <c r="AP3" i="15"/>
  <c r="AN36" i="15" l="1"/>
  <c r="AO32" i="15" s="1"/>
  <c r="AO34" i="15" s="1"/>
  <c r="AO8" i="27"/>
  <c r="AO9" i="15"/>
  <c r="AP8" i="15"/>
  <c r="AP12" i="15"/>
  <c r="AP12" i="27"/>
  <c r="AP155" i="27" s="1"/>
  <c r="AP44" i="15" s="1"/>
  <c r="AP9" i="27"/>
  <c r="AP10" i="15"/>
  <c r="AQ4" i="15"/>
  <c r="AQ3" i="15"/>
  <c r="AQ4" i="27"/>
  <c r="AQ3" i="27"/>
  <c r="AO35" i="15" l="1"/>
  <c r="AO41" i="15" s="1"/>
  <c r="AP8" i="27"/>
  <c r="AP9" i="15"/>
  <c r="AQ12" i="15"/>
  <c r="AQ12" i="27"/>
  <c r="AQ155" i="27" s="1"/>
  <c r="AQ44" i="15" s="1"/>
  <c r="AQ8" i="15"/>
  <c r="AQ9" i="27"/>
  <c r="AQ10" i="15"/>
  <c r="AR4" i="27"/>
  <c r="AR3" i="27"/>
  <c r="AR4" i="15"/>
  <c r="AR3" i="15"/>
  <c r="AO36" i="15" l="1"/>
  <c r="AP32" i="15" s="1"/>
  <c r="AP34" i="15" s="1"/>
  <c r="AP35" i="15" s="1"/>
  <c r="AR9" i="15"/>
  <c r="AR8" i="27"/>
  <c r="AQ8" i="27"/>
  <c r="AQ9" i="15"/>
  <c r="AR10" i="15"/>
  <c r="AR9" i="27"/>
  <c r="AR8" i="15"/>
  <c r="AR12" i="15"/>
  <c r="AR12" i="27"/>
  <c r="AR155" i="27" s="1"/>
  <c r="AR44" i="15" s="1"/>
  <c r="AS4" i="15"/>
  <c r="AS3" i="15"/>
  <c r="AS4" i="27"/>
  <c r="AS3" i="27"/>
  <c r="AP41" i="15" l="1"/>
  <c r="AP36" i="15"/>
  <c r="AQ32" i="15" s="1"/>
  <c r="AQ34" i="15" s="1"/>
  <c r="AQ35" i="15" s="1"/>
  <c r="AQ41" i="15" s="1"/>
  <c r="AS12" i="27"/>
  <c r="AS155" i="27" s="1"/>
  <c r="AS44" i="15" s="1"/>
  <c r="AS12" i="15"/>
  <c r="AS8" i="15"/>
  <c r="AS9" i="27"/>
  <c r="AS10" i="15"/>
  <c r="AT4" i="15"/>
  <c r="AT3" i="15"/>
  <c r="AT4" i="27"/>
  <c r="AT3" i="27"/>
  <c r="AQ36" i="15" l="1"/>
  <c r="AR32" i="15" s="1"/>
  <c r="AR34" i="15" s="1"/>
  <c r="AR35" i="15" s="1"/>
  <c r="AR41" i="15" s="1"/>
  <c r="AU3" i="27"/>
  <c r="AU4" i="27"/>
  <c r="AS8" i="27"/>
  <c r="AS9" i="15"/>
  <c r="AT8" i="15"/>
  <c r="AT12" i="15"/>
  <c r="AT12" i="27"/>
  <c r="AT155" i="27" s="1"/>
  <c r="AT44" i="15" s="1"/>
  <c r="AT10" i="15"/>
  <c r="AT9" i="27"/>
  <c r="AU4" i="15"/>
  <c r="AU3" i="15"/>
  <c r="AR36" i="15" l="1"/>
  <c r="AS32" i="15" s="1"/>
  <c r="AS34" i="15" s="1"/>
  <c r="AS35" i="15" s="1"/>
  <c r="AV4" i="27"/>
  <c r="AV3" i="27"/>
  <c r="AU9" i="15"/>
  <c r="AT8" i="27"/>
  <c r="AT9" i="15"/>
  <c r="AU8" i="15"/>
  <c r="AU10" i="15"/>
  <c r="AU12" i="15"/>
  <c r="AV4" i="15"/>
  <c r="AV3" i="15"/>
  <c r="AS41" i="15" l="1"/>
  <c r="AS36" i="15"/>
  <c r="AT32" i="15" s="1"/>
  <c r="AT34" i="15" s="1"/>
  <c r="AT35" i="15" s="1"/>
  <c r="AT41" i="15" s="1"/>
  <c r="AW4" i="27"/>
  <c r="AW3" i="27"/>
  <c r="AV9" i="15"/>
  <c r="AV8" i="15"/>
  <c r="AV12" i="15"/>
  <c r="AV10" i="15"/>
  <c r="AW4" i="15"/>
  <c r="AW3" i="15"/>
  <c r="AT36" i="15" l="1"/>
  <c r="AU32" i="15" s="1"/>
  <c r="AU34" i="15" s="1"/>
  <c r="AX3" i="27"/>
  <c r="AX4" i="27"/>
  <c r="AW9" i="15"/>
  <c r="AW10" i="15"/>
  <c r="AW8" i="15"/>
  <c r="AW12" i="15"/>
  <c r="AX4" i="15"/>
  <c r="AX3" i="15"/>
  <c r="AU35" i="15" l="1"/>
  <c r="AU41" i="15" s="1"/>
  <c r="AX9" i="15"/>
  <c r="AX10" i="15"/>
  <c r="AX8" i="15"/>
  <c r="AX12" i="15"/>
  <c r="AU36" i="15" l="1"/>
  <c r="AV32" i="15" s="1"/>
  <c r="AV34" i="15" s="1"/>
  <c r="T21" i="15"/>
  <c r="L21" i="15"/>
  <c r="P21" i="15"/>
  <c r="AV35" i="15" l="1"/>
  <c r="AV41" i="15" s="1"/>
  <c r="S21" i="15"/>
  <c r="N21" i="15"/>
  <c r="Q21" i="15"/>
  <c r="O21" i="15"/>
  <c r="M21" i="15"/>
  <c r="R21" i="15"/>
  <c r="U21" i="15"/>
  <c r="U26" i="27"/>
  <c r="AV36" i="15" l="1"/>
  <c r="AW32" i="15" s="1"/>
  <c r="AW34" i="15" s="1"/>
  <c r="AW35" i="15" s="1"/>
  <c r="AW41" i="15" s="1"/>
  <c r="K21" i="15"/>
  <c r="K46" i="66" s="1"/>
  <c r="AW36" i="15" l="1"/>
  <c r="AX32" i="15" s="1"/>
  <c r="AX34" i="15" s="1"/>
  <c r="AX35" i="15" s="1"/>
  <c r="K48" i="66"/>
  <c r="K49" i="66" s="1"/>
  <c r="K53" i="66" s="1"/>
  <c r="K27" i="66" s="1"/>
  <c r="K23" i="15"/>
  <c r="AX41" i="15" l="1"/>
  <c r="AX36" i="15"/>
  <c r="K17" i="66"/>
  <c r="K24" i="15"/>
  <c r="K25" i="15" s="1"/>
  <c r="K51" i="66"/>
  <c r="L45" i="66" s="1"/>
  <c r="L48" i="66" s="1"/>
  <c r="L49" i="66" l="1"/>
  <c r="L53" i="66" s="1"/>
  <c r="L27" i="66" s="1"/>
  <c r="K26" i="15"/>
  <c r="L19" i="15" s="1"/>
  <c r="L24" i="27" l="1"/>
  <c r="L28" i="27" s="1"/>
  <c r="L23" i="15" s="1"/>
  <c r="L24" i="15" s="1"/>
  <c r="L25" i="15" s="1"/>
  <c r="L17" i="66"/>
  <c r="L51" i="66"/>
  <c r="M45" i="66" s="1"/>
  <c r="M48" i="66" s="1"/>
  <c r="M49" i="66" s="1"/>
  <c r="M53" i="66" s="1"/>
  <c r="M27" i="66" s="1"/>
  <c r="M17" i="66" l="1"/>
  <c r="M51" i="66"/>
  <c r="N45" i="66" s="1"/>
  <c r="N48" i="66" s="1"/>
  <c r="N49" i="66" s="1"/>
  <c r="N53" i="66" s="1"/>
  <c r="N27" i="66" s="1"/>
  <c r="N17" i="66" l="1"/>
  <c r="N51" i="66"/>
  <c r="O45" i="66" s="1"/>
  <c r="O48" i="66" s="1"/>
  <c r="O49" i="66" s="1"/>
  <c r="O53" i="66" s="1"/>
  <c r="O27" i="66" s="1"/>
  <c r="L26" i="15"/>
  <c r="M19" i="15" s="1"/>
  <c r="M24" i="27" l="1"/>
  <c r="M28" i="27" s="1"/>
  <c r="M23" i="15" s="1"/>
  <c r="M24" i="15" s="1"/>
  <c r="M25" i="15" s="1"/>
  <c r="O17" i="66"/>
  <c r="O51" i="66"/>
  <c r="P45" i="66" s="1"/>
  <c r="P48" i="66" s="1"/>
  <c r="P49" i="66" s="1"/>
  <c r="P53" i="66" s="1"/>
  <c r="P27" i="66" s="1"/>
  <c r="P17" i="66" l="1"/>
  <c r="P51" i="66"/>
  <c r="Q45" i="66" s="1"/>
  <c r="Q48" i="66" s="1"/>
  <c r="Q49" i="66" s="1"/>
  <c r="Q53" i="66" s="1"/>
  <c r="Q27" i="66" s="1"/>
  <c r="Q17" i="66" l="1"/>
  <c r="Q51" i="66"/>
  <c r="R45" i="66" s="1"/>
  <c r="R48" i="66" s="1"/>
  <c r="M26" i="15"/>
  <c r="N19" i="15" s="1"/>
  <c r="N24" i="27" l="1"/>
  <c r="N28" i="27" s="1"/>
  <c r="N23" i="15" s="1"/>
  <c r="N24" i="15" s="1"/>
  <c r="N25" i="15" s="1"/>
  <c r="R49" i="66"/>
  <c r="R53" i="66" s="1"/>
  <c r="R27" i="66" s="1"/>
  <c r="R17" i="66" l="1"/>
  <c r="R51" i="66"/>
  <c r="S45" i="66" s="1"/>
  <c r="S48" i="66" s="1"/>
  <c r="S49" i="66" s="1"/>
  <c r="S53" i="66" s="1"/>
  <c r="S27" i="66" s="1"/>
  <c r="S17" i="66" l="1"/>
  <c r="S51" i="66"/>
  <c r="T45" i="66" s="1"/>
  <c r="T48" i="66" s="1"/>
  <c r="T49" i="66" s="1"/>
  <c r="T53" i="66" s="1"/>
  <c r="T27" i="66" s="1"/>
  <c r="N26" i="15"/>
  <c r="O19" i="15" s="1"/>
  <c r="O24" i="27" l="1"/>
  <c r="O28" i="27" s="1"/>
  <c r="O23" i="15" s="1"/>
  <c r="O24" i="15" s="1"/>
  <c r="O25" i="15" s="1"/>
  <c r="T17" i="66"/>
  <c r="T51" i="66"/>
  <c r="U45" i="66" s="1"/>
  <c r="U48" i="66" s="1"/>
  <c r="U49" i="66" s="1"/>
  <c r="U53" i="66" s="1"/>
  <c r="U27" i="66" s="1"/>
  <c r="U17" i="66" l="1"/>
  <c r="U51" i="66"/>
  <c r="V45" i="66" s="1"/>
  <c r="V48" i="66" s="1"/>
  <c r="V49" i="66" s="1"/>
  <c r="O26" i="15" l="1"/>
  <c r="P19" i="15" s="1"/>
  <c r="V53" i="66"/>
  <c r="V27" i="66" s="1"/>
  <c r="V51" i="66"/>
  <c r="W45" i="66" s="1"/>
  <c r="W48" i="66" s="1"/>
  <c r="W49" i="66" s="1"/>
  <c r="W53" i="66" s="1"/>
  <c r="W27" i="66" s="1"/>
  <c r="P24" i="27" l="1"/>
  <c r="P28" i="27" s="1"/>
  <c r="P23" i="15" s="1"/>
  <c r="W17" i="66"/>
  <c r="V17" i="66"/>
  <c r="W51" i="66"/>
  <c r="X45" i="66" s="1"/>
  <c r="X48" i="66" s="1"/>
  <c r="P24" i="15" l="1"/>
  <c r="P25" i="15" s="1"/>
  <c r="X49" i="66"/>
  <c r="X53" i="66" s="1"/>
  <c r="X27" i="66" s="1"/>
  <c r="P26" i="15" l="1"/>
  <c r="Q19" i="15" s="1"/>
  <c r="Q24" i="27" s="1"/>
  <c r="Q28" i="27" s="1"/>
  <c r="Q23" i="15" s="1"/>
  <c r="Q24" i="15" s="1"/>
  <c r="Q25" i="15" s="1"/>
  <c r="X17" i="66"/>
  <c r="X51" i="66"/>
  <c r="Y45" i="66" s="1"/>
  <c r="Y48" i="66" s="1"/>
  <c r="Y49" i="66" l="1"/>
  <c r="Y53" i="66" s="1"/>
  <c r="Y27" i="66" s="1"/>
  <c r="Y17" i="66" l="1"/>
  <c r="Y51" i="66"/>
  <c r="Z45" i="66" s="1"/>
  <c r="Z48" i="66" s="1"/>
  <c r="Z49" i="66" s="1"/>
  <c r="Z53" i="66" s="1"/>
  <c r="Z27" i="66" s="1"/>
  <c r="Q26" i="15"/>
  <c r="R19" i="15" s="1"/>
  <c r="R24" i="27" l="1"/>
  <c r="R28" i="27" s="1"/>
  <c r="R23" i="15" s="1"/>
  <c r="R24" i="15" s="1"/>
  <c r="R25" i="15" s="1"/>
  <c r="Z17" i="66"/>
  <c r="Z51" i="66"/>
  <c r="AA45" i="66" s="1"/>
  <c r="AA48" i="66" s="1"/>
  <c r="AA49" i="66" s="1"/>
  <c r="AA53" i="66" s="1"/>
  <c r="AA27" i="66" s="1"/>
  <c r="AA17" i="66" l="1"/>
  <c r="AA51" i="66"/>
  <c r="AB45" i="66" s="1"/>
  <c r="AB48" i="66" s="1"/>
  <c r="AB49" i="66" s="1"/>
  <c r="AB53" i="66" s="1"/>
  <c r="AB27" i="66" s="1"/>
  <c r="AB17" i="66" l="1"/>
  <c r="AB51" i="66"/>
  <c r="AC45" i="66" s="1"/>
  <c r="AC48" i="66" s="1"/>
  <c r="AC49" i="66" s="1"/>
  <c r="AC53" i="66" s="1"/>
  <c r="AC27" i="66" s="1"/>
  <c r="R26" i="15"/>
  <c r="S19" i="15" s="1"/>
  <c r="S24" i="27" l="1"/>
  <c r="S28" i="27" s="1"/>
  <c r="S23" i="15" s="1"/>
  <c r="S24" i="15" s="1"/>
  <c r="S25" i="15" s="1"/>
  <c r="AC17" i="66"/>
  <c r="AC51" i="66"/>
  <c r="AD45" i="66" s="1"/>
  <c r="AD48" i="66" s="1"/>
  <c r="AD49" i="66" s="1"/>
  <c r="AD53" i="66" s="1"/>
  <c r="AD27" i="66" s="1"/>
  <c r="AD17" i="66" l="1"/>
  <c r="AD51" i="66"/>
  <c r="AE45" i="66" s="1"/>
  <c r="AE48" i="66" s="1"/>
  <c r="AE49" i="66" l="1"/>
  <c r="AE53" i="66" s="1"/>
  <c r="AE27" i="66" s="1"/>
  <c r="S26" i="15"/>
  <c r="T19" i="15" s="1"/>
  <c r="T24" i="27" l="1"/>
  <c r="T28" i="27" s="1"/>
  <c r="T23" i="15" s="1"/>
  <c r="T24" i="15" s="1"/>
  <c r="T25" i="15" s="1"/>
  <c r="AE17" i="66"/>
  <c r="AE51" i="66"/>
  <c r="AF45" i="66" s="1"/>
  <c r="AF48" i="66" s="1"/>
  <c r="AF49" i="66" s="1"/>
  <c r="AF53" i="66" s="1"/>
  <c r="AF27" i="66" s="1"/>
  <c r="AF17" i="66" l="1"/>
  <c r="AF51" i="66"/>
  <c r="AG45" i="66" s="1"/>
  <c r="AG48" i="66" s="1"/>
  <c r="AG49" i="66" l="1"/>
  <c r="AG53" i="66" s="1"/>
  <c r="AG27" i="66" s="1"/>
  <c r="T26" i="15"/>
  <c r="U19" i="15" s="1"/>
  <c r="AG17" i="66" l="1"/>
  <c r="AG51" i="66"/>
  <c r="AH45" i="66" s="1"/>
  <c r="AH48" i="66" s="1"/>
  <c r="U24" i="27"/>
  <c r="U28" i="27" s="1"/>
  <c r="AH49" i="66" l="1"/>
  <c r="AH53" i="66" s="1"/>
  <c r="AH27" i="66" s="1"/>
  <c r="U23" i="15"/>
  <c r="U24" i="15" s="1"/>
  <c r="U25" i="15" s="1"/>
  <c r="AH17" i="66" l="1"/>
  <c r="AH51" i="66"/>
  <c r="AI45" i="66" s="1"/>
  <c r="AI48" i="66" s="1"/>
  <c r="U26" i="15" l="1"/>
  <c r="V19" i="15" s="1"/>
  <c r="AI49" i="66"/>
  <c r="AI50" i="66" s="1"/>
  <c r="V24" i="27" l="1"/>
  <c r="V28" i="27" s="1"/>
  <c r="V23" i="15" s="1"/>
  <c r="V24" i="15" s="1"/>
  <c r="V25" i="15" s="1"/>
  <c r="AI51" i="66"/>
  <c r="AI53" i="66"/>
  <c r="AI27" i="66" s="1"/>
  <c r="AI17" i="66" l="1"/>
  <c r="V26" i="15" l="1"/>
  <c r="W19" i="15" s="1"/>
  <c r="W24" i="27" l="1"/>
  <c r="W28" i="27" s="1"/>
  <c r="W23" i="15" l="1"/>
  <c r="W24" i="15" s="1"/>
  <c r="W25" i="15" s="1"/>
  <c r="W26" i="15" l="1"/>
  <c r="X19" i="15" s="1"/>
  <c r="X24" i="27" l="1"/>
  <c r="X28" i="27" s="1"/>
  <c r="X23" i="15" l="1"/>
  <c r="X24" i="15" l="1"/>
  <c r="X25" i="15" s="1"/>
  <c r="X26" i="15" l="1"/>
  <c r="Y19" i="15" s="1"/>
  <c r="Y24" i="27" l="1"/>
  <c r="Y28" i="27" s="1"/>
  <c r="Y23" i="15" l="1"/>
  <c r="Y24" i="15" l="1"/>
  <c r="Y25" i="15" s="1"/>
  <c r="Y26" i="15" l="1"/>
  <c r="Z19" i="15" s="1"/>
  <c r="Z24" i="27" l="1"/>
  <c r="Z28" i="27" s="1"/>
  <c r="Z23" i="15" l="1"/>
  <c r="Z24" i="15" l="1"/>
  <c r="Z25" i="15" s="1"/>
  <c r="Z26" i="15" l="1"/>
  <c r="AA19" i="15" s="1"/>
  <c r="AA24" i="27" l="1"/>
  <c r="AA28" i="27" s="1"/>
  <c r="AA23" i="15" l="1"/>
  <c r="AA24" i="15" s="1"/>
  <c r="AA25" i="15" s="1"/>
  <c r="AA26" i="15" l="1"/>
  <c r="AB19" i="15" s="1"/>
  <c r="AB24" i="27" l="1"/>
  <c r="AB28" i="27" s="1"/>
  <c r="AB23" i="15" l="1"/>
  <c r="AB24" i="15" s="1"/>
  <c r="AB25" i="15" s="1"/>
  <c r="AB26" i="15" l="1"/>
  <c r="AC19" i="15" s="1"/>
  <c r="AC24" i="27" l="1"/>
  <c r="AC28" i="27" s="1"/>
  <c r="AC23" i="15" l="1"/>
  <c r="AC24" i="15" s="1"/>
  <c r="AC25" i="15" s="1"/>
  <c r="AC26" i="15" l="1"/>
  <c r="AD19" i="15" s="1"/>
  <c r="AD24" i="27" l="1"/>
  <c r="AD28" i="27" s="1"/>
  <c r="AD23" i="15" l="1"/>
  <c r="AD24" i="15" s="1"/>
  <c r="AD25" i="15" s="1"/>
  <c r="AD26" i="15" l="1"/>
  <c r="AE19" i="15" s="1"/>
  <c r="AE24" i="27" l="1"/>
  <c r="AE28" i="27" s="1"/>
  <c r="AE23" i="15" l="1"/>
  <c r="AE24" i="15" s="1"/>
  <c r="AE25" i="15" s="1"/>
  <c r="AE26" i="15" l="1"/>
  <c r="AF19" i="15" s="1"/>
  <c r="AF24" i="27" l="1"/>
  <c r="AF28" i="27" s="1"/>
  <c r="AF23" i="15" l="1"/>
  <c r="AF24" i="15" s="1"/>
  <c r="AF25" i="15" s="1"/>
  <c r="AF26" i="15" l="1"/>
  <c r="AG19" i="15" s="1"/>
  <c r="AG24" i="27" l="1"/>
  <c r="AG28" i="27" s="1"/>
  <c r="AG23" i="15" l="1"/>
  <c r="AG24" i="15" s="1"/>
  <c r="AG25" i="15" s="1"/>
  <c r="AG26" i="15" l="1"/>
  <c r="AH19" i="15" s="1"/>
  <c r="AH24" i="27" l="1"/>
  <c r="AH28" i="27" s="1"/>
  <c r="AH23" i="15" l="1"/>
  <c r="AH24" i="15" s="1"/>
  <c r="AH25" i="15" s="1"/>
  <c r="AH26" i="15" l="1"/>
  <c r="AI19" i="15" s="1"/>
  <c r="AI24" i="27" l="1"/>
  <c r="AI28" i="27" s="1"/>
  <c r="AI23" i="15" l="1"/>
  <c r="AI24" i="15" s="1"/>
  <c r="AI25" i="15" s="1"/>
  <c r="AI26" i="15" l="1"/>
  <c r="AJ19" i="15" s="1"/>
  <c r="AJ24" i="27" l="1"/>
  <c r="AJ28" i="27" s="1"/>
  <c r="AJ23" i="15" l="1"/>
  <c r="AJ24" i="15" s="1"/>
  <c r="AJ25" i="15" s="1"/>
  <c r="AJ26" i="15" l="1"/>
  <c r="AK19" i="15" s="1"/>
  <c r="AK24" i="27" l="1"/>
  <c r="AK28" i="27" s="1"/>
  <c r="AK23" i="15" l="1"/>
  <c r="AK24" i="15" s="1"/>
  <c r="AK25" i="15" s="1"/>
  <c r="AK26" i="15" l="1"/>
  <c r="AL19" i="15" s="1"/>
  <c r="AL24" i="27" l="1"/>
  <c r="AL28" i="27" s="1"/>
  <c r="AL23" i="15" l="1"/>
  <c r="AL24" i="15" s="1"/>
  <c r="AL25" i="15" s="1"/>
  <c r="AL26" i="15" l="1"/>
  <c r="AM19" i="15" s="1"/>
  <c r="AM24" i="27" l="1"/>
  <c r="AM28" i="27" s="1"/>
  <c r="AM23" i="15" l="1"/>
  <c r="AM24" i="15" s="1"/>
  <c r="AM25" i="15" s="1"/>
  <c r="AM26" i="15" l="1"/>
  <c r="AN19" i="15" s="1"/>
  <c r="AN24" i="27" l="1"/>
  <c r="AN28" i="27" s="1"/>
  <c r="AN23" i="15" l="1"/>
  <c r="AN24" i="15" s="1"/>
  <c r="AN25" i="15" s="1"/>
  <c r="AN26" i="15" l="1"/>
  <c r="AO19" i="15" s="1"/>
  <c r="AO24" i="27" l="1"/>
  <c r="AO28" i="27" s="1"/>
  <c r="AO23" i="15" l="1"/>
  <c r="AO24" i="15" s="1"/>
  <c r="AO25" i="15" s="1"/>
  <c r="AO26" i="15" l="1"/>
  <c r="AP19" i="15" s="1"/>
  <c r="AP24" i="27" l="1"/>
  <c r="AP28" i="27" s="1"/>
  <c r="AP23" i="15" l="1"/>
  <c r="AP24" i="15" s="1"/>
  <c r="AP25" i="15" s="1"/>
  <c r="AP26" i="15" l="1"/>
  <c r="AQ19" i="15" s="1"/>
  <c r="AQ24" i="27" s="1"/>
  <c r="AQ28" i="27" s="1"/>
  <c r="AQ23" i="15" l="1"/>
  <c r="AQ24" i="15" s="1"/>
  <c r="AQ25" i="15" s="1"/>
  <c r="AQ26" i="15" l="1"/>
  <c r="AR19" i="15" s="1"/>
  <c r="AR24" i="27" s="1"/>
  <c r="AR28" i="27" s="1"/>
  <c r="AR23" i="15" l="1"/>
  <c r="AR24" i="15" s="1"/>
  <c r="AR25" i="15" s="1"/>
  <c r="AR26" i="15" l="1"/>
  <c r="AS19" i="15" s="1"/>
  <c r="AS24" i="27" s="1"/>
  <c r="AS28" i="27" s="1"/>
  <c r="AS23" i="15" l="1"/>
  <c r="AS24" i="15" s="1"/>
  <c r="AS25" i="15" s="1"/>
  <c r="AS26" i="15" l="1"/>
  <c r="AT19" i="15" s="1"/>
  <c r="AT24" i="27" s="1"/>
  <c r="AT28" i="27" s="1"/>
  <c r="AT23" i="15" l="1"/>
  <c r="AT24" i="15" s="1"/>
  <c r="AT25" i="15" s="1"/>
  <c r="AT26" i="15" l="1"/>
  <c r="AU19" i="15" s="1"/>
  <c r="AU24" i="27" s="1"/>
  <c r="AU28" i="27" s="1"/>
  <c r="AU23" i="15" l="1"/>
  <c r="AU24" i="15" s="1"/>
  <c r="AU25" i="15" s="1"/>
  <c r="AU26" i="15" l="1"/>
  <c r="AV19" i="15" s="1"/>
  <c r="AV24" i="27" s="1"/>
  <c r="AV28" i="27" s="1"/>
  <c r="AV23" i="15" l="1"/>
  <c r="AV24" i="15" s="1"/>
  <c r="AV25" i="15" s="1"/>
  <c r="AV26" i="15" l="1"/>
  <c r="AW19" i="15" s="1"/>
  <c r="AW24" i="27" s="1"/>
  <c r="AW28" i="27" s="1"/>
  <c r="AW23" i="15" l="1"/>
  <c r="AW24" i="15" s="1"/>
  <c r="AW25" i="15" s="1"/>
  <c r="AW26" i="15" l="1"/>
  <c r="AX19" i="15" s="1"/>
  <c r="AX24" i="27" s="1"/>
  <c r="AX28" i="27" s="1"/>
  <c r="AX23" i="15" l="1"/>
  <c r="AX24" i="15" l="1"/>
  <c r="AX25" i="15" s="1"/>
  <c r="K11" i="63" l="1"/>
  <c r="AW44" i="27" s="1"/>
  <c r="AX26" i="15"/>
  <c r="AK44" i="27" l="1"/>
  <c r="AP43" i="27"/>
  <c r="N43" i="27"/>
  <c r="O43" i="27"/>
  <c r="K44" i="27"/>
  <c r="AQ44" i="27"/>
  <c r="AN43" i="27"/>
  <c r="AK43" i="27"/>
  <c r="AH43" i="27"/>
  <c r="AC44" i="27"/>
  <c r="Z44" i="27"/>
  <c r="AD43" i="27"/>
  <c r="S43" i="27"/>
  <c r="O44" i="27"/>
  <c r="L43" i="27"/>
  <c r="AR43" i="27"/>
  <c r="AJ43" i="27"/>
  <c r="AO43" i="27"/>
  <c r="W43" i="27"/>
  <c r="S44" i="27"/>
  <c r="P43" i="27"/>
  <c r="L44" i="27"/>
  <c r="K43" i="27"/>
  <c r="M44" i="27"/>
  <c r="AT43" i="27"/>
  <c r="V43" i="27"/>
  <c r="Q44" i="27"/>
  <c r="AP44" i="27"/>
  <c r="V44" i="27"/>
  <c r="AA43" i="27"/>
  <c r="W44" i="27"/>
  <c r="T43" i="27"/>
  <c r="P44" i="27"/>
  <c r="AM44" i="27"/>
  <c r="AG43" i="27"/>
  <c r="AL43" i="27"/>
  <c r="Y44" i="27"/>
  <c r="U43" i="27"/>
  <c r="AL44" i="27"/>
  <c r="AE43" i="27"/>
  <c r="AA44" i="27"/>
  <c r="X43" i="27"/>
  <c r="T44" i="27"/>
  <c r="AS44" i="27"/>
  <c r="M43" i="27"/>
  <c r="N44" i="27"/>
  <c r="AO44" i="27"/>
  <c r="AS43" i="27"/>
  <c r="Y43" i="27"/>
  <c r="AI43" i="27"/>
  <c r="AE44" i="27"/>
  <c r="AB43" i="27"/>
  <c r="X44" i="27"/>
  <c r="AT44" i="27"/>
  <c r="AQ43" i="27"/>
  <c r="Q43" i="27"/>
  <c r="AH44" i="27"/>
  <c r="AC43" i="27"/>
  <c r="AD44" i="27"/>
  <c r="Z43" i="27"/>
  <c r="U44" i="27"/>
  <c r="AG44" i="27"/>
  <c r="AM43" i="27"/>
  <c r="AI44" i="27"/>
  <c r="AF43" i="27"/>
  <c r="AB44" i="27"/>
  <c r="AF44" i="27"/>
  <c r="AJ44" i="27"/>
  <c r="AN44" i="27"/>
  <c r="AR44" i="27"/>
  <c r="AU43" i="27"/>
  <c r="AU44" i="27"/>
  <c r="AW43" i="27"/>
  <c r="AV43" i="27"/>
  <c r="AX44" i="27"/>
  <c r="AV44" i="27"/>
  <c r="AX43" i="27"/>
  <c r="O45" i="27"/>
  <c r="S45" i="27"/>
  <c r="W45" i="27"/>
  <c r="AA45" i="27"/>
  <c r="AE45" i="27"/>
  <c r="AI45" i="27"/>
  <c r="AM45" i="27"/>
  <c r="AQ45" i="27"/>
  <c r="AU45" i="27"/>
  <c r="L46" i="27"/>
  <c r="P46" i="27"/>
  <c r="T46" i="27"/>
  <c r="X46" i="27"/>
  <c r="AB46" i="27"/>
  <c r="AF46" i="27"/>
  <c r="AJ46" i="27"/>
  <c r="AN46" i="27"/>
  <c r="AR46" i="27"/>
  <c r="AV46" i="27"/>
  <c r="K45" i="27"/>
  <c r="R45" i="27"/>
  <c r="AD45" i="27"/>
  <c r="AP45" i="27"/>
  <c r="AT45" i="27"/>
  <c r="O46" i="27"/>
  <c r="AA46" i="27"/>
  <c r="AM46" i="27"/>
  <c r="AU46" i="27"/>
  <c r="K46" i="27"/>
  <c r="L45" i="27"/>
  <c r="P45" i="27"/>
  <c r="T45" i="27"/>
  <c r="X45" i="27"/>
  <c r="AB45" i="27"/>
  <c r="AF45" i="27"/>
  <c r="AJ45" i="27"/>
  <c r="AN45" i="27"/>
  <c r="AR45" i="27"/>
  <c r="AV45" i="27"/>
  <c r="M46" i="27"/>
  <c r="Q46" i="27"/>
  <c r="U46" i="27"/>
  <c r="Y46" i="27"/>
  <c r="AC46" i="27"/>
  <c r="AG46" i="27"/>
  <c r="AK46" i="27"/>
  <c r="AO46" i="27"/>
  <c r="AS46" i="27"/>
  <c r="AW46" i="27"/>
  <c r="V45" i="27"/>
  <c r="W46" i="27"/>
  <c r="AI46" i="27"/>
  <c r="M45" i="27"/>
  <c r="Q45" i="27"/>
  <c r="U45" i="27"/>
  <c r="Y45" i="27"/>
  <c r="AC45" i="27"/>
  <c r="AG45" i="27"/>
  <c r="AK45" i="27"/>
  <c r="AO45" i="27"/>
  <c r="AS45" i="27"/>
  <c r="AW45" i="27"/>
  <c r="N46" i="27"/>
  <c r="R46" i="27"/>
  <c r="V46" i="27"/>
  <c r="Z46" i="27"/>
  <c r="AD46" i="27"/>
  <c r="AH46" i="27"/>
  <c r="AL46" i="27"/>
  <c r="AP46" i="27"/>
  <c r="AT46" i="27"/>
  <c r="AX46" i="27"/>
  <c r="N45" i="27"/>
  <c r="Z45" i="27"/>
  <c r="Z47" i="27" s="1"/>
  <c r="AH45" i="27"/>
  <c r="AL45" i="27"/>
  <c r="AX45" i="27"/>
  <c r="S46" i="27"/>
  <c r="AE46" i="27"/>
  <c r="AQ46" i="27"/>
  <c r="R43" i="27"/>
  <c r="R44" i="27"/>
  <c r="AN47" i="27" l="1"/>
  <c r="AJ47" i="27"/>
  <c r="S47" i="27"/>
  <c r="AH47" i="27"/>
  <c r="P47" i="27"/>
  <c r="AF47" i="27"/>
  <c r="AR47" i="27"/>
  <c r="L47" i="27"/>
  <c r="X47" i="27"/>
  <c r="Y47" i="27"/>
  <c r="AO47" i="27"/>
  <c r="AB47" i="27"/>
  <c r="AS47" i="27"/>
  <c r="T47" i="27"/>
  <c r="AM47" i="27"/>
  <c r="W47" i="27"/>
  <c r="AP47" i="27"/>
  <c r="N47" i="27"/>
  <c r="AK47" i="27"/>
  <c r="U47" i="27"/>
  <c r="AC47" i="27"/>
  <c r="M47" i="27"/>
  <c r="AE47" i="27"/>
  <c r="AV47" i="27"/>
  <c r="AG47" i="27"/>
  <c r="Q47" i="27"/>
  <c r="V47" i="27"/>
  <c r="AD47" i="27"/>
  <c r="AT47" i="27"/>
  <c r="AU47" i="27"/>
  <c r="O47" i="27"/>
  <c r="K19" i="66"/>
  <c r="AL47" i="27"/>
  <c r="AQ47" i="27"/>
  <c r="AX47" i="27"/>
  <c r="R47" i="27"/>
  <c r="AW47" i="27"/>
  <c r="AA47" i="27"/>
  <c r="AI47" i="27"/>
  <c r="K47" i="27"/>
  <c r="K48" i="27"/>
  <c r="K49" i="27" l="1"/>
  <c r="K50" i="27" s="1"/>
  <c r="L42" i="27" s="1"/>
  <c r="L48" i="27" s="1"/>
  <c r="L49" i="27" l="1"/>
  <c r="L50" i="27" s="1"/>
  <c r="M42" i="27" s="1"/>
  <c r="M48" i="27" s="1"/>
  <c r="M49" i="27" l="1"/>
  <c r="M50" i="27" s="1"/>
  <c r="N42" i="27" s="1"/>
  <c r="N48" i="27" l="1"/>
  <c r="N49" i="27" s="1"/>
  <c r="N50" i="27" s="1"/>
  <c r="O42" i="27" s="1"/>
  <c r="O48" i="27" l="1"/>
  <c r="O49" i="27" s="1"/>
  <c r="O50" i="27" s="1"/>
  <c r="P42" i="27" s="1"/>
  <c r="P48" i="27" l="1"/>
  <c r="P49" i="27" s="1"/>
  <c r="P50" i="27" s="1"/>
  <c r="Q42" i="27" s="1"/>
  <c r="Q48" i="27" l="1"/>
  <c r="Q49" i="27" s="1"/>
  <c r="Q50" i="27" s="1"/>
  <c r="R42" i="27" s="1"/>
  <c r="R48" i="27" l="1"/>
  <c r="R49" i="27" l="1"/>
  <c r="R50" i="27" s="1"/>
  <c r="S42" i="27" s="1"/>
  <c r="S48" i="27" l="1"/>
  <c r="S49" i="27" l="1"/>
  <c r="S50" i="27" s="1"/>
  <c r="T42" i="27" s="1"/>
  <c r="T48" i="27" l="1"/>
  <c r="T49" i="27" l="1"/>
  <c r="T50" i="27" s="1"/>
  <c r="U42" i="27" s="1"/>
  <c r="U48" i="27" l="1"/>
  <c r="U49" i="27" s="1"/>
  <c r="U50" i="27" s="1"/>
  <c r="V42" i="27" s="1"/>
  <c r="V48" i="27" l="1"/>
  <c r="V49" i="27" l="1"/>
  <c r="V50" i="27" s="1"/>
  <c r="W42" i="27" s="1"/>
  <c r="W48" i="27" l="1"/>
  <c r="W49" i="27" l="1"/>
  <c r="W50" i="27" s="1"/>
  <c r="X42" i="27" s="1"/>
  <c r="X48" i="27" l="1"/>
  <c r="X49" i="27" l="1"/>
  <c r="X50" i="27" s="1"/>
  <c r="Y42" i="27" s="1"/>
  <c r="Y48" i="27" l="1"/>
  <c r="Y49" i="27" l="1"/>
  <c r="Y50" i="27" s="1"/>
  <c r="Z42" i="27" s="1"/>
  <c r="Z48" i="27" l="1"/>
  <c r="Z49" i="27" s="1"/>
  <c r="Z50" i="27" s="1"/>
  <c r="AA42" i="27" s="1"/>
  <c r="AA48" i="27" l="1"/>
  <c r="AA49" i="27" s="1"/>
  <c r="AA50" i="27" s="1"/>
  <c r="AB42" i="27" s="1"/>
  <c r="AB48" i="27" l="1"/>
  <c r="AB49" i="27" s="1"/>
  <c r="AB50" i="27" s="1"/>
  <c r="AC42" i="27" s="1"/>
  <c r="AC48" i="27" l="1"/>
  <c r="AC49" i="27" s="1"/>
  <c r="AC50" i="27" s="1"/>
  <c r="AD42" i="27" s="1"/>
  <c r="AD48" i="27" l="1"/>
  <c r="AD49" i="27" s="1"/>
  <c r="AD50" i="27" s="1"/>
  <c r="AE42" i="27" s="1"/>
  <c r="AE48" i="27" l="1"/>
  <c r="AE49" i="27" s="1"/>
  <c r="AE50" i="27" s="1"/>
  <c r="AF42" i="27" s="1"/>
  <c r="AF48" i="27" l="1"/>
  <c r="AF49" i="27" s="1"/>
  <c r="AF50" i="27" s="1"/>
  <c r="AG42" i="27" s="1"/>
  <c r="AG48" i="27" l="1"/>
  <c r="AG49" i="27" s="1"/>
  <c r="AG50" i="27" s="1"/>
  <c r="AH42" i="27" s="1"/>
  <c r="AH48" i="27" l="1"/>
  <c r="AH49" i="27" s="1"/>
  <c r="AH50" i="27" s="1"/>
  <c r="AI42" i="27" s="1"/>
  <c r="AI48" i="27" l="1"/>
  <c r="AI49" i="27" s="1"/>
  <c r="AI50" i="27" s="1"/>
  <c r="AJ42" i="27" s="1"/>
  <c r="AJ48" i="27" l="1"/>
  <c r="AJ49" i="27" s="1"/>
  <c r="AJ50" i="27" s="1"/>
  <c r="AK42" i="27" s="1"/>
  <c r="AK48" i="27" l="1"/>
  <c r="AK49" i="27" s="1"/>
  <c r="AK50" i="27" s="1"/>
  <c r="AL42" i="27" s="1"/>
  <c r="AL48" i="27" l="1"/>
  <c r="AL49" i="27" s="1"/>
  <c r="AL50" i="27" s="1"/>
  <c r="AM42" i="27" s="1"/>
  <c r="AM48" i="27" l="1"/>
  <c r="AM49" i="27" s="1"/>
  <c r="AM50" i="27" s="1"/>
  <c r="AN42" i="27" s="1"/>
  <c r="AN48" i="27" l="1"/>
  <c r="AN49" i="27" s="1"/>
  <c r="AN50" i="27" s="1"/>
  <c r="AO42" i="27" s="1"/>
  <c r="AO48" i="27" l="1"/>
  <c r="AO49" i="27" s="1"/>
  <c r="AO50" i="27" s="1"/>
  <c r="AP42" i="27" s="1"/>
  <c r="AP48" i="27" l="1"/>
  <c r="AP49" i="27" s="1"/>
  <c r="AP50" i="27" s="1"/>
  <c r="AQ42" i="27" s="1"/>
  <c r="AQ48" i="27" l="1"/>
  <c r="AQ49" i="27" s="1"/>
  <c r="AQ50" i="27" s="1"/>
  <c r="AR42" i="27" s="1"/>
  <c r="AR48" i="27" l="1"/>
  <c r="AR49" i="27" s="1"/>
  <c r="AR50" i="27" s="1"/>
  <c r="AS42" i="27" s="1"/>
  <c r="AS48" i="27" l="1"/>
  <c r="AS49" i="27" s="1"/>
  <c r="AS50" i="27" s="1"/>
  <c r="AT42" i="27" s="1"/>
  <c r="AT48" i="27" l="1"/>
  <c r="AT49" i="27" s="1"/>
  <c r="AT50" i="27" s="1"/>
  <c r="AU42" i="27" s="1"/>
  <c r="AU48" i="27" l="1"/>
  <c r="AU49" i="27" s="1"/>
  <c r="AU50" i="27" s="1"/>
  <c r="AV42" i="27" s="1"/>
  <c r="AV48" i="27" l="1"/>
  <c r="AV49" i="27" s="1"/>
  <c r="AV50" i="27" l="1"/>
  <c r="AW42" i="27" s="1"/>
  <c r="AW48" i="27" l="1"/>
  <c r="AW49" i="27" s="1"/>
  <c r="AW50" i="27" l="1"/>
  <c r="AX42" i="27" s="1"/>
  <c r="AX48" i="27" l="1"/>
  <c r="AX49" i="27" s="1"/>
  <c r="AX50" i="27" l="1"/>
  <c r="K10" i="63"/>
  <c r="K12" i="63" s="1"/>
  <c r="K25" i="63" l="1"/>
  <c r="K34" i="63"/>
  <c r="K72" i="66"/>
  <c r="K69" i="66" l="1"/>
  <c r="K18" i="66" s="1"/>
  <c r="K20" i="66" s="1"/>
  <c r="M70" i="66"/>
  <c r="K70" i="66"/>
  <c r="AH70" i="66"/>
  <c r="X70" i="66"/>
  <c r="N70" i="66"/>
  <c r="Z70" i="66"/>
  <c r="AB70" i="66"/>
  <c r="AF70" i="66"/>
  <c r="O70" i="66"/>
  <c r="Y70" i="66"/>
  <c r="V70" i="66"/>
  <c r="P70" i="66"/>
  <c r="AA70" i="66"/>
  <c r="L70" i="66"/>
  <c r="AD70" i="66"/>
  <c r="T70" i="66"/>
  <c r="AC70" i="66"/>
  <c r="Q70" i="66"/>
  <c r="AG70" i="66"/>
  <c r="R70" i="66"/>
  <c r="AE70" i="66"/>
  <c r="AI70" i="66"/>
  <c r="U70" i="66"/>
  <c r="S70" i="66"/>
  <c r="W70" i="66"/>
  <c r="K14" i="63"/>
  <c r="K15" i="63" s="1"/>
  <c r="K11" i="4"/>
  <c r="K11" i="48"/>
  <c r="K68" i="66" l="1"/>
  <c r="K73" i="66" s="1"/>
  <c r="K74" i="66" s="1"/>
  <c r="L72" i="66" s="1"/>
  <c r="L69" i="66" s="1"/>
  <c r="L18" i="66" s="1"/>
  <c r="L20" i="66" s="1"/>
  <c r="K35" i="63"/>
  <c r="L9" i="63"/>
  <c r="L12" i="63" s="1"/>
  <c r="K17" i="63"/>
  <c r="K10" i="67"/>
  <c r="K10" i="68"/>
  <c r="L68" i="66" l="1"/>
  <c r="L73" i="66" s="1"/>
  <c r="L74" i="66" s="1"/>
  <c r="M72" i="66" s="1"/>
  <c r="M69" i="66" s="1"/>
  <c r="M68" i="66" s="1"/>
  <c r="M73" i="66" s="1"/>
  <c r="M74" i="66" s="1"/>
  <c r="N72" i="66" s="1"/>
  <c r="N69" i="66" s="1"/>
  <c r="K37" i="63"/>
  <c r="K40" i="63" s="1"/>
  <c r="K12" i="4" s="1"/>
  <c r="K13" i="4" s="1"/>
  <c r="K28" i="4" s="1"/>
  <c r="K38" i="63"/>
  <c r="K41" i="63" s="1"/>
  <c r="K12" i="48" s="1"/>
  <c r="K13" i="48" s="1"/>
  <c r="K28" i="48" s="1"/>
  <c r="L25" i="63"/>
  <c r="L34" i="63"/>
  <c r="L10" i="68"/>
  <c r="L10" i="67"/>
  <c r="N68" i="66" l="1"/>
  <c r="N73" i="66" s="1"/>
  <c r="N74" i="66" s="1"/>
  <c r="O72" i="66" s="1"/>
  <c r="O69" i="66" s="1"/>
  <c r="O18" i="66" s="1"/>
  <c r="O20" i="66" s="1"/>
  <c r="N18" i="66"/>
  <c r="N20" i="66" s="1"/>
  <c r="N10" i="67" s="1"/>
  <c r="M18" i="66"/>
  <c r="M20" i="66" s="1"/>
  <c r="M10" i="68" s="1"/>
  <c r="L11" i="48"/>
  <c r="L14" i="63"/>
  <c r="L15" i="63" s="1"/>
  <c r="L11" i="4"/>
  <c r="N10" i="68" l="1"/>
  <c r="M10" i="67"/>
  <c r="O68" i="66"/>
  <c r="O73" i="66" s="1"/>
  <c r="O74" i="66" s="1"/>
  <c r="P72" i="66" s="1"/>
  <c r="P69" i="66" s="1"/>
  <c r="L35" i="63"/>
  <c r="M9" i="63"/>
  <c r="M12" i="63" s="1"/>
  <c r="L17" i="63"/>
  <c r="O10" i="68"/>
  <c r="O10" i="67"/>
  <c r="M25" i="63" l="1"/>
  <c r="M34" i="63"/>
  <c r="L37" i="63"/>
  <c r="L40" i="63" s="1"/>
  <c r="L12" i="4" s="1"/>
  <c r="L13" i="4" s="1"/>
  <c r="L28" i="4" s="1"/>
  <c r="L38" i="63"/>
  <c r="L41" i="63" s="1"/>
  <c r="L12" i="48" s="1"/>
  <c r="L13" i="48" s="1"/>
  <c r="L28" i="48" s="1"/>
  <c r="P18" i="66"/>
  <c r="P20" i="66" s="1"/>
  <c r="P68" i="66"/>
  <c r="P73" i="66" s="1"/>
  <c r="M14" i="63" l="1"/>
  <c r="M15" i="63" s="1"/>
  <c r="M11" i="48"/>
  <c r="M11" i="4"/>
  <c r="P74" i="66"/>
  <c r="Q72" i="66" s="1"/>
  <c r="Q69" i="66" s="1"/>
  <c r="P10" i="68"/>
  <c r="P10" i="67"/>
  <c r="N9" i="63" l="1"/>
  <c r="N12" i="63" s="1"/>
  <c r="M35" i="63"/>
  <c r="M17" i="63"/>
  <c r="Q68" i="66"/>
  <c r="Q73" i="66" s="1"/>
  <c r="Q18" i="66"/>
  <c r="Q20" i="66" s="1"/>
  <c r="M37" i="63" l="1"/>
  <c r="M40" i="63" s="1"/>
  <c r="M12" i="4" s="1"/>
  <c r="M13" i="4" s="1"/>
  <c r="M28" i="4" s="1"/>
  <c r="M38" i="63"/>
  <c r="M41" i="63" s="1"/>
  <c r="M12" i="48" s="1"/>
  <c r="M13" i="48" s="1"/>
  <c r="M28" i="48" s="1"/>
  <c r="N25" i="63"/>
  <c r="N34" i="63"/>
  <c r="Q74" i="66"/>
  <c r="R72" i="66" s="1"/>
  <c r="R69" i="66" s="1"/>
  <c r="Q10" i="67"/>
  <c r="Q10" i="68"/>
  <c r="N11" i="48" l="1"/>
  <c r="N11" i="4"/>
  <c r="N14" i="63"/>
  <c r="N15" i="63" s="1"/>
  <c r="R18" i="66"/>
  <c r="R20" i="66" s="1"/>
  <c r="R10" i="67" s="1"/>
  <c r="R68" i="66"/>
  <c r="R73" i="66" s="1"/>
  <c r="R74" i="66" s="1"/>
  <c r="S72" i="66" s="1"/>
  <c r="S69" i="66" s="1"/>
  <c r="O9" i="63" l="1"/>
  <c r="O12" i="63" s="1"/>
  <c r="N35" i="63"/>
  <c r="N17" i="63"/>
  <c r="R10" i="68"/>
  <c r="S18" i="66"/>
  <c r="S20" i="66" s="1"/>
  <c r="S10" i="67" s="1"/>
  <c r="S68" i="66"/>
  <c r="S73" i="66" s="1"/>
  <c r="N37" i="63" l="1"/>
  <c r="N40" i="63" s="1"/>
  <c r="N12" i="4" s="1"/>
  <c r="N13" i="4" s="1"/>
  <c r="N28" i="4" s="1"/>
  <c r="N38" i="63"/>
  <c r="N41" i="63" s="1"/>
  <c r="N12" i="48" s="1"/>
  <c r="N13" i="48" s="1"/>
  <c r="N28" i="48" s="1"/>
  <c r="O25" i="63"/>
  <c r="O34" i="63"/>
  <c r="S10" i="68"/>
  <c r="S74" i="66"/>
  <c r="T72" i="66" s="1"/>
  <c r="T69" i="66" s="1"/>
  <c r="O11" i="48" l="1"/>
  <c r="O11" i="4"/>
  <c r="O14" i="63"/>
  <c r="O15" i="63" s="1"/>
  <c r="T18" i="66"/>
  <c r="T20" i="66" s="1"/>
  <c r="T68" i="66"/>
  <c r="T73" i="66" s="1"/>
  <c r="O35" i="63" l="1"/>
  <c r="P9" i="63"/>
  <c r="P12" i="63" s="1"/>
  <c r="O17" i="63"/>
  <c r="T74" i="66"/>
  <c r="U72" i="66" s="1"/>
  <c r="U69" i="66" s="1"/>
  <c r="T10" i="67"/>
  <c r="T10" i="68"/>
  <c r="P25" i="63" l="1"/>
  <c r="P34" i="63"/>
  <c r="O38" i="63"/>
  <c r="O41" i="63" s="1"/>
  <c r="O12" i="48" s="1"/>
  <c r="O13" i="48" s="1"/>
  <c r="O28" i="48" s="1"/>
  <c r="O37" i="63"/>
  <c r="O40" i="63" s="1"/>
  <c r="O12" i="4" s="1"/>
  <c r="O13" i="4" s="1"/>
  <c r="O28" i="4" s="1"/>
  <c r="U18" i="66"/>
  <c r="U20" i="66" s="1"/>
  <c r="U68" i="66"/>
  <c r="U73" i="66" s="1"/>
  <c r="P14" i="63" l="1"/>
  <c r="P15" i="63" s="1"/>
  <c r="P11" i="48"/>
  <c r="P11" i="4"/>
  <c r="U74" i="66"/>
  <c r="V72" i="66" s="1"/>
  <c r="V69" i="66" s="1"/>
  <c r="U10" i="67"/>
  <c r="U10" i="68"/>
  <c r="Q9" i="63" l="1"/>
  <c r="Q12" i="63" s="1"/>
  <c r="P35" i="63"/>
  <c r="P17" i="63"/>
  <c r="V18" i="66"/>
  <c r="V20" i="66" s="1"/>
  <c r="V68" i="66"/>
  <c r="V73" i="66" s="1"/>
  <c r="P37" i="63" l="1"/>
  <c r="P40" i="63" s="1"/>
  <c r="P12" i="4" s="1"/>
  <c r="P13" i="4" s="1"/>
  <c r="P28" i="4" s="1"/>
  <c r="P38" i="63"/>
  <c r="P41" i="63" s="1"/>
  <c r="P12" i="48" s="1"/>
  <c r="P13" i="48" s="1"/>
  <c r="P28" i="48" s="1"/>
  <c r="Q25" i="63"/>
  <c r="Q34" i="63"/>
  <c r="V74" i="66"/>
  <c r="W72" i="66" s="1"/>
  <c r="W69" i="66" s="1"/>
  <c r="V10" i="67"/>
  <c r="V10" i="68"/>
  <c r="Q11" i="4" l="1"/>
  <c r="Q11" i="48"/>
  <c r="Q14" i="63"/>
  <c r="Q15" i="63" s="1"/>
  <c r="W68" i="66"/>
  <c r="W73" i="66" s="1"/>
  <c r="W18" i="66"/>
  <c r="W20" i="66" s="1"/>
  <c r="R9" i="63" l="1"/>
  <c r="R12" i="63" s="1"/>
  <c r="Q35" i="63"/>
  <c r="Q17" i="63"/>
  <c r="W10" i="68"/>
  <c r="W10" i="67"/>
  <c r="W74" i="66"/>
  <c r="X72" i="66" s="1"/>
  <c r="X69" i="66" s="1"/>
  <c r="Q37" i="63" l="1"/>
  <c r="Q40" i="63" s="1"/>
  <c r="Q12" i="4" s="1"/>
  <c r="Q13" i="4" s="1"/>
  <c r="Q28" i="4" s="1"/>
  <c r="Q38" i="63"/>
  <c r="Q41" i="63" s="1"/>
  <c r="Q12" i="48" s="1"/>
  <c r="Q13" i="48" s="1"/>
  <c r="Q28" i="48" s="1"/>
  <c r="R25" i="63"/>
  <c r="R34" i="63"/>
  <c r="X18" i="66"/>
  <c r="X20" i="66" s="1"/>
  <c r="X68" i="66"/>
  <c r="X73" i="66" s="1"/>
  <c r="R11" i="4" l="1"/>
  <c r="R14" i="63"/>
  <c r="R15" i="63" s="1"/>
  <c r="R11" i="48"/>
  <c r="X74" i="66"/>
  <c r="Y72" i="66" s="1"/>
  <c r="Y69" i="66" s="1"/>
  <c r="X10" i="68"/>
  <c r="X10" i="67"/>
  <c r="R35" i="63" l="1"/>
  <c r="S9" i="63"/>
  <c r="S12" i="63" s="1"/>
  <c r="R17" i="63"/>
  <c r="Y18" i="66"/>
  <c r="Y20" i="66" s="1"/>
  <c r="Y68" i="66"/>
  <c r="Y73" i="66" s="1"/>
  <c r="R38" i="63" l="1"/>
  <c r="R41" i="63" s="1"/>
  <c r="R12" i="48" s="1"/>
  <c r="R13" i="48" s="1"/>
  <c r="R28" i="48" s="1"/>
  <c r="R37" i="63"/>
  <c r="R40" i="63" s="1"/>
  <c r="R12" i="4" s="1"/>
  <c r="R13" i="4" s="1"/>
  <c r="R28" i="4" s="1"/>
  <c r="S25" i="63"/>
  <c r="S34" i="63"/>
  <c r="Y74" i="66"/>
  <c r="Z72" i="66" s="1"/>
  <c r="Z69" i="66" s="1"/>
  <c r="Y10" i="68"/>
  <c r="Y10" i="67"/>
  <c r="S14" i="63" l="1"/>
  <c r="S15" i="63" s="1"/>
  <c r="S11" i="48"/>
  <c r="S11" i="4"/>
  <c r="Z68" i="66"/>
  <c r="Z73" i="66" s="1"/>
  <c r="Z18" i="66"/>
  <c r="Z20" i="66" s="1"/>
  <c r="T9" i="63" l="1"/>
  <c r="T12" i="63" s="1"/>
  <c r="S35" i="63"/>
  <c r="S17" i="63"/>
  <c r="Z10" i="67"/>
  <c r="Z10" i="68"/>
  <c r="Z74" i="66"/>
  <c r="AA72" i="66" s="1"/>
  <c r="AA69" i="66" s="1"/>
  <c r="S37" i="63" l="1"/>
  <c r="S40" i="63" s="1"/>
  <c r="S12" i="4" s="1"/>
  <c r="S13" i="4" s="1"/>
  <c r="S28" i="4" s="1"/>
  <c r="S38" i="63"/>
  <c r="S41" i="63" s="1"/>
  <c r="S12" i="48" s="1"/>
  <c r="S13" i="48" s="1"/>
  <c r="S28" i="48" s="1"/>
  <c r="T25" i="63"/>
  <c r="T34" i="63"/>
  <c r="AA18" i="66"/>
  <c r="AA20" i="66" s="1"/>
  <c r="AA68" i="66"/>
  <c r="AA73" i="66" s="1"/>
  <c r="T11" i="48" l="1"/>
  <c r="T11" i="4"/>
  <c r="T14" i="63"/>
  <c r="T15" i="63" s="1"/>
  <c r="AA74" i="66"/>
  <c r="AB72" i="66" s="1"/>
  <c r="AB69" i="66" s="1"/>
  <c r="AA10" i="68"/>
  <c r="AA10" i="67"/>
  <c r="U9" i="63" l="1"/>
  <c r="U12" i="63" s="1"/>
  <c r="T35" i="63"/>
  <c r="T17" i="63"/>
  <c r="AB68" i="66"/>
  <c r="AB73" i="66" s="1"/>
  <c r="AB18" i="66"/>
  <c r="AB20" i="66" s="1"/>
  <c r="T37" i="63" l="1"/>
  <c r="T40" i="63" s="1"/>
  <c r="T12" i="4" s="1"/>
  <c r="T13" i="4" s="1"/>
  <c r="T28" i="4" s="1"/>
  <c r="T38" i="63"/>
  <c r="T41" i="63" s="1"/>
  <c r="T12" i="48" s="1"/>
  <c r="T13" i="48" s="1"/>
  <c r="T28" i="48" s="1"/>
  <c r="U25" i="63"/>
  <c r="U34" i="63"/>
  <c r="AB10" i="68"/>
  <c r="AB10" i="67"/>
  <c r="AB74" i="66"/>
  <c r="AC72" i="66" s="1"/>
  <c r="AC69" i="66" s="1"/>
  <c r="U11" i="4" l="1"/>
  <c r="U11" i="48"/>
  <c r="U14" i="63"/>
  <c r="U15" i="63" s="1"/>
  <c r="AC18" i="66"/>
  <c r="AC20" i="66" s="1"/>
  <c r="AC68" i="66"/>
  <c r="AC73" i="66" s="1"/>
  <c r="V9" i="63" l="1"/>
  <c r="V12" i="63" s="1"/>
  <c r="U35" i="63"/>
  <c r="U17" i="63"/>
  <c r="AC74" i="66"/>
  <c r="AD72" i="66" s="1"/>
  <c r="AD69" i="66" s="1"/>
  <c r="AC10" i="67"/>
  <c r="AC10" i="68"/>
  <c r="V25" i="63" l="1"/>
  <c r="V34" i="63"/>
  <c r="U37" i="63"/>
  <c r="U40" i="63" s="1"/>
  <c r="U12" i="4" s="1"/>
  <c r="U13" i="4" s="1"/>
  <c r="U28" i="4" s="1"/>
  <c r="U38" i="63"/>
  <c r="U41" i="63" s="1"/>
  <c r="U12" i="48" s="1"/>
  <c r="U13" i="48" s="1"/>
  <c r="U28" i="48" s="1"/>
  <c r="AD18" i="66"/>
  <c r="AD20" i="66" s="1"/>
  <c r="AD68" i="66"/>
  <c r="AD73" i="66" s="1"/>
  <c r="V11" i="48" l="1"/>
  <c r="V11" i="4"/>
  <c r="V14" i="63"/>
  <c r="V15" i="63" s="1"/>
  <c r="AD74" i="66"/>
  <c r="AE72" i="66" s="1"/>
  <c r="AE69" i="66" s="1"/>
  <c r="AD10" i="67"/>
  <c r="AD10" i="68"/>
  <c r="V35" i="63" l="1"/>
  <c r="W9" i="63"/>
  <c r="W12" i="63" s="1"/>
  <c r="V17" i="63"/>
  <c r="AE68" i="66"/>
  <c r="AE73" i="66" s="1"/>
  <c r="AE18" i="66"/>
  <c r="AE20" i="66" s="1"/>
  <c r="W25" i="63" l="1"/>
  <c r="W34" i="63"/>
  <c r="V37" i="63"/>
  <c r="V40" i="63" s="1"/>
  <c r="V12" i="4" s="1"/>
  <c r="V13" i="4" s="1"/>
  <c r="V28" i="4" s="1"/>
  <c r="V38" i="63"/>
  <c r="V41" i="63" s="1"/>
  <c r="V12" i="48" s="1"/>
  <c r="V13" i="48" s="1"/>
  <c r="V28" i="48" s="1"/>
  <c r="AE10" i="67"/>
  <c r="AE10" i="68"/>
  <c r="AE74" i="66"/>
  <c r="AF72" i="66" s="1"/>
  <c r="AF69" i="66" s="1"/>
  <c r="W11" i="48" l="1"/>
  <c r="W14" i="63"/>
  <c r="W15" i="63" s="1"/>
  <c r="W11" i="4"/>
  <c r="AF18" i="66"/>
  <c r="AF20" i="66" s="1"/>
  <c r="AF68" i="66"/>
  <c r="AF73" i="66" s="1"/>
  <c r="X9" i="63" l="1"/>
  <c r="X12" i="63" s="1"/>
  <c r="W35" i="63"/>
  <c r="W17" i="63"/>
  <c r="AF74" i="66"/>
  <c r="AG72" i="66" s="1"/>
  <c r="AG69" i="66" s="1"/>
  <c r="AF10" i="68"/>
  <c r="AF10" i="67"/>
  <c r="W38" i="63" l="1"/>
  <c r="W41" i="63" s="1"/>
  <c r="W12" i="48" s="1"/>
  <c r="W13" i="48" s="1"/>
  <c r="W28" i="48" s="1"/>
  <c r="W37" i="63"/>
  <c r="W40" i="63" s="1"/>
  <c r="W12" i="4" s="1"/>
  <c r="W13" i="4" s="1"/>
  <c r="W28" i="4" s="1"/>
  <c r="X25" i="63"/>
  <c r="X34" i="63"/>
  <c r="AG18" i="66"/>
  <c r="AG20" i="66" s="1"/>
  <c r="AG68" i="66"/>
  <c r="AG73" i="66" s="1"/>
  <c r="X11" i="48" l="1"/>
  <c r="X11" i="4"/>
  <c r="X14" i="63"/>
  <c r="X15" i="63" s="1"/>
  <c r="AG74" i="66"/>
  <c r="AH72" i="66" s="1"/>
  <c r="AH69" i="66" s="1"/>
  <c r="AG10" i="68"/>
  <c r="AG10" i="67"/>
  <c r="Y9" i="63" l="1"/>
  <c r="Y12" i="63" s="1"/>
  <c r="X35" i="63"/>
  <c r="X17" i="63"/>
  <c r="AH68" i="66"/>
  <c r="AH73" i="66" s="1"/>
  <c r="AH18" i="66"/>
  <c r="AH20" i="66" s="1"/>
  <c r="X37" i="63" l="1"/>
  <c r="X40" i="63" s="1"/>
  <c r="X12" i="4" s="1"/>
  <c r="X13" i="4" s="1"/>
  <c r="X28" i="4" s="1"/>
  <c r="X38" i="63"/>
  <c r="X41" i="63" s="1"/>
  <c r="X12" i="48" s="1"/>
  <c r="X13" i="48" s="1"/>
  <c r="X28" i="48" s="1"/>
  <c r="Y25" i="63"/>
  <c r="Y34" i="63"/>
  <c r="AH10" i="68"/>
  <c r="AH10" i="67"/>
  <c r="AH74" i="66"/>
  <c r="AI72" i="66" s="1"/>
  <c r="AI73" i="66" s="1"/>
  <c r="Y11" i="4" l="1"/>
  <c r="Y11" i="48"/>
  <c r="Y14" i="63"/>
  <c r="Y15" i="63" s="1"/>
  <c r="AI69" i="66"/>
  <c r="AI18" i="66" s="1"/>
  <c r="AI20" i="66" s="1"/>
  <c r="Z9" i="63" l="1"/>
  <c r="Z12" i="63" s="1"/>
  <c r="Y35" i="63"/>
  <c r="Y17" i="63"/>
  <c r="AI68" i="66"/>
  <c r="AI74" i="66"/>
  <c r="AI10" i="67"/>
  <c r="AI10" i="68"/>
  <c r="Y38" i="63" l="1"/>
  <c r="Y41" i="63" s="1"/>
  <c r="Y12" i="48" s="1"/>
  <c r="Y13" i="48" s="1"/>
  <c r="Y28" i="48" s="1"/>
  <c r="Y37" i="63"/>
  <c r="Y40" i="63" s="1"/>
  <c r="Y12" i="4" s="1"/>
  <c r="Y13" i="4" s="1"/>
  <c r="Y28" i="4" s="1"/>
  <c r="Z25" i="63"/>
  <c r="Z34" i="63"/>
  <c r="Z11" i="48" l="1"/>
  <c r="Z11" i="4"/>
  <c r="Z14" i="63"/>
  <c r="Z15" i="63" s="1"/>
  <c r="AA9" i="63" l="1"/>
  <c r="AA12" i="63" s="1"/>
  <c r="Z35" i="63"/>
  <c r="Z17" i="63"/>
  <c r="Z37" i="63" l="1"/>
  <c r="Z40" i="63" s="1"/>
  <c r="Z12" i="4" s="1"/>
  <c r="Z13" i="4" s="1"/>
  <c r="Z28" i="4" s="1"/>
  <c r="Z38" i="63"/>
  <c r="Z41" i="63" s="1"/>
  <c r="Z12" i="48" s="1"/>
  <c r="Z13" i="48" s="1"/>
  <c r="Z28" i="48" s="1"/>
  <c r="AA25" i="63"/>
  <c r="AA34" i="63"/>
  <c r="AA11" i="4" l="1"/>
  <c r="AA14" i="63"/>
  <c r="AA15" i="63" s="1"/>
  <c r="AA11" i="48"/>
  <c r="AA17" i="63" l="1"/>
  <c r="AA35" i="63"/>
  <c r="AB9" i="63"/>
  <c r="AB12" i="63" s="1"/>
  <c r="AB25" i="63" l="1"/>
  <c r="AB34" i="63"/>
  <c r="AA37" i="63"/>
  <c r="AA40" i="63" s="1"/>
  <c r="AA12" i="4" s="1"/>
  <c r="AA13" i="4" s="1"/>
  <c r="AA28" i="4" s="1"/>
  <c r="AA38" i="63"/>
  <c r="AA41" i="63" s="1"/>
  <c r="AA12" i="48" s="1"/>
  <c r="AA13" i="48" s="1"/>
  <c r="AA28" i="48" s="1"/>
  <c r="AB14" i="63" l="1"/>
  <c r="AB15" i="63" s="1"/>
  <c r="AB11" i="48"/>
  <c r="AB11" i="4"/>
  <c r="AC9" i="63" l="1"/>
  <c r="AC12" i="63" s="1"/>
  <c r="AB35" i="63"/>
  <c r="AB17" i="63"/>
  <c r="AC25" i="63" l="1"/>
  <c r="AC34" i="63"/>
  <c r="AB37" i="63"/>
  <c r="AB40" i="63" s="1"/>
  <c r="AB12" i="4" s="1"/>
  <c r="AB13" i="4" s="1"/>
  <c r="AB28" i="4" s="1"/>
  <c r="AB38" i="63"/>
  <c r="AB41" i="63" s="1"/>
  <c r="AB12" i="48" s="1"/>
  <c r="AB13" i="48" s="1"/>
  <c r="AB28" i="48" s="1"/>
  <c r="AC14" i="63" l="1"/>
  <c r="AC15" i="63" s="1"/>
  <c r="AC11" i="48"/>
  <c r="AC11" i="4"/>
  <c r="AC35" i="63" l="1"/>
  <c r="AD9" i="63"/>
  <c r="AD12" i="63" s="1"/>
  <c r="AC17" i="63"/>
  <c r="AD25" i="63" l="1"/>
  <c r="AD34" i="63"/>
  <c r="AC37" i="63"/>
  <c r="AC40" i="63" s="1"/>
  <c r="AC12" i="4" s="1"/>
  <c r="AC13" i="4" s="1"/>
  <c r="AC28" i="4" s="1"/>
  <c r="AC38" i="63"/>
  <c r="AC41" i="63" s="1"/>
  <c r="AC12" i="48" s="1"/>
  <c r="AC13" i="48" s="1"/>
  <c r="AC28" i="48" s="1"/>
  <c r="AD14" i="63" l="1"/>
  <c r="AD15" i="63" s="1"/>
  <c r="AD11" i="48"/>
  <c r="AD11" i="4"/>
  <c r="AD35" i="63" l="1"/>
  <c r="AE9" i="63"/>
  <c r="AE12" i="63" s="1"/>
  <c r="AD17" i="63"/>
  <c r="AE25" i="63" l="1"/>
  <c r="AE34" i="63"/>
  <c r="AD37" i="63"/>
  <c r="AD40" i="63" s="1"/>
  <c r="AD12" i="4" s="1"/>
  <c r="AD13" i="4" s="1"/>
  <c r="AD28" i="4" s="1"/>
  <c r="AD38" i="63"/>
  <c r="AD41" i="63" s="1"/>
  <c r="AD12" i="48" s="1"/>
  <c r="AD13" i="48" s="1"/>
  <c r="AD28" i="48" s="1"/>
  <c r="AE14" i="63" l="1"/>
  <c r="AE15" i="63" s="1"/>
  <c r="AE11" i="48"/>
  <c r="AE11" i="4"/>
  <c r="AF9" i="63" l="1"/>
  <c r="AF12" i="63" s="1"/>
  <c r="AE35" i="63"/>
  <c r="AE17" i="63"/>
  <c r="AE37" i="63" l="1"/>
  <c r="AE40" i="63" s="1"/>
  <c r="AE12" i="4" s="1"/>
  <c r="AE13" i="4" s="1"/>
  <c r="AE28" i="4" s="1"/>
  <c r="AE38" i="63"/>
  <c r="AE41" i="63" s="1"/>
  <c r="AE12" i="48" s="1"/>
  <c r="AE13" i="48" s="1"/>
  <c r="AE28" i="48" s="1"/>
  <c r="AF25" i="63"/>
  <c r="AF34" i="63"/>
  <c r="AF14" i="63" l="1"/>
  <c r="AF15" i="63" s="1"/>
  <c r="AF11" i="48"/>
  <c r="AF11" i="4"/>
  <c r="AG9" i="63" l="1"/>
  <c r="AG12" i="63" s="1"/>
  <c r="AF35" i="63"/>
  <c r="AF17" i="63"/>
  <c r="AF37" i="63" l="1"/>
  <c r="AF40" i="63" s="1"/>
  <c r="AF12" i="4" s="1"/>
  <c r="AF13" i="4" s="1"/>
  <c r="AF28" i="4" s="1"/>
  <c r="AF38" i="63"/>
  <c r="AF41" i="63" s="1"/>
  <c r="AF12" i="48" s="1"/>
  <c r="AF13" i="48" s="1"/>
  <c r="AF28" i="48" s="1"/>
  <c r="AG25" i="63"/>
  <c r="AG34" i="63"/>
  <c r="AG14" i="63" l="1"/>
  <c r="AG15" i="63" s="1"/>
  <c r="AG11" i="4"/>
  <c r="AG11" i="48"/>
  <c r="AG35" i="63" l="1"/>
  <c r="AH9" i="63"/>
  <c r="AH12" i="63" s="1"/>
  <c r="AG17" i="63"/>
  <c r="AH25" i="63" l="1"/>
  <c r="AH34" i="63"/>
  <c r="AG37" i="63"/>
  <c r="AG40" i="63" s="1"/>
  <c r="AG12" i="4" s="1"/>
  <c r="AG13" i="4" s="1"/>
  <c r="AG28" i="4" s="1"/>
  <c r="AG38" i="63"/>
  <c r="AG41" i="63" s="1"/>
  <c r="AG12" i="48" s="1"/>
  <c r="AG13" i="48" s="1"/>
  <c r="AG28" i="48" s="1"/>
  <c r="AH14" i="63" l="1"/>
  <c r="AH15" i="63" s="1"/>
  <c r="AH11" i="4"/>
  <c r="AH11" i="48"/>
  <c r="AI9" i="63" l="1"/>
  <c r="AI12" i="63" s="1"/>
  <c r="AH35" i="63"/>
  <c r="AH17" i="63"/>
  <c r="AH38" i="63" l="1"/>
  <c r="AH41" i="63" s="1"/>
  <c r="AH12" i="48" s="1"/>
  <c r="AH13" i="48" s="1"/>
  <c r="AH28" i="48" s="1"/>
  <c r="AH37" i="63"/>
  <c r="AH40" i="63" s="1"/>
  <c r="AH12" i="4" s="1"/>
  <c r="AH13" i="4" s="1"/>
  <c r="AH28" i="4" s="1"/>
  <c r="AI25" i="63"/>
  <c r="AI34" i="63"/>
  <c r="I27" i="63" l="1"/>
  <c r="G40" i="22" s="1"/>
  <c r="AI14" i="63"/>
  <c r="AI15" i="63" s="1"/>
  <c r="AI11" i="48"/>
  <c r="AI11" i="4"/>
  <c r="AI35" i="63" l="1"/>
  <c r="AI17" i="63"/>
  <c r="AI37" i="63" l="1"/>
  <c r="AI40" i="63" s="1"/>
  <c r="AI12" i="4" s="1"/>
  <c r="AI13" i="4" s="1"/>
  <c r="AI28" i="4" s="1"/>
  <c r="I29" i="4" s="1"/>
  <c r="I33" i="4" s="1"/>
  <c r="AI38" i="63"/>
  <c r="AI41" i="63" s="1"/>
  <c r="AI12" i="48" s="1"/>
  <c r="AI13" i="48" s="1"/>
  <c r="AI28" i="48" s="1"/>
  <c r="I29" i="48" s="1"/>
  <c r="I33" i="48" s="1"/>
  <c r="I9" i="21" l="1"/>
  <c r="N34" i="48"/>
  <c r="N9" i="68" s="1"/>
  <c r="N11" i="68" s="1"/>
  <c r="N16" i="68" s="1"/>
  <c r="AG34" i="48"/>
  <c r="AG9" i="68" s="1"/>
  <c r="AG11" i="68" s="1"/>
  <c r="AG16" i="68" s="1"/>
  <c r="U34" i="48"/>
  <c r="U9" i="68" s="1"/>
  <c r="U11" i="68" s="1"/>
  <c r="U16" i="68" s="1"/>
  <c r="W34" i="48"/>
  <c r="W9" i="68" s="1"/>
  <c r="W11" i="68" s="1"/>
  <c r="W16" i="68" s="1"/>
  <c r="X34" i="48"/>
  <c r="X9" i="68" s="1"/>
  <c r="X11" i="68" s="1"/>
  <c r="X16" i="68" s="1"/>
  <c r="AE34" i="48"/>
  <c r="AE9" i="68" s="1"/>
  <c r="AE11" i="68" s="1"/>
  <c r="AE16" i="68" s="1"/>
  <c r="M34" i="48"/>
  <c r="M9" i="68" s="1"/>
  <c r="M11" i="68" s="1"/>
  <c r="M16" i="68" s="1"/>
  <c r="AA34" i="48"/>
  <c r="AA9" i="68" s="1"/>
  <c r="AA11" i="68" s="1"/>
  <c r="AA16" i="68" s="1"/>
  <c r="O34" i="48"/>
  <c r="O9" i="68" s="1"/>
  <c r="O11" i="68" s="1"/>
  <c r="O16" i="68" s="1"/>
  <c r="AF34" i="48"/>
  <c r="AF9" i="68" s="1"/>
  <c r="AF11" i="68" s="1"/>
  <c r="AF16" i="68" s="1"/>
  <c r="L34" i="48"/>
  <c r="L9" i="68" s="1"/>
  <c r="L11" i="68" s="1"/>
  <c r="R34" i="48"/>
  <c r="R9" i="68" s="1"/>
  <c r="R11" i="68" s="1"/>
  <c r="R16" i="68" s="1"/>
  <c r="AB34" i="48"/>
  <c r="AB9" i="68" s="1"/>
  <c r="AB11" i="68" s="1"/>
  <c r="AB16" i="68" s="1"/>
  <c r="K34" i="48"/>
  <c r="K9" i="68" s="1"/>
  <c r="K11" i="68" s="1"/>
  <c r="T34" i="48"/>
  <c r="T9" i="68" s="1"/>
  <c r="T11" i="68" s="1"/>
  <c r="T16" i="68" s="1"/>
  <c r="AH34" i="48"/>
  <c r="AH9" i="68" s="1"/>
  <c r="AH11" i="68" s="1"/>
  <c r="AH16" i="68" s="1"/>
  <c r="AI34" i="48"/>
  <c r="AI9" i="68" s="1"/>
  <c r="AI11" i="68" s="1"/>
  <c r="AI16" i="68" s="1"/>
  <c r="Q34" i="48"/>
  <c r="Q9" i="68" s="1"/>
  <c r="Q11" i="68" s="1"/>
  <c r="Q16" i="68" s="1"/>
  <c r="AC34" i="48"/>
  <c r="AC9" i="68" s="1"/>
  <c r="AC11" i="68" s="1"/>
  <c r="AC16" i="68" s="1"/>
  <c r="AD34" i="48"/>
  <c r="AD9" i="68" s="1"/>
  <c r="AD11" i="68" s="1"/>
  <c r="AD16" i="68" s="1"/>
  <c r="Z34" i="48"/>
  <c r="Z9" i="68" s="1"/>
  <c r="Z11" i="68" s="1"/>
  <c r="Z16" i="68" s="1"/>
  <c r="S34" i="48"/>
  <c r="S9" i="68" s="1"/>
  <c r="S11" i="68" s="1"/>
  <c r="S16" i="68" s="1"/>
  <c r="V34" i="48"/>
  <c r="V9" i="68" s="1"/>
  <c r="V11" i="68" s="1"/>
  <c r="V16" i="68" s="1"/>
  <c r="Y34" i="48"/>
  <c r="Y9" i="68" s="1"/>
  <c r="Y11" i="68" s="1"/>
  <c r="Y16" i="68" s="1"/>
  <c r="P34" i="48"/>
  <c r="P9" i="68" s="1"/>
  <c r="P11" i="68" s="1"/>
  <c r="P16" i="68" s="1"/>
  <c r="I8" i="21"/>
  <c r="AH34" i="4"/>
  <c r="AH9" i="67" s="1"/>
  <c r="AH11" i="67" s="1"/>
  <c r="AH16" i="67" s="1"/>
  <c r="AB34" i="4"/>
  <c r="AB9" i="67" s="1"/>
  <c r="AB11" i="67" s="1"/>
  <c r="AB16" i="67" s="1"/>
  <c r="AD34" i="4"/>
  <c r="AD9" i="67" s="1"/>
  <c r="AD11" i="67" s="1"/>
  <c r="AD16" i="67" s="1"/>
  <c r="K34" i="4"/>
  <c r="K9" i="67" s="1"/>
  <c r="K11" i="67" s="1"/>
  <c r="V34" i="4"/>
  <c r="V9" i="67" s="1"/>
  <c r="V11" i="67" s="1"/>
  <c r="V16" i="67" s="1"/>
  <c r="AG34" i="4"/>
  <c r="AG9" i="67" s="1"/>
  <c r="AG11" i="67" s="1"/>
  <c r="AG16" i="67" s="1"/>
  <c r="Q34" i="4"/>
  <c r="Q9" i="67" s="1"/>
  <c r="Q11" i="67" s="1"/>
  <c r="Q16" i="67" s="1"/>
  <c r="P34" i="4"/>
  <c r="P9" i="67" s="1"/>
  <c r="P11" i="67" s="1"/>
  <c r="P16" i="67" s="1"/>
  <c r="M34" i="4"/>
  <c r="M9" i="67" s="1"/>
  <c r="M11" i="67" s="1"/>
  <c r="M16" i="67" s="1"/>
  <c r="L34" i="4"/>
  <c r="L9" i="67" s="1"/>
  <c r="L11" i="67" s="1"/>
  <c r="L16" i="67" s="1"/>
  <c r="O34" i="4"/>
  <c r="O9" i="67" s="1"/>
  <c r="O11" i="67" s="1"/>
  <c r="O16" i="67" s="1"/>
  <c r="Y34" i="4"/>
  <c r="Y9" i="67" s="1"/>
  <c r="Y11" i="67" s="1"/>
  <c r="Y16" i="67" s="1"/>
  <c r="AI34" i="4"/>
  <c r="AI9" i="67" s="1"/>
  <c r="AI11" i="67" s="1"/>
  <c r="AI16" i="67" s="1"/>
  <c r="T34" i="4"/>
  <c r="T9" i="67" s="1"/>
  <c r="T11" i="67" s="1"/>
  <c r="T16" i="67" s="1"/>
  <c r="N34" i="4"/>
  <c r="N9" i="67" s="1"/>
  <c r="N11" i="67" s="1"/>
  <c r="N16" i="67" s="1"/>
  <c r="S34" i="4"/>
  <c r="S9" i="67" s="1"/>
  <c r="S11" i="67" s="1"/>
  <c r="S16" i="67" s="1"/>
  <c r="Z34" i="4"/>
  <c r="Z9" i="67" s="1"/>
  <c r="Z11" i="67" s="1"/>
  <c r="Z16" i="67" s="1"/>
  <c r="AA34" i="4"/>
  <c r="AA9" i="67" s="1"/>
  <c r="AA11" i="67" s="1"/>
  <c r="AA16" i="67" s="1"/>
  <c r="R34" i="4"/>
  <c r="R9" i="67" s="1"/>
  <c r="R11" i="67" s="1"/>
  <c r="R16" i="67" s="1"/>
  <c r="AC34" i="4"/>
  <c r="AC9" i="67" s="1"/>
  <c r="AC11" i="67" s="1"/>
  <c r="AC16" i="67" s="1"/>
  <c r="W34" i="4"/>
  <c r="W9" i="67" s="1"/>
  <c r="W11" i="67" s="1"/>
  <c r="W16" i="67" s="1"/>
  <c r="X34" i="4"/>
  <c r="X9" i="67" s="1"/>
  <c r="X11" i="67" s="1"/>
  <c r="X16" i="67" s="1"/>
  <c r="U34" i="4"/>
  <c r="U9" i="67" s="1"/>
  <c r="U11" i="67" s="1"/>
  <c r="U16" i="67" s="1"/>
  <c r="AE34" i="4"/>
  <c r="AE9" i="67" s="1"/>
  <c r="AE11" i="67" s="1"/>
  <c r="AE16" i="67" s="1"/>
  <c r="AF34" i="4"/>
  <c r="AF9" i="67" s="1"/>
  <c r="AF11" i="67" s="1"/>
  <c r="AF16" i="67" s="1"/>
  <c r="K16" i="67" l="1"/>
  <c r="K17" i="67"/>
  <c r="K22" i="67" s="1"/>
  <c r="K24" i="67" s="1"/>
  <c r="K28" i="67" s="1"/>
  <c r="K32" i="67" s="1"/>
  <c r="K35" i="67" s="1"/>
  <c r="K17" i="68"/>
  <c r="K22" i="68" s="1"/>
  <c r="K24" i="68" s="1"/>
  <c r="K28" i="68" s="1"/>
  <c r="K32" i="68" s="1"/>
  <c r="K35" i="68" s="1"/>
  <c r="K16" i="68"/>
  <c r="L16" i="68"/>
  <c r="K18" i="68" l="1"/>
  <c r="L15" i="68" s="1"/>
  <c r="K18" i="67"/>
  <c r="L15" i="67" s="1"/>
  <c r="L17" i="68" l="1"/>
  <c r="L22" i="68" s="1"/>
  <c r="L24" i="68" s="1"/>
  <c r="L28" i="68" s="1"/>
  <c r="L32" i="68" s="1"/>
  <c r="L35" i="68" s="1"/>
  <c r="L17" i="67"/>
  <c r="L22" i="67" s="1"/>
  <c r="L24" i="67" s="1"/>
  <c r="L28" i="67" s="1"/>
  <c r="L32" i="67" s="1"/>
  <c r="L35" i="67" s="1"/>
  <c r="L18" i="68" l="1"/>
  <c r="M15" i="68" s="1"/>
  <c r="M17" i="68" s="1"/>
  <c r="M22" i="68" s="1"/>
  <c r="M24" i="68" s="1"/>
  <c r="M28" i="68" s="1"/>
  <c r="M32" i="68" s="1"/>
  <c r="M35" i="68" s="1"/>
  <c r="L18" i="67"/>
  <c r="M15" i="67" s="1"/>
  <c r="M17" i="67" s="1"/>
  <c r="M22" i="67" s="1"/>
  <c r="M24" i="67" s="1"/>
  <c r="M28" i="67" s="1"/>
  <c r="M32" i="67" s="1"/>
  <c r="M35" i="67" s="1"/>
  <c r="M18" i="68" l="1"/>
  <c r="N15" i="68" s="1"/>
  <c r="N17" i="68"/>
  <c r="N22" i="68" s="1"/>
  <c r="N24" i="68" s="1"/>
  <c r="N28" i="68" s="1"/>
  <c r="N32" i="68" s="1"/>
  <c r="N35" i="68" s="1"/>
  <c r="M18" i="67"/>
  <c r="N15" i="67" s="1"/>
  <c r="N17" i="67" s="1"/>
  <c r="N22" i="67" s="1"/>
  <c r="N24" i="67" s="1"/>
  <c r="N28" i="67" s="1"/>
  <c r="N32" i="67" s="1"/>
  <c r="N35" i="67" s="1"/>
  <c r="N18" i="68" l="1"/>
  <c r="O15" i="68" s="1"/>
  <c r="O17" i="68" s="1"/>
  <c r="O22" i="68" s="1"/>
  <c r="O24" i="68" s="1"/>
  <c r="O28" i="68" s="1"/>
  <c r="O32" i="68" s="1"/>
  <c r="O35" i="68" s="1"/>
  <c r="N18" i="67"/>
  <c r="O15" i="67" s="1"/>
  <c r="O17" i="67" s="1"/>
  <c r="O22" i="67" s="1"/>
  <c r="O24" i="67" s="1"/>
  <c r="O28" i="67" s="1"/>
  <c r="O32" i="67" s="1"/>
  <c r="O35" i="67" s="1"/>
  <c r="O18" i="68" l="1"/>
  <c r="P15" i="68" s="1"/>
  <c r="P17" i="68" s="1"/>
  <c r="P22" i="68" s="1"/>
  <c r="P24" i="68" s="1"/>
  <c r="P28" i="68" s="1"/>
  <c r="P32" i="68" s="1"/>
  <c r="P35" i="68" s="1"/>
  <c r="O18" i="67"/>
  <c r="P15" i="67" s="1"/>
  <c r="P17" i="67" s="1"/>
  <c r="P22" i="67" s="1"/>
  <c r="P24" i="67" s="1"/>
  <c r="P28" i="67" s="1"/>
  <c r="P32" i="67" s="1"/>
  <c r="P35" i="67" s="1"/>
  <c r="P18" i="68" l="1"/>
  <c r="Q15" i="68" s="1"/>
  <c r="Q17" i="68" s="1"/>
  <c r="Q22" i="68" s="1"/>
  <c r="Q24" i="68" s="1"/>
  <c r="Q28" i="68" s="1"/>
  <c r="Q32" i="68" s="1"/>
  <c r="Q35" i="68" s="1"/>
  <c r="P18" i="67"/>
  <c r="Q15" i="67" s="1"/>
  <c r="Q17" i="67" s="1"/>
  <c r="Q22" i="67" s="1"/>
  <c r="Q24" i="67" s="1"/>
  <c r="Q28" i="67" s="1"/>
  <c r="Q32" i="67" s="1"/>
  <c r="Q35" i="67" s="1"/>
  <c r="Q18" i="68" l="1"/>
  <c r="R15" i="68" s="1"/>
  <c r="R17" i="68" s="1"/>
  <c r="R22" i="68" s="1"/>
  <c r="R24" i="68" s="1"/>
  <c r="R28" i="68" s="1"/>
  <c r="R32" i="68" s="1"/>
  <c r="R35" i="68" s="1"/>
  <c r="Q18" i="67"/>
  <c r="R15" i="67" s="1"/>
  <c r="R17" i="67" s="1"/>
  <c r="R22" i="67" s="1"/>
  <c r="R24" i="67" s="1"/>
  <c r="R28" i="67" s="1"/>
  <c r="R32" i="67" s="1"/>
  <c r="R35" i="67" s="1"/>
  <c r="R18" i="68" l="1"/>
  <c r="S15" i="68" s="1"/>
  <c r="S17" i="68" s="1"/>
  <c r="S22" i="68" s="1"/>
  <c r="R18" i="67"/>
  <c r="S15" i="67" s="1"/>
  <c r="S17" i="67" s="1"/>
  <c r="S22" i="67" l="1"/>
  <c r="S24" i="67" s="1"/>
  <c r="S28" i="67" s="1"/>
  <c r="S32" i="67" s="1"/>
  <c r="S35" i="67" s="1"/>
  <c r="S18" i="67"/>
  <c r="T15" i="67" s="1"/>
  <c r="T17" i="67" s="1"/>
  <c r="T22" i="67" s="1"/>
  <c r="T24" i="67" s="1"/>
  <c r="T28" i="67" s="1"/>
  <c r="T32" i="67" s="1"/>
  <c r="T35" i="67" s="1"/>
  <c r="S24" i="68"/>
  <c r="S28" i="68" s="1"/>
  <c r="S32" i="68" s="1"/>
  <c r="S35" i="68" s="1"/>
  <c r="S18" i="68"/>
  <c r="T15" i="68" s="1"/>
  <c r="T18" i="67" l="1"/>
  <c r="U15" i="67" s="1"/>
  <c r="U17" i="67" s="1"/>
  <c r="U22" i="67" s="1"/>
  <c r="U24" i="67" s="1"/>
  <c r="U28" i="67" s="1"/>
  <c r="U32" i="67" s="1"/>
  <c r="U35" i="67" s="1"/>
  <c r="T17" i="68"/>
  <c r="T22" i="68" s="1"/>
  <c r="U18" i="67" l="1"/>
  <c r="V15" i="67" s="1"/>
  <c r="V17" i="67" s="1"/>
  <c r="V22" i="67" s="1"/>
  <c r="V24" i="67" s="1"/>
  <c r="V28" i="67" s="1"/>
  <c r="V32" i="67" s="1"/>
  <c r="V35" i="67" s="1"/>
  <c r="T24" i="68"/>
  <c r="T28" i="68" s="1"/>
  <c r="T32" i="68" s="1"/>
  <c r="T35" i="68" s="1"/>
  <c r="T18" i="68"/>
  <c r="U15" i="68" s="1"/>
  <c r="V18" i="67" l="1"/>
  <c r="W15" i="67" s="1"/>
  <c r="W17" i="67" s="1"/>
  <c r="W22" i="67" s="1"/>
  <c r="W24" i="67" s="1"/>
  <c r="W28" i="67" s="1"/>
  <c r="W32" i="67" s="1"/>
  <c r="W35" i="67" s="1"/>
  <c r="U17" i="68"/>
  <c r="U22" i="68" s="1"/>
  <c r="W18" i="67" l="1"/>
  <c r="X15" i="67" s="1"/>
  <c r="X17" i="67" s="1"/>
  <c r="X22" i="67" s="1"/>
  <c r="X24" i="67" s="1"/>
  <c r="X28" i="67" s="1"/>
  <c r="X32" i="67" s="1"/>
  <c r="X35" i="67" s="1"/>
  <c r="U24" i="68"/>
  <c r="U28" i="68" s="1"/>
  <c r="U32" i="68" s="1"/>
  <c r="U35" i="68" s="1"/>
  <c r="U18" i="68"/>
  <c r="V15" i="68" s="1"/>
  <c r="V17" i="68" s="1"/>
  <c r="V22" i="68" s="1"/>
  <c r="X18" i="67" l="1"/>
  <c r="Y15" i="67" s="1"/>
  <c r="Y17" i="67" s="1"/>
  <c r="Y22" i="67" s="1"/>
  <c r="Y24" i="67" s="1"/>
  <c r="Y28" i="67" s="1"/>
  <c r="Y32" i="67" s="1"/>
  <c r="Y35" i="67" s="1"/>
  <c r="V24" i="68"/>
  <c r="V28" i="68" s="1"/>
  <c r="V32" i="68" s="1"/>
  <c r="V35" i="68" s="1"/>
  <c r="V18" i="68"/>
  <c r="W15" i="68" s="1"/>
  <c r="W17" i="68" s="1"/>
  <c r="W22" i="68" s="1"/>
  <c r="Y18" i="67" l="1"/>
  <c r="Z15" i="67" s="1"/>
  <c r="Z17" i="67" s="1"/>
  <c r="Z22" i="67" s="1"/>
  <c r="Z24" i="67" s="1"/>
  <c r="Z28" i="67" s="1"/>
  <c r="Z32" i="67" s="1"/>
  <c r="Z35" i="67" s="1"/>
  <c r="W24" i="68"/>
  <c r="W28" i="68" s="1"/>
  <c r="W32" i="68" s="1"/>
  <c r="W35" i="68" s="1"/>
  <c r="W18" i="68"/>
  <c r="X15" i="68" s="1"/>
  <c r="X17" i="68" s="1"/>
  <c r="X22" i="68" s="1"/>
  <c r="Z18" i="67" l="1"/>
  <c r="AA15" i="67" s="1"/>
  <c r="AA17" i="67" s="1"/>
  <c r="X24" i="68"/>
  <c r="X28" i="68" s="1"/>
  <c r="X32" i="68" s="1"/>
  <c r="X35" i="68" s="1"/>
  <c r="X18" i="68"/>
  <c r="Y15" i="68" s="1"/>
  <c r="Y17" i="68" s="1"/>
  <c r="Y22" i="68" s="1"/>
  <c r="AA22" i="67" l="1"/>
  <c r="AA24" i="67" s="1"/>
  <c r="AA28" i="67" s="1"/>
  <c r="AA32" i="67" s="1"/>
  <c r="AA35" i="67" s="1"/>
  <c r="AA18" i="67"/>
  <c r="AB15" i="67" s="1"/>
  <c r="AB17" i="67" s="1"/>
  <c r="AB22" i="67" s="1"/>
  <c r="AB24" i="67" s="1"/>
  <c r="AB28" i="67" s="1"/>
  <c r="AB32" i="67" s="1"/>
  <c r="AB35" i="67" s="1"/>
  <c r="Y24" i="68"/>
  <c r="Y28" i="68" s="1"/>
  <c r="Y32" i="68" s="1"/>
  <c r="Y35" i="68" s="1"/>
  <c r="Y18" i="68"/>
  <c r="Z15" i="68" s="1"/>
  <c r="Z17" i="68" s="1"/>
  <c r="Z22" i="68" s="1"/>
  <c r="AB18" i="67" l="1"/>
  <c r="AC15" i="67" s="1"/>
  <c r="AC17" i="67" s="1"/>
  <c r="AC22" i="67" s="1"/>
  <c r="AC24" i="67" s="1"/>
  <c r="AC28" i="67" s="1"/>
  <c r="AC32" i="67" s="1"/>
  <c r="AC35" i="67" s="1"/>
  <c r="Z24" i="68"/>
  <c r="Z28" i="68" s="1"/>
  <c r="Z32" i="68" s="1"/>
  <c r="Z35" i="68" s="1"/>
  <c r="Z18" i="68"/>
  <c r="AA15" i="68" s="1"/>
  <c r="AC18" i="67" l="1"/>
  <c r="AD15" i="67" s="1"/>
  <c r="AA17" i="68"/>
  <c r="AA22" i="68" s="1"/>
  <c r="AD17" i="67" l="1"/>
  <c r="AD22" i="67" s="1"/>
  <c r="AD24" i="67" s="1"/>
  <c r="AD28" i="67" s="1"/>
  <c r="AD32" i="67" s="1"/>
  <c r="AD35" i="67" s="1"/>
  <c r="AA24" i="68"/>
  <c r="AA28" i="68" s="1"/>
  <c r="AA32" i="68" s="1"/>
  <c r="AA35" i="68" s="1"/>
  <c r="AA18" i="68"/>
  <c r="AB15" i="68" s="1"/>
  <c r="AB17" i="68" s="1"/>
  <c r="AB22" i="68" s="1"/>
  <c r="AD18" i="67" l="1"/>
  <c r="AE15" i="67" s="1"/>
  <c r="AB24" i="68"/>
  <c r="AB28" i="68" s="1"/>
  <c r="AB32" i="68" s="1"/>
  <c r="AB35" i="68" s="1"/>
  <c r="AB18" i="68"/>
  <c r="AC15" i="68" s="1"/>
  <c r="AC17" i="68" s="1"/>
  <c r="AC22" i="68" s="1"/>
  <c r="AE17" i="67" l="1"/>
  <c r="AE22" i="67" s="1"/>
  <c r="AE24" i="67" s="1"/>
  <c r="AE28" i="67" s="1"/>
  <c r="AE32" i="67" s="1"/>
  <c r="AE35" i="67" s="1"/>
  <c r="AC24" i="68"/>
  <c r="AC28" i="68" s="1"/>
  <c r="AC32" i="68" s="1"/>
  <c r="AC35" i="68" s="1"/>
  <c r="AC18" i="68"/>
  <c r="AD15" i="68" s="1"/>
  <c r="AE18" i="67" l="1"/>
  <c r="AF15" i="67" s="1"/>
  <c r="AD17" i="68"/>
  <c r="AD22" i="68" s="1"/>
  <c r="AF17" i="67" l="1"/>
  <c r="AF22" i="67" s="1"/>
  <c r="AF24" i="67" s="1"/>
  <c r="AF28" i="67" s="1"/>
  <c r="AF32" i="67" s="1"/>
  <c r="AF35" i="67" s="1"/>
  <c r="AD24" i="68"/>
  <c r="AD28" i="68" s="1"/>
  <c r="AD32" i="68" s="1"/>
  <c r="AD35" i="68" s="1"/>
  <c r="AD18" i="68"/>
  <c r="AE15" i="68" s="1"/>
  <c r="AF18" i="67" l="1"/>
  <c r="AG15" i="67" s="1"/>
  <c r="AE17" i="68"/>
  <c r="AE22" i="68" s="1"/>
  <c r="AG17" i="67" l="1"/>
  <c r="AG22" i="67" s="1"/>
  <c r="AG24" i="67" s="1"/>
  <c r="AG28" i="67" s="1"/>
  <c r="AG32" i="67" s="1"/>
  <c r="AG35" i="67" s="1"/>
  <c r="AE24" i="68"/>
  <c r="AE28" i="68" s="1"/>
  <c r="AE32" i="68" s="1"/>
  <c r="AE35" i="68" s="1"/>
  <c r="AE18" i="68"/>
  <c r="AF15" i="68" s="1"/>
  <c r="AF17" i="68" s="1"/>
  <c r="AF22" i="68" s="1"/>
  <c r="AG18" i="67" l="1"/>
  <c r="AH15" i="67" s="1"/>
  <c r="AF24" i="68"/>
  <c r="AF28" i="68" s="1"/>
  <c r="AF32" i="68" s="1"/>
  <c r="AF35" i="68" s="1"/>
  <c r="AF18" i="68"/>
  <c r="AG15" i="68" s="1"/>
  <c r="AH17" i="67" l="1"/>
  <c r="AH22" i="67" s="1"/>
  <c r="AH24" i="67" s="1"/>
  <c r="AH28" i="67" s="1"/>
  <c r="AH32" i="67" s="1"/>
  <c r="AH35" i="67" s="1"/>
  <c r="AG17" i="68"/>
  <c r="AG22" i="68" s="1"/>
  <c r="AH18" i="67" l="1"/>
  <c r="AI15" i="67" s="1"/>
  <c r="AG24" i="68"/>
  <c r="AG28" i="68" s="1"/>
  <c r="AG32" i="68" s="1"/>
  <c r="AG35" i="68" s="1"/>
  <c r="AG18" i="68"/>
  <c r="AH15" i="68" s="1"/>
  <c r="AI17" i="67" l="1"/>
  <c r="AI22" i="67" s="1"/>
  <c r="AI24" i="67" s="1"/>
  <c r="AI28" i="67" s="1"/>
  <c r="AI32" i="67" s="1"/>
  <c r="AI35" i="67" s="1"/>
  <c r="I36" i="67" s="1"/>
  <c r="I40" i="67" s="1"/>
  <c r="I11" i="21" s="1"/>
  <c r="I17" i="21" s="1"/>
  <c r="I23" i="21" s="1"/>
  <c r="AH17" i="68"/>
  <c r="AH22" i="68" s="1"/>
  <c r="AI18" i="67" l="1"/>
  <c r="AH24" i="68"/>
  <c r="AH28" i="68" s="1"/>
  <c r="AH32" i="68" s="1"/>
  <c r="AH35" i="68" s="1"/>
  <c r="AH18" i="68"/>
  <c r="AI15" i="68" s="1"/>
  <c r="AI17" i="68" l="1"/>
  <c r="AI22" i="68" s="1"/>
  <c r="AI24" i="68" l="1"/>
  <c r="AI28" i="68" s="1"/>
  <c r="AI32" i="68" s="1"/>
  <c r="AI35" i="68" s="1"/>
  <c r="I36" i="68" s="1"/>
  <c r="I40" i="68" s="1"/>
  <c r="I12" i="21" s="1"/>
  <c r="I18" i="21" s="1"/>
  <c r="AI18" i="68"/>
  <c r="I24" i="21" l="1"/>
  <c r="K64" i="27" l="1"/>
  <c r="K110" i="27" l="1"/>
  <c r="K137" i="27"/>
  <c r="K140" i="27" s="1"/>
  <c r="K145" i="27" s="1"/>
  <c r="K112" i="27"/>
  <c r="AP65" i="27"/>
  <c r="AP144" i="27" s="1"/>
  <c r="AS65" i="27"/>
  <c r="AS144" i="27" s="1"/>
  <c r="AU65" i="27"/>
  <c r="AU144" i="27" s="1"/>
  <c r="AU64" i="27"/>
  <c r="AQ64" i="27"/>
  <c r="Y64" i="27"/>
  <c r="AX64" i="27"/>
  <c r="AT64" i="27"/>
  <c r="AP64" i="27"/>
  <c r="AW65" i="27"/>
  <c r="AW144" i="27" s="1"/>
  <c r="AT65" i="27"/>
  <c r="AT144" i="27" s="1"/>
  <c r="AO64" i="27"/>
  <c r="AW64" i="27"/>
  <c r="AV65" i="27"/>
  <c r="AV144" i="27" s="1"/>
  <c r="AR65" i="27"/>
  <c r="AR144" i="27" s="1"/>
  <c r="AM65" i="27"/>
  <c r="AM144" i="27" s="1"/>
  <c r="AS64" i="27"/>
  <c r="AV64" i="27"/>
  <c r="AR64" i="27"/>
  <c r="AG64" i="27"/>
  <c r="AX65" i="27"/>
  <c r="AX144" i="27" s="1"/>
  <c r="AQ65" i="27"/>
  <c r="AQ144" i="27" s="1"/>
  <c r="AE65" i="27"/>
  <c r="AE144" i="27" s="1"/>
  <c r="AJ64" i="27"/>
  <c r="AH65" i="27"/>
  <c r="AH144" i="27" s="1"/>
  <c r="AB64" i="27"/>
  <c r="Z65" i="27"/>
  <c r="Z144" i="27" s="1"/>
  <c r="L65" i="27"/>
  <c r="L144" i="27" s="1"/>
  <c r="AL64" i="27"/>
  <c r="AJ65" i="27"/>
  <c r="AJ144" i="27" s="1"/>
  <c r="AD64" i="27"/>
  <c r="AB65" i="27"/>
  <c r="AB144" i="27" s="1"/>
  <c r="AO65" i="27"/>
  <c r="AO144" i="27" s="1"/>
  <c r="AI64" i="27"/>
  <c r="AG65" i="27"/>
  <c r="AG144" i="27" s="1"/>
  <c r="AA64" i="27"/>
  <c r="X65" i="27"/>
  <c r="X144" i="27" s="1"/>
  <c r="AN64" i="27"/>
  <c r="AL65" i="27"/>
  <c r="AL144" i="27" s="1"/>
  <c r="AF64" i="27"/>
  <c r="AD65" i="27"/>
  <c r="AD144" i="27" s="1"/>
  <c r="T65" i="27"/>
  <c r="T144" i="27" s="1"/>
  <c r="AK64" i="27"/>
  <c r="AI65" i="27"/>
  <c r="AI144" i="27" s="1"/>
  <c r="AC64" i="27"/>
  <c r="AA65" i="27"/>
  <c r="AA144" i="27" s="1"/>
  <c r="R65" i="27"/>
  <c r="R144" i="27" s="1"/>
  <c r="AN65" i="27"/>
  <c r="AN144" i="27" s="1"/>
  <c r="AH64" i="27"/>
  <c r="AF65" i="27"/>
  <c r="AF144" i="27" s="1"/>
  <c r="Z64" i="27"/>
  <c r="P65" i="27"/>
  <c r="P144" i="27" s="1"/>
  <c r="AM64" i="27"/>
  <c r="AK65" i="27"/>
  <c r="AK144" i="27" s="1"/>
  <c r="AE64" i="27"/>
  <c r="AC65" i="27"/>
  <c r="AC144" i="27" s="1"/>
  <c r="N65" i="27"/>
  <c r="N144" i="27" s="1"/>
  <c r="W65" i="27"/>
  <c r="W144" i="27" s="1"/>
  <c r="V65" i="27"/>
  <c r="V144" i="27" s="1"/>
  <c r="V64" i="27"/>
  <c r="T64" i="27"/>
  <c r="R64" i="27"/>
  <c r="P64" i="27"/>
  <c r="N64" i="27"/>
  <c r="L64" i="27"/>
  <c r="Y65" i="27"/>
  <c r="Y144" i="27" s="1"/>
  <c r="W64" i="27"/>
  <c r="U65" i="27"/>
  <c r="U144" i="27" s="1"/>
  <c r="S65" i="27"/>
  <c r="S144" i="27" s="1"/>
  <c r="Q65" i="27"/>
  <c r="Q144" i="27" s="1"/>
  <c r="O65" i="27"/>
  <c r="O144" i="27" s="1"/>
  <c r="M65" i="27"/>
  <c r="M144" i="27" s="1"/>
  <c r="K65" i="27"/>
  <c r="K144" i="27" s="1"/>
  <c r="X64" i="27"/>
  <c r="U64" i="27"/>
  <c r="S64" i="27"/>
  <c r="Q64" i="27"/>
  <c r="O64" i="27"/>
  <c r="M64" i="27"/>
  <c r="K146" i="27" l="1"/>
  <c r="K150" i="27" s="1"/>
  <c r="K151" i="27" s="1"/>
  <c r="K114" i="27"/>
  <c r="K45" i="15" s="1"/>
  <c r="K46" i="15" s="1"/>
  <c r="K47" i="15" s="1"/>
  <c r="K29" i="66"/>
  <c r="K66" i="27"/>
  <c r="L63" i="27" s="1"/>
  <c r="L112" i="27" s="1"/>
  <c r="L110" i="27" l="1"/>
  <c r="L137" i="27"/>
  <c r="L140" i="27" s="1"/>
  <c r="L145" i="27" s="1"/>
  <c r="L146" i="27" s="1"/>
  <c r="L150" i="27" s="1"/>
  <c r="K53" i="15"/>
  <c r="K56" i="15" s="1"/>
  <c r="L66" i="27"/>
  <c r="M63" i="27" s="1"/>
  <c r="K48" i="15"/>
  <c r="L40" i="15" s="1"/>
  <c r="M110" i="27" l="1"/>
  <c r="M137" i="27"/>
  <c r="M140" i="27" s="1"/>
  <c r="M145" i="27" s="1"/>
  <c r="M146" i="27" s="1"/>
  <c r="M150" i="27" s="1"/>
  <c r="M151" i="27" s="1"/>
  <c r="L151" i="27"/>
  <c r="M66" i="27"/>
  <c r="N63" i="27" s="1"/>
  <c r="M112" i="27"/>
  <c r="L114" i="27"/>
  <c r="L45" i="15" s="1"/>
  <c r="N110" i="27" l="1"/>
  <c r="N137" i="27"/>
  <c r="N140" i="27" s="1"/>
  <c r="N145" i="27" s="1"/>
  <c r="N146" i="27" s="1"/>
  <c r="N150" i="27" s="1"/>
  <c r="N151" i="27" s="1"/>
  <c r="M114" i="27"/>
  <c r="M45" i="15" s="1"/>
  <c r="M53" i="15" s="1"/>
  <c r="M56" i="15" s="1"/>
  <c r="N66" i="27"/>
  <c r="O63" i="27" s="1"/>
  <c r="N112" i="27"/>
  <c r="L53" i="15"/>
  <c r="L56" i="15" s="1"/>
  <c r="L46" i="15"/>
  <c r="O110" i="27" l="1"/>
  <c r="O137" i="27"/>
  <c r="O140" i="27" s="1"/>
  <c r="O145" i="27" s="1"/>
  <c r="O146" i="27" s="1"/>
  <c r="O150" i="27" s="1"/>
  <c r="O151" i="27" s="1"/>
  <c r="N114" i="27"/>
  <c r="N45" i="15" s="1"/>
  <c r="O66" i="27"/>
  <c r="P63" i="27" s="1"/>
  <c r="O112" i="27"/>
  <c r="L47" i="15"/>
  <c r="L48" i="15" s="1"/>
  <c r="M40" i="15" s="1"/>
  <c r="M46" i="15" s="1"/>
  <c r="P110" i="27" l="1"/>
  <c r="P137" i="27"/>
  <c r="P140" i="27" s="1"/>
  <c r="P145" i="27" s="1"/>
  <c r="P146" i="27" s="1"/>
  <c r="P150" i="27" s="1"/>
  <c r="P151" i="27" s="1"/>
  <c r="M47" i="15"/>
  <c r="M48" i="15" s="1"/>
  <c r="N40" i="15" s="1"/>
  <c r="N46" i="15" s="1"/>
  <c r="P66" i="27"/>
  <c r="Q63" i="27" s="1"/>
  <c r="P112" i="27"/>
  <c r="O114" i="27"/>
  <c r="O45" i="15" s="1"/>
  <c r="N53" i="15"/>
  <c r="N56" i="15" s="1"/>
  <c r="O53" i="15" l="1"/>
  <c r="Q110" i="27"/>
  <c r="Q137" i="27"/>
  <c r="Q140" i="27" s="1"/>
  <c r="Q145" i="27" s="1"/>
  <c r="Q146" i="27" s="1"/>
  <c r="Q150" i="27" s="1"/>
  <c r="Q151" i="27" s="1"/>
  <c r="Q66" i="27"/>
  <c r="R63" i="27" s="1"/>
  <c r="R110" i="27" s="1"/>
  <c r="Q112" i="27"/>
  <c r="P114" i="27"/>
  <c r="P45" i="15" s="1"/>
  <c r="N47" i="15"/>
  <c r="N48" i="15" s="1"/>
  <c r="O40" i="15" s="1"/>
  <c r="O46" i="15" s="1"/>
  <c r="O56" i="27" l="1"/>
  <c r="R137" i="27"/>
  <c r="R140" i="27" s="1"/>
  <c r="R145" i="27" s="1"/>
  <c r="R146" i="27" s="1"/>
  <c r="R150" i="27" s="1"/>
  <c r="R151" i="27" s="1"/>
  <c r="O47" i="15"/>
  <c r="O48" i="15" s="1"/>
  <c r="P40" i="15" s="1"/>
  <c r="P46" i="15" s="1"/>
  <c r="P53" i="15"/>
  <c r="Q114" i="27"/>
  <c r="Q45" i="15" s="1"/>
  <c r="R66" i="27"/>
  <c r="S63" i="27" s="1"/>
  <c r="R112" i="27"/>
  <c r="P56" i="27" l="1"/>
  <c r="O56" i="15"/>
  <c r="P56" i="15"/>
  <c r="Q53" i="15"/>
  <c r="S110" i="27"/>
  <c r="S112" i="27"/>
  <c r="S137" i="27"/>
  <c r="S140" i="27" s="1"/>
  <c r="S66" i="27"/>
  <c r="T63" i="27" s="1"/>
  <c r="P47" i="15"/>
  <c r="P48" i="15" s="1"/>
  <c r="Q40" i="15" s="1"/>
  <c r="Q46" i="15" s="1"/>
  <c r="R114" i="27"/>
  <c r="R45" i="15" s="1"/>
  <c r="Q56" i="27" l="1"/>
  <c r="R53" i="15"/>
  <c r="S145" i="27"/>
  <c r="S146" i="27" s="1"/>
  <c r="S150" i="27" s="1"/>
  <c r="S151" i="27" s="1"/>
  <c r="T110" i="27"/>
  <c r="T137" i="27"/>
  <c r="T140" i="27" s="1"/>
  <c r="K28" i="66" s="1"/>
  <c r="Q47" i="15"/>
  <c r="Q48" i="15" s="1"/>
  <c r="R40" i="15" s="1"/>
  <c r="R46" i="15" s="1"/>
  <c r="S114" i="27"/>
  <c r="S45" i="15" s="1"/>
  <c r="T66" i="27"/>
  <c r="U63" i="27" s="1"/>
  <c r="T112" i="27"/>
  <c r="Q56" i="15" l="1"/>
  <c r="R56" i="27"/>
  <c r="R56" i="15"/>
  <c r="S53" i="15"/>
  <c r="T145" i="27"/>
  <c r="T146" i="27" s="1"/>
  <c r="T150" i="27" s="1"/>
  <c r="T151" i="27" s="1"/>
  <c r="U110" i="27"/>
  <c r="U137" i="27"/>
  <c r="U140" i="27" s="1"/>
  <c r="T114" i="27"/>
  <c r="T45" i="15" s="1"/>
  <c r="U66" i="27"/>
  <c r="V63" i="27" s="1"/>
  <c r="V137" i="27" s="1"/>
  <c r="V140" i="27" s="1"/>
  <c r="U112" i="27"/>
  <c r="R47" i="15"/>
  <c r="R48" i="15" s="1"/>
  <c r="S40" i="15" s="1"/>
  <c r="S46" i="15" s="1"/>
  <c r="S56" i="27" l="1"/>
  <c r="S56" i="15"/>
  <c r="T53" i="15"/>
  <c r="M28" i="66"/>
  <c r="L28" i="66"/>
  <c r="U145" i="27"/>
  <c r="U146" i="27" s="1"/>
  <c r="U150" i="27" s="1"/>
  <c r="U151" i="27" s="1"/>
  <c r="V110" i="27"/>
  <c r="S47" i="15"/>
  <c r="S48" i="15" s="1"/>
  <c r="T40" i="15" s="1"/>
  <c r="T46" i="15" s="1"/>
  <c r="V66" i="27"/>
  <c r="W63" i="27" s="1"/>
  <c r="V112" i="27"/>
  <c r="U114" i="27"/>
  <c r="U45" i="15" s="1"/>
  <c r="T56" i="27" l="1"/>
  <c r="T56" i="15"/>
  <c r="U53" i="15"/>
  <c r="W110" i="27"/>
  <c r="W137" i="27"/>
  <c r="W140" i="27" s="1"/>
  <c r="N28" i="66" s="1"/>
  <c r="V145" i="27"/>
  <c r="V146" i="27" s="1"/>
  <c r="V150" i="27" s="1"/>
  <c r="V151" i="27" s="1"/>
  <c r="V114" i="27"/>
  <c r="V45" i="15" s="1"/>
  <c r="W66" i="27"/>
  <c r="X63" i="27" s="1"/>
  <c r="W112" i="27"/>
  <c r="T47" i="15"/>
  <c r="T48" i="15" s="1"/>
  <c r="U40" i="15" s="1"/>
  <c r="U46" i="15" s="1"/>
  <c r="U56" i="27" l="1"/>
  <c r="V53" i="15"/>
  <c r="U56" i="15"/>
  <c r="X110" i="27"/>
  <c r="X137" i="27"/>
  <c r="X140" i="27" s="1"/>
  <c r="O28" i="66" s="1"/>
  <c r="U47" i="15"/>
  <c r="U48" i="15" s="1"/>
  <c r="V40" i="15" s="1"/>
  <c r="V46" i="15" s="1"/>
  <c r="X66" i="27"/>
  <c r="Y63" i="27" s="1"/>
  <c r="X112" i="27"/>
  <c r="W114" i="27"/>
  <c r="W45" i="15" s="1"/>
  <c r="W145" i="27"/>
  <c r="W146" i="27" s="1"/>
  <c r="W150" i="27" s="1"/>
  <c r="W151" i="27" s="1"/>
  <c r="V56" i="27" l="1"/>
  <c r="W53" i="15"/>
  <c r="V56" i="15"/>
  <c r="K30" i="66"/>
  <c r="K47" i="68" s="1"/>
  <c r="Y110" i="27"/>
  <c r="Y137" i="27"/>
  <c r="Y140" i="27" s="1"/>
  <c r="P28" i="66" s="1"/>
  <c r="X114" i="27"/>
  <c r="X45" i="15" s="1"/>
  <c r="Y66" i="27"/>
  <c r="Z63" i="27" s="1"/>
  <c r="Y112" i="27"/>
  <c r="X145" i="27"/>
  <c r="X146" i="27" s="1"/>
  <c r="X150" i="27" s="1"/>
  <c r="X151" i="27" s="1"/>
  <c r="V47" i="15"/>
  <c r="V48" i="15" s="1"/>
  <c r="W40" i="15" s="1"/>
  <c r="W46" i="15" s="1"/>
  <c r="W47" i="15" s="1"/>
  <c r="W56" i="27" l="1"/>
  <c r="X53" i="15"/>
  <c r="L30" i="66"/>
  <c r="L47" i="68" s="1"/>
  <c r="K42" i="48"/>
  <c r="K43" i="48" s="1"/>
  <c r="Z110" i="27"/>
  <c r="Z137" i="27"/>
  <c r="Z140" i="27" s="1"/>
  <c r="Q28" i="66" s="1"/>
  <c r="Z66" i="27"/>
  <c r="AA63" i="27" s="1"/>
  <c r="Z112" i="27"/>
  <c r="Y145" i="27"/>
  <c r="Y146" i="27" s="1"/>
  <c r="Y150" i="27" s="1"/>
  <c r="Y151" i="27" s="1"/>
  <c r="Y114" i="27"/>
  <c r="Y45" i="15" s="1"/>
  <c r="W48" i="15"/>
  <c r="X40" i="15" s="1"/>
  <c r="X46" i="15" s="1"/>
  <c r="X56" i="27" s="1"/>
  <c r="W56" i="15" l="1"/>
  <c r="Y53" i="15"/>
  <c r="X56" i="15"/>
  <c r="AA110" i="27"/>
  <c r="AA137" i="27"/>
  <c r="AA140" i="27" s="1"/>
  <c r="R28" i="66" s="1"/>
  <c r="X47" i="15"/>
  <c r="X48" i="15" s="1"/>
  <c r="Y40" i="15" s="1"/>
  <c r="Y46" i="15" s="1"/>
  <c r="Y56" i="27" s="1"/>
  <c r="Z145" i="27"/>
  <c r="Z146" i="27" s="1"/>
  <c r="Z150" i="27" s="1"/>
  <c r="Z151" i="27" s="1"/>
  <c r="Z114" i="27"/>
  <c r="Z45" i="15" s="1"/>
  <c r="AA66" i="27"/>
  <c r="AB63" i="27" s="1"/>
  <c r="AA112" i="27"/>
  <c r="Z53" i="15" l="1"/>
  <c r="Y56" i="15"/>
  <c r="N30" i="66"/>
  <c r="N47" i="68" s="1"/>
  <c r="M30" i="66"/>
  <c r="M47" i="68" s="1"/>
  <c r="AB110" i="27"/>
  <c r="AB137" i="27"/>
  <c r="AB140" i="27" s="1"/>
  <c r="S28" i="66" s="1"/>
  <c r="Y47" i="15"/>
  <c r="Y48" i="15" s="1"/>
  <c r="Z40" i="15" s="1"/>
  <c r="Z46" i="15" s="1"/>
  <c r="Z56" i="27" s="1"/>
  <c r="AA145" i="27"/>
  <c r="AA146" i="27" s="1"/>
  <c r="AA150" i="27" s="1"/>
  <c r="AA151" i="27" s="1"/>
  <c r="AA114" i="27"/>
  <c r="AA45" i="15" s="1"/>
  <c r="AB66" i="27"/>
  <c r="AC63" i="27" s="1"/>
  <c r="AB112" i="27"/>
  <c r="AA53" i="15" l="1"/>
  <c r="Z56" i="15"/>
  <c r="O30" i="66"/>
  <c r="O47" i="68" s="1"/>
  <c r="AC110" i="27"/>
  <c r="AC137" i="27"/>
  <c r="AC140" i="27" s="1"/>
  <c r="T28" i="66" s="1"/>
  <c r="AB145" i="27"/>
  <c r="AB146" i="27" s="1"/>
  <c r="AB150" i="27" s="1"/>
  <c r="AB151" i="27" s="1"/>
  <c r="Z47" i="15"/>
  <c r="Z48" i="15" s="1"/>
  <c r="AA40" i="15" s="1"/>
  <c r="AA46" i="15" s="1"/>
  <c r="AA56" i="27" s="1"/>
  <c r="AB114" i="27"/>
  <c r="AB45" i="15" s="1"/>
  <c r="AC66" i="27"/>
  <c r="AD63" i="27" s="1"/>
  <c r="AC112" i="27"/>
  <c r="AB53" i="15" l="1"/>
  <c r="AA56" i="15"/>
  <c r="P30" i="66"/>
  <c r="P47" i="68" s="1"/>
  <c r="O42" i="48"/>
  <c r="O43" i="48" s="1"/>
  <c r="AD110" i="27"/>
  <c r="AD137" i="27"/>
  <c r="AD140" i="27" s="1"/>
  <c r="U28" i="66" s="1"/>
  <c r="AC114" i="27"/>
  <c r="AC45" i="15" s="1"/>
  <c r="AD66" i="27"/>
  <c r="AE63" i="27" s="1"/>
  <c r="AD112" i="27"/>
  <c r="AA47" i="15"/>
  <c r="AA48" i="15" s="1"/>
  <c r="AB40" i="15" s="1"/>
  <c r="AB46" i="15" s="1"/>
  <c r="AB56" i="27" s="1"/>
  <c r="AC145" i="27"/>
  <c r="AC146" i="27" s="1"/>
  <c r="AC150" i="27" s="1"/>
  <c r="AC151" i="27" s="1"/>
  <c r="AC53" i="15" l="1"/>
  <c r="AB56" i="15"/>
  <c r="Q30" i="66"/>
  <c r="Q47" i="68" s="1"/>
  <c r="P42" i="48"/>
  <c r="P43" i="48" s="1"/>
  <c r="AE110" i="27"/>
  <c r="AE137" i="27"/>
  <c r="AE140" i="27" s="1"/>
  <c r="V28" i="66" s="1"/>
  <c r="AB47" i="15"/>
  <c r="AB48" i="15" s="1"/>
  <c r="AC40" i="15" s="1"/>
  <c r="AC46" i="15" s="1"/>
  <c r="AC56" i="27" s="1"/>
  <c r="AD145" i="27"/>
  <c r="AD146" i="27" s="1"/>
  <c r="AD150" i="27" s="1"/>
  <c r="AD151" i="27" s="1"/>
  <c r="AD114" i="27"/>
  <c r="AD45" i="15" s="1"/>
  <c r="AE66" i="27"/>
  <c r="AF63" i="27" s="1"/>
  <c r="AE112" i="27"/>
  <c r="AD53" i="15" l="1"/>
  <c r="AC56" i="15"/>
  <c r="Q42" i="48"/>
  <c r="Q43" i="48" s="1"/>
  <c r="AF110" i="27"/>
  <c r="AF137" i="27"/>
  <c r="AF140" i="27" s="1"/>
  <c r="W28" i="66" s="1"/>
  <c r="AE145" i="27"/>
  <c r="AE146" i="27" s="1"/>
  <c r="AE150" i="27" s="1"/>
  <c r="AE151" i="27" s="1"/>
  <c r="AC47" i="15"/>
  <c r="AC48" i="15" s="1"/>
  <c r="AD40" i="15" s="1"/>
  <c r="AD46" i="15" s="1"/>
  <c r="AD56" i="27" s="1"/>
  <c r="AE114" i="27"/>
  <c r="AE45" i="15" s="1"/>
  <c r="AF66" i="27"/>
  <c r="AG63" i="27" s="1"/>
  <c r="AF112" i="27"/>
  <c r="AE53" i="15" l="1"/>
  <c r="AD56" i="15"/>
  <c r="R42" i="48"/>
  <c r="R43" i="48" s="1"/>
  <c r="R30" i="66"/>
  <c r="R47" i="68" s="1"/>
  <c r="AG110" i="27"/>
  <c r="AG137" i="27"/>
  <c r="AG140" i="27" s="1"/>
  <c r="X28" i="66" s="1"/>
  <c r="AF145" i="27"/>
  <c r="AF146" i="27" s="1"/>
  <c r="AF150" i="27" s="1"/>
  <c r="AF151" i="27" s="1"/>
  <c r="AD47" i="15"/>
  <c r="AD48" i="15" s="1"/>
  <c r="AE40" i="15" s="1"/>
  <c r="AE46" i="15" s="1"/>
  <c r="AE56" i="27" s="1"/>
  <c r="AF114" i="27"/>
  <c r="AF45" i="15" s="1"/>
  <c r="AG66" i="27"/>
  <c r="AH63" i="27" s="1"/>
  <c r="AG112" i="27"/>
  <c r="AF53" i="15" l="1"/>
  <c r="AE56" i="15"/>
  <c r="S30" i="66"/>
  <c r="S47" i="68" s="1"/>
  <c r="S42" i="48"/>
  <c r="S43" i="48" s="1"/>
  <c r="AH110" i="27"/>
  <c r="AH137" i="27"/>
  <c r="AH140" i="27" s="1"/>
  <c r="Y28" i="66" s="1"/>
  <c r="AG114" i="27"/>
  <c r="AG45" i="15" s="1"/>
  <c r="AG145" i="27"/>
  <c r="AG146" i="27" s="1"/>
  <c r="AG150" i="27" s="1"/>
  <c r="AG151" i="27" s="1"/>
  <c r="AE47" i="15"/>
  <c r="AE48" i="15" s="1"/>
  <c r="AF40" i="15" s="1"/>
  <c r="AF46" i="15" s="1"/>
  <c r="AF56" i="27" s="1"/>
  <c r="AH66" i="27"/>
  <c r="AI63" i="27" s="1"/>
  <c r="AH112" i="27"/>
  <c r="AG53" i="15" l="1"/>
  <c r="AF56" i="15"/>
  <c r="U30" i="66"/>
  <c r="U47" i="68" s="1"/>
  <c r="T30" i="66"/>
  <c r="T47" i="68" s="1"/>
  <c r="T42" i="48"/>
  <c r="T43" i="48" s="1"/>
  <c r="AI110" i="27"/>
  <c r="AI137" i="27"/>
  <c r="AI140" i="27" s="1"/>
  <c r="Z28" i="66" s="1"/>
  <c r="AH114" i="27"/>
  <c r="AH45" i="15" s="1"/>
  <c r="AF47" i="15"/>
  <c r="AF48" i="15" s="1"/>
  <c r="AG40" i="15" s="1"/>
  <c r="AG46" i="15" s="1"/>
  <c r="AG56" i="27" s="1"/>
  <c r="AH145" i="27"/>
  <c r="AH146" i="27" s="1"/>
  <c r="AH150" i="27" s="1"/>
  <c r="AH151" i="27" s="1"/>
  <c r="AI66" i="27"/>
  <c r="AJ63" i="27" s="1"/>
  <c r="AI112" i="27"/>
  <c r="AH53" i="15" l="1"/>
  <c r="AG56" i="15"/>
  <c r="V30" i="66"/>
  <c r="V47" i="68" s="1"/>
  <c r="U42" i="48"/>
  <c r="U43" i="48" s="1"/>
  <c r="AJ110" i="27"/>
  <c r="AJ137" i="27"/>
  <c r="AJ140" i="27" s="1"/>
  <c r="AI114" i="27"/>
  <c r="AI45" i="15" s="1"/>
  <c r="AJ66" i="27"/>
  <c r="AK63" i="27" s="1"/>
  <c r="AJ112" i="27"/>
  <c r="AI145" i="27"/>
  <c r="AI146" i="27" s="1"/>
  <c r="AI150" i="27" s="1"/>
  <c r="AI151" i="27" s="1"/>
  <c r="AG47" i="15"/>
  <c r="AG48" i="15" s="1"/>
  <c r="AH40" i="15" s="1"/>
  <c r="AH46" i="15" s="1"/>
  <c r="AH56" i="27" s="1"/>
  <c r="AI53" i="15" l="1"/>
  <c r="AH56" i="15"/>
  <c r="AA28" i="66"/>
  <c r="W30" i="66"/>
  <c r="W47" i="68" s="1"/>
  <c r="V42" i="48"/>
  <c r="V43" i="48" s="1"/>
  <c r="AK110" i="27"/>
  <c r="AK137" i="27"/>
  <c r="AK140" i="27" s="1"/>
  <c r="AH47" i="15"/>
  <c r="AH48" i="15" s="1"/>
  <c r="AI40" i="15" s="1"/>
  <c r="AI46" i="15" s="1"/>
  <c r="AI56" i="27" s="1"/>
  <c r="AK66" i="27"/>
  <c r="AL63" i="27" s="1"/>
  <c r="AK112" i="27"/>
  <c r="AJ114" i="27"/>
  <c r="AJ45" i="15" s="1"/>
  <c r="AJ145" i="27"/>
  <c r="AJ146" i="27" s="1"/>
  <c r="AJ150" i="27" s="1"/>
  <c r="AJ151" i="27" s="1"/>
  <c r="AJ53" i="15" l="1"/>
  <c r="AI56" i="15"/>
  <c r="AB28" i="66"/>
  <c r="X30" i="66"/>
  <c r="X47" i="68" s="1"/>
  <c r="W42" i="48"/>
  <c r="W43" i="48" s="1"/>
  <c r="AL110" i="27"/>
  <c r="AL137" i="27"/>
  <c r="AL140" i="27" s="1"/>
  <c r="AC28" i="66" s="1"/>
  <c r="AK114" i="27"/>
  <c r="AK45" i="15" s="1"/>
  <c r="AK145" i="27"/>
  <c r="AK146" i="27" s="1"/>
  <c r="AK150" i="27" s="1"/>
  <c r="AK151" i="27" s="1"/>
  <c r="AL66" i="27"/>
  <c r="AM63" i="27" s="1"/>
  <c r="AL112" i="27"/>
  <c r="AI47" i="15"/>
  <c r="AI48" i="15" s="1"/>
  <c r="AJ40" i="15" s="1"/>
  <c r="AJ46" i="15" s="1"/>
  <c r="AJ56" i="27" s="1"/>
  <c r="AK53" i="15" l="1"/>
  <c r="AJ56" i="15"/>
  <c r="Y30" i="66"/>
  <c r="Y47" i="68" s="1"/>
  <c r="X42" i="48"/>
  <c r="X43" i="48" s="1"/>
  <c r="AM110" i="27"/>
  <c r="AM137" i="27"/>
  <c r="AM140" i="27" s="1"/>
  <c r="AD28" i="66" s="1"/>
  <c r="AJ47" i="15"/>
  <c r="AJ48" i="15" s="1"/>
  <c r="AK40" i="15" s="1"/>
  <c r="AK46" i="15" s="1"/>
  <c r="AK56" i="27" s="1"/>
  <c r="AL114" i="27"/>
  <c r="AL45" i="15" s="1"/>
  <c r="AL145" i="27"/>
  <c r="AL146" i="27" s="1"/>
  <c r="AL150" i="27" s="1"/>
  <c r="AL151" i="27" s="1"/>
  <c r="AM66" i="27"/>
  <c r="AN63" i="27" s="1"/>
  <c r="AM112" i="27"/>
  <c r="AK56" i="15" l="1"/>
  <c r="AL53" i="15"/>
  <c r="Z30" i="66"/>
  <c r="Z47" i="68" s="1"/>
  <c r="Y42" i="48"/>
  <c r="Y43" i="48" s="1"/>
  <c r="AN110" i="27"/>
  <c r="AN137" i="27"/>
  <c r="AN140" i="27" s="1"/>
  <c r="AE28" i="66" s="1"/>
  <c r="AM114" i="27"/>
  <c r="AM45" i="15" s="1"/>
  <c r="AM145" i="27"/>
  <c r="AM146" i="27" s="1"/>
  <c r="AM150" i="27" s="1"/>
  <c r="AM151" i="27" s="1"/>
  <c r="AN66" i="27"/>
  <c r="AO63" i="27" s="1"/>
  <c r="AN112" i="27"/>
  <c r="AK47" i="15"/>
  <c r="AK48" i="15" s="1"/>
  <c r="AL40" i="15" s="1"/>
  <c r="AL46" i="15" s="1"/>
  <c r="AL56" i="27" s="1"/>
  <c r="AL56" i="15" l="1"/>
  <c r="AM53" i="15"/>
  <c r="AA30" i="66"/>
  <c r="AA47" i="68" s="1"/>
  <c r="Z42" i="48"/>
  <c r="Z43" i="48" s="1"/>
  <c r="AO110" i="27"/>
  <c r="AO137" i="27"/>
  <c r="AO140" i="27" s="1"/>
  <c r="AF28" i="66" s="1"/>
  <c r="AN114" i="27"/>
  <c r="AN45" i="15" s="1"/>
  <c r="AO66" i="27"/>
  <c r="AP63" i="27" s="1"/>
  <c r="AO112" i="27"/>
  <c r="AN145" i="27"/>
  <c r="AN146" i="27" s="1"/>
  <c r="AN150" i="27" s="1"/>
  <c r="AN151" i="27" s="1"/>
  <c r="AL47" i="15"/>
  <c r="AL48" i="15" s="1"/>
  <c r="AM40" i="15" s="1"/>
  <c r="AM46" i="15" s="1"/>
  <c r="AM56" i="27" s="1"/>
  <c r="AN53" i="15" l="1"/>
  <c r="AM56" i="15"/>
  <c r="AA42" i="48"/>
  <c r="AA43" i="48" s="1"/>
  <c r="AB30" i="66"/>
  <c r="AB47" i="68" s="1"/>
  <c r="AP110" i="27"/>
  <c r="AP137" i="27"/>
  <c r="AP140" i="27" s="1"/>
  <c r="AO145" i="27"/>
  <c r="AO146" i="27" s="1"/>
  <c r="AO150" i="27" s="1"/>
  <c r="AO151" i="27" s="1"/>
  <c r="AP112" i="27"/>
  <c r="AP66" i="27"/>
  <c r="AQ63" i="27" s="1"/>
  <c r="AO114" i="27"/>
  <c r="AO45" i="15" s="1"/>
  <c r="AM47" i="15"/>
  <c r="AM48" i="15" s="1"/>
  <c r="AN40" i="15" s="1"/>
  <c r="AN46" i="15" s="1"/>
  <c r="AN56" i="27" s="1"/>
  <c r="AN56" i="15" l="1"/>
  <c r="AO53" i="15"/>
  <c r="AO56" i="27"/>
  <c r="AG28" i="66"/>
  <c r="AB42" i="48"/>
  <c r="AB43" i="48" s="1"/>
  <c r="AP145" i="27"/>
  <c r="AP146" i="27" s="1"/>
  <c r="AP150" i="27" s="1"/>
  <c r="AP151" i="27" s="1"/>
  <c r="AQ110" i="27"/>
  <c r="AQ137" i="27"/>
  <c r="AQ140" i="27" s="1"/>
  <c r="AN47" i="15"/>
  <c r="AN48" i="15" s="1"/>
  <c r="AO40" i="15" s="1"/>
  <c r="AO46" i="15" s="1"/>
  <c r="AQ112" i="27"/>
  <c r="AQ66" i="27"/>
  <c r="AR63" i="27" s="1"/>
  <c r="AP114" i="27"/>
  <c r="AP45" i="15" s="1"/>
  <c r="AP53" i="15" l="1"/>
  <c r="AO56" i="15"/>
  <c r="AH28" i="66"/>
  <c r="AC30" i="66"/>
  <c r="AC47" i="68" s="1"/>
  <c r="AC42" i="48"/>
  <c r="AC43" i="48" s="1"/>
  <c r="AE30" i="66"/>
  <c r="AE47" i="68" s="1"/>
  <c r="AQ145" i="27"/>
  <c r="AQ146" i="27" s="1"/>
  <c r="AQ150" i="27" s="1"/>
  <c r="AQ151" i="27" s="1"/>
  <c r="AR110" i="27"/>
  <c r="AR137" i="27"/>
  <c r="AR140" i="27" s="1"/>
  <c r="AQ114" i="27"/>
  <c r="AQ45" i="15" s="1"/>
  <c r="AR112" i="27"/>
  <c r="AR66" i="27"/>
  <c r="AS63" i="27" s="1"/>
  <c r="AO47" i="15"/>
  <c r="AO48" i="15" s="1"/>
  <c r="AP40" i="15" s="1"/>
  <c r="AP46" i="15" s="1"/>
  <c r="AP56" i="27" s="1"/>
  <c r="AQ53" i="15" l="1"/>
  <c r="AP56" i="15"/>
  <c r="AD42" i="48"/>
  <c r="AR145" i="27"/>
  <c r="AR146" i="27" s="1"/>
  <c r="AR150" i="27" s="1"/>
  <c r="AR151" i="27" s="1"/>
  <c r="AE42" i="48" s="1"/>
  <c r="AE43" i="48" s="1"/>
  <c r="AS110" i="27"/>
  <c r="AS137" i="27"/>
  <c r="AS140" i="27" s="1"/>
  <c r="AI28" i="66" s="1"/>
  <c r="AI30" i="66" s="1"/>
  <c r="AI47" i="68" s="1"/>
  <c r="AP47" i="15"/>
  <c r="AP48" i="15" s="1"/>
  <c r="AQ40" i="15" s="1"/>
  <c r="AQ46" i="15" s="1"/>
  <c r="AQ56" i="27" s="1"/>
  <c r="AS112" i="27"/>
  <c r="AS66" i="27"/>
  <c r="AT63" i="27" s="1"/>
  <c r="AR114" i="27"/>
  <c r="AR45" i="15" s="1"/>
  <c r="AR53" i="15" l="1"/>
  <c r="AR56" i="27"/>
  <c r="AQ56" i="15"/>
  <c r="AS145" i="27"/>
  <c r="AS146" i="27" s="1"/>
  <c r="AS150" i="27" s="1"/>
  <c r="AS151" i="27" s="1"/>
  <c r="AF42" i="48" s="1"/>
  <c r="AG30" i="66"/>
  <c r="AG47" i="68" s="1"/>
  <c r="AT110" i="27"/>
  <c r="AT137" i="27"/>
  <c r="AT140" i="27" s="1"/>
  <c r="AS114" i="27"/>
  <c r="AS45" i="15" s="1"/>
  <c r="AQ47" i="15"/>
  <c r="AQ48" i="15" s="1"/>
  <c r="AR40" i="15" s="1"/>
  <c r="AR46" i="15" s="1"/>
  <c r="AT112" i="27"/>
  <c r="AT66" i="27"/>
  <c r="AU63" i="27" s="1"/>
  <c r="AS53" i="15" l="1"/>
  <c r="AR56" i="15"/>
  <c r="AT145" i="27"/>
  <c r="AT146" i="27" s="1"/>
  <c r="AT150" i="27" s="1"/>
  <c r="AT151" i="27" s="1"/>
  <c r="AG42" i="48" s="1"/>
  <c r="AG43" i="48" s="1"/>
  <c r="AU110" i="27"/>
  <c r="AU137" i="27"/>
  <c r="AU140" i="27" s="1"/>
  <c r="AT114" i="27"/>
  <c r="AT45" i="15" s="1"/>
  <c r="AR47" i="15"/>
  <c r="AR48" i="15" s="1"/>
  <c r="AS40" i="15" s="1"/>
  <c r="AS46" i="15" s="1"/>
  <c r="AS56" i="27" s="1"/>
  <c r="AU112" i="27"/>
  <c r="AU66" i="27"/>
  <c r="AV63" i="27" s="1"/>
  <c r="AT53" i="15" l="1"/>
  <c r="AS56" i="15"/>
  <c r="AU145" i="27"/>
  <c r="AU146" i="27" s="1"/>
  <c r="AU150" i="27" s="1"/>
  <c r="AU151" i="27" s="1"/>
  <c r="AH42" i="48" s="1"/>
  <c r="AU114" i="27"/>
  <c r="AU45" i="15" s="1"/>
  <c r="AV110" i="27"/>
  <c r="AV137" i="27"/>
  <c r="AV140" i="27" s="1"/>
  <c r="AV112" i="27"/>
  <c r="AV66" i="27"/>
  <c r="AW63" i="27" s="1"/>
  <c r="AS47" i="15"/>
  <c r="AS48" i="15" s="1"/>
  <c r="AT40" i="15" s="1"/>
  <c r="AT46" i="15" s="1"/>
  <c r="AT56" i="27" s="1"/>
  <c r="AU53" i="15" l="1"/>
  <c r="AT56" i="15"/>
  <c r="AV145" i="27"/>
  <c r="AV146" i="27" s="1"/>
  <c r="AV150" i="27" s="1"/>
  <c r="AV151" i="27" s="1"/>
  <c r="AI42" i="48" s="1"/>
  <c r="AI43" i="48" s="1"/>
  <c r="AW110" i="27"/>
  <c r="AW137" i="27"/>
  <c r="AW140" i="27" s="1"/>
  <c r="AT47" i="15"/>
  <c r="AT48" i="15" s="1"/>
  <c r="AU40" i="15" s="1"/>
  <c r="AU46" i="15" s="1"/>
  <c r="AU56" i="27" s="1"/>
  <c r="AW112" i="27"/>
  <c r="AW66" i="27"/>
  <c r="AX63" i="27" s="1"/>
  <c r="AV114" i="27"/>
  <c r="AV45" i="15" s="1"/>
  <c r="AV53" i="15" l="1"/>
  <c r="AU56" i="15"/>
  <c r="AW145" i="27"/>
  <c r="AW146" i="27" s="1"/>
  <c r="AW150" i="27" s="1"/>
  <c r="AW151" i="27" s="1"/>
  <c r="AW114" i="27"/>
  <c r="AW45" i="15" s="1"/>
  <c r="AX110" i="27"/>
  <c r="AX137" i="27"/>
  <c r="AX140" i="27" s="1"/>
  <c r="N51" i="48" s="1"/>
  <c r="AX112" i="27"/>
  <c r="AX66" i="27"/>
  <c r="AU47" i="15"/>
  <c r="AU48" i="15" s="1"/>
  <c r="AV40" i="15" s="1"/>
  <c r="AV46" i="15" s="1"/>
  <c r="AV56" i="27" s="1"/>
  <c r="AI51" i="48" l="1"/>
  <c r="AW53" i="15"/>
  <c r="AV56" i="15"/>
  <c r="K51" i="48"/>
  <c r="L51" i="48"/>
  <c r="M51" i="48"/>
  <c r="O51" i="48"/>
  <c r="P51" i="48"/>
  <c r="Q51" i="48"/>
  <c r="R51" i="48"/>
  <c r="S51" i="48"/>
  <c r="T51" i="48"/>
  <c r="X51" i="48"/>
  <c r="U51" i="48"/>
  <c r="V51" i="48"/>
  <c r="Y51" i="48"/>
  <c r="W51" i="48"/>
  <c r="Z51" i="48"/>
  <c r="AA51" i="48"/>
  <c r="AD51" i="48"/>
  <c r="AB51" i="48"/>
  <c r="AC51" i="48"/>
  <c r="AE51" i="48"/>
  <c r="AF51" i="48"/>
  <c r="AG51" i="48"/>
  <c r="AH51" i="48"/>
  <c r="AD30" i="66"/>
  <c r="AD47" i="68" s="1"/>
  <c r="AH30" i="66"/>
  <c r="AH47" i="68" s="1"/>
  <c r="AX145" i="27"/>
  <c r="AX146" i="27" s="1"/>
  <c r="AX150" i="27" s="1"/>
  <c r="AX151" i="27" s="1"/>
  <c r="AF30" i="66"/>
  <c r="AF47" i="68" s="1"/>
  <c r="AV47" i="15"/>
  <c r="AV48" i="15" s="1"/>
  <c r="AW40" i="15" s="1"/>
  <c r="AW46" i="15" s="1"/>
  <c r="AW56" i="27" s="1"/>
  <c r="AX114" i="27"/>
  <c r="AX45" i="15" s="1"/>
  <c r="AW56" i="15" l="1"/>
  <c r="I53" i="48"/>
  <c r="I55" i="48" s="1"/>
  <c r="N42" i="48"/>
  <c r="N43" i="48" s="1"/>
  <c r="M42" i="48"/>
  <c r="M43" i="48" s="1"/>
  <c r="L42" i="48"/>
  <c r="L43" i="48" s="1"/>
  <c r="AH43" i="48"/>
  <c r="AF43" i="48"/>
  <c r="AD43" i="48"/>
  <c r="AX53" i="15"/>
  <c r="AW47" i="15"/>
  <c r="AW48" i="15" s="1"/>
  <c r="AX40" i="15" s="1"/>
  <c r="AX46" i="15" s="1"/>
  <c r="AX56" i="27" s="1"/>
  <c r="I59" i="27" s="1"/>
  <c r="AX56" i="15" l="1"/>
  <c r="I57" i="15" s="1"/>
  <c r="I65" i="48"/>
  <c r="I75" i="68" s="1"/>
  <c r="AD58" i="48"/>
  <c r="AD70" i="68" s="1"/>
  <c r="AA58" i="48"/>
  <c r="K58" i="48"/>
  <c r="AB58" i="48"/>
  <c r="L58" i="48"/>
  <c r="L70" i="68" s="1"/>
  <c r="M58" i="48"/>
  <c r="M70" i="68" s="1"/>
  <c r="X58" i="48"/>
  <c r="AE58" i="48"/>
  <c r="O58" i="48"/>
  <c r="Z58" i="48"/>
  <c r="V58" i="48"/>
  <c r="U58" i="48"/>
  <c r="Q58" i="48"/>
  <c r="AC58" i="48"/>
  <c r="W58" i="48"/>
  <c r="T58" i="48"/>
  <c r="S58" i="48"/>
  <c r="P58" i="48"/>
  <c r="N58" i="48"/>
  <c r="N70" i="68" s="1"/>
  <c r="Y58" i="48"/>
  <c r="R58" i="48"/>
  <c r="AF58" i="48"/>
  <c r="AF70" i="68" s="1"/>
  <c r="AG58" i="48"/>
  <c r="AH58" i="48"/>
  <c r="AH70" i="68" s="1"/>
  <c r="AI58" i="48"/>
  <c r="AX47" i="15"/>
  <c r="AX48" i="15" s="1"/>
  <c r="M62" i="48" l="1"/>
  <c r="N62" i="48"/>
  <c r="L62" i="48"/>
  <c r="K70" i="68"/>
  <c r="K62" i="48"/>
  <c r="Y70" i="68"/>
  <c r="Y62" i="48"/>
  <c r="V70" i="68"/>
  <c r="V62" i="48"/>
  <c r="Z70" i="68"/>
  <c r="Z62" i="48"/>
  <c r="AA70" i="68"/>
  <c r="AA62" i="48"/>
  <c r="AI70" i="68"/>
  <c r="AI62" i="48"/>
  <c r="U70" i="68"/>
  <c r="U62" i="48"/>
  <c r="P70" i="68"/>
  <c r="P62" i="48"/>
  <c r="T70" i="68"/>
  <c r="T62" i="48"/>
  <c r="AE70" i="68"/>
  <c r="AE62" i="48"/>
  <c r="AG70" i="68"/>
  <c r="AG62" i="48"/>
  <c r="W70" i="68"/>
  <c r="W62" i="48"/>
  <c r="X70" i="68"/>
  <c r="X62" i="48"/>
  <c r="AH62" i="48"/>
  <c r="AB70" i="68"/>
  <c r="AB62" i="48"/>
  <c r="S70" i="68"/>
  <c r="S62" i="48"/>
  <c r="AC70" i="68"/>
  <c r="AC62" i="48"/>
  <c r="AF62" i="48"/>
  <c r="O70" i="68"/>
  <c r="O62" i="48"/>
  <c r="R70" i="68"/>
  <c r="R62" i="48"/>
  <c r="Q70" i="68"/>
  <c r="Q62" i="48"/>
  <c r="AD62" i="48"/>
  <c r="I63" i="48" l="1"/>
  <c r="I67" i="48" s="1"/>
  <c r="AE77" i="48" l="1"/>
  <c r="P77" i="48"/>
  <c r="V77" i="48"/>
  <c r="O68" i="48"/>
  <c r="R68" i="48"/>
  <c r="S77" i="48"/>
  <c r="K77" i="48"/>
  <c r="W68" i="48"/>
  <c r="I28" i="21"/>
  <c r="Q68" i="48"/>
  <c r="Y68" i="48"/>
  <c r="Y77" i="48"/>
  <c r="R77" i="48"/>
  <c r="M77" i="48"/>
  <c r="N68" i="48"/>
  <c r="L68" i="48"/>
  <c r="Z68" i="48"/>
  <c r="AG77" i="48"/>
  <c r="T68" i="48"/>
  <c r="AD77" i="48"/>
  <c r="AB77" i="48"/>
  <c r="AA68" i="48"/>
  <c r="Z77" i="48"/>
  <c r="AB68" i="48"/>
  <c r="AE68" i="48"/>
  <c r="M68" i="48"/>
  <c r="X68" i="48"/>
  <c r="O77" i="48"/>
  <c r="P68" i="48"/>
  <c r="AI77" i="48"/>
  <c r="Q77" i="48"/>
  <c r="AC68" i="48"/>
  <c r="AA77" i="48"/>
  <c r="AC77" i="48"/>
  <c r="V68" i="48"/>
  <c r="N77" i="48"/>
  <c r="K68" i="48"/>
  <c r="U77" i="48"/>
  <c r="AF77" i="48"/>
  <c r="AH68" i="48"/>
  <c r="T77" i="48"/>
  <c r="S68" i="48"/>
  <c r="X77" i="48"/>
  <c r="AG68" i="48"/>
  <c r="U68" i="48"/>
  <c r="AD68" i="48"/>
  <c r="L77" i="48"/>
  <c r="W77" i="48"/>
  <c r="AF68" i="48"/>
  <c r="AI68" i="48"/>
  <c r="AH77" i="48"/>
  <c r="AE46" i="68" l="1"/>
  <c r="AE48" i="68" s="1"/>
  <c r="AE53" i="68" s="1"/>
  <c r="AB46" i="68"/>
  <c r="AB48" i="68" s="1"/>
  <c r="AB53" i="68" s="1"/>
  <c r="AH46" i="68"/>
  <c r="AH48" i="68" s="1"/>
  <c r="AH53" i="68" s="1"/>
  <c r="AD46" i="68"/>
  <c r="AD48" i="68" s="1"/>
  <c r="AD53" i="68" s="1"/>
  <c r="N46" i="68"/>
  <c r="N48" i="68" s="1"/>
  <c r="N53" i="68" s="1"/>
  <c r="V46" i="68"/>
  <c r="V48" i="68" s="1"/>
  <c r="V53" i="68" s="1"/>
  <c r="AC46" i="68"/>
  <c r="AC48" i="68" s="1"/>
  <c r="AC53" i="68" s="1"/>
  <c r="P46" i="68"/>
  <c r="P48" i="68" s="1"/>
  <c r="P53" i="68" s="1"/>
  <c r="AG46" i="68"/>
  <c r="AG48" i="68" s="1"/>
  <c r="AG53" i="68" s="1"/>
  <c r="U46" i="68"/>
  <c r="U48" i="68" s="1"/>
  <c r="U53" i="68" s="1"/>
  <c r="K46" i="68"/>
  <c r="K48" i="68" s="1"/>
  <c r="K54" i="68" s="1"/>
  <c r="K59" i="68" s="1"/>
  <c r="K61" i="68" s="1"/>
  <c r="K65" i="68" s="1"/>
  <c r="K69" i="68" s="1"/>
  <c r="K72" i="68" s="1"/>
  <c r="AI46" i="68"/>
  <c r="AI48" i="68" s="1"/>
  <c r="AI53" i="68" s="1"/>
  <c r="L46" i="68"/>
  <c r="L48" i="68" s="1"/>
  <c r="L53" i="68" s="1"/>
  <c r="S46" i="68"/>
  <c r="S48" i="68" s="1"/>
  <c r="S53" i="68" s="1"/>
  <c r="AA46" i="68"/>
  <c r="AA48" i="68" s="1"/>
  <c r="AA53" i="68" s="1"/>
  <c r="R46" i="68"/>
  <c r="R48" i="68" s="1"/>
  <c r="R53" i="68" s="1"/>
  <c r="W46" i="68"/>
  <c r="W48" i="68" s="1"/>
  <c r="W53" i="68" s="1"/>
  <c r="O46" i="68"/>
  <c r="O48" i="68" s="1"/>
  <c r="O53" i="68" s="1"/>
  <c r="X46" i="68"/>
  <c r="X48" i="68" s="1"/>
  <c r="X53" i="68" s="1"/>
  <c r="T46" i="68"/>
  <c r="T48" i="68" s="1"/>
  <c r="T53" i="68" s="1"/>
  <c r="Y46" i="68"/>
  <c r="Y48" i="68" s="1"/>
  <c r="Y53" i="68" s="1"/>
  <c r="M46" i="68"/>
  <c r="M48" i="68" s="1"/>
  <c r="M53" i="68" s="1"/>
  <c r="Q46" i="68"/>
  <c r="Q48" i="68" s="1"/>
  <c r="Q53" i="68" s="1"/>
  <c r="AF46" i="68"/>
  <c r="AF48" i="68" s="1"/>
  <c r="AF53" i="68" s="1"/>
  <c r="Z46" i="68"/>
  <c r="Z48" i="68" s="1"/>
  <c r="Z53" i="68" s="1"/>
  <c r="K53" i="68" l="1"/>
  <c r="K55" i="68" s="1"/>
  <c r="L52" i="68" s="1"/>
  <c r="L54" i="68" s="1"/>
  <c r="L59" i="68" s="1"/>
  <c r="L61" i="68" s="1"/>
  <c r="L65" i="68" s="1"/>
  <c r="L69" i="68" s="1"/>
  <c r="L72" i="68" s="1"/>
  <c r="L55" i="68" l="1"/>
  <c r="M52" i="68" s="1"/>
  <c r="M54" i="68" s="1"/>
  <c r="M59" i="68" s="1"/>
  <c r="M61" i="68" s="1"/>
  <c r="M65" i="68" s="1"/>
  <c r="M69" i="68" s="1"/>
  <c r="M72" i="68" s="1"/>
  <c r="M55" i="68" l="1"/>
  <c r="N52" i="68" s="1"/>
  <c r="N54" i="68" s="1"/>
  <c r="N59" i="68" s="1"/>
  <c r="N61" i="68" s="1"/>
  <c r="N65" i="68" s="1"/>
  <c r="N69" i="68" s="1"/>
  <c r="N72" i="68" s="1"/>
  <c r="N55" i="68" l="1"/>
  <c r="O52" i="68" s="1"/>
  <c r="O54" i="68" l="1"/>
  <c r="O59" i="68" s="1"/>
  <c r="O61" i="68" s="1"/>
  <c r="O65" i="68" s="1"/>
  <c r="O69" i="68" s="1"/>
  <c r="O72" i="68" s="1"/>
  <c r="O55" i="68" l="1"/>
  <c r="P52" i="68" s="1"/>
  <c r="P54" i="68" l="1"/>
  <c r="P59" i="68" s="1"/>
  <c r="P61" i="68" s="1"/>
  <c r="P65" i="68" s="1"/>
  <c r="P69" i="68" s="1"/>
  <c r="P72" i="68" s="1"/>
  <c r="P55" i="68" l="1"/>
  <c r="Q52" i="68" s="1"/>
  <c r="Q54" i="68" l="1"/>
  <c r="Q59" i="68" s="1"/>
  <c r="Q61" i="68" s="1"/>
  <c r="Q65" i="68" s="1"/>
  <c r="Q69" i="68" s="1"/>
  <c r="Q72" i="68" s="1"/>
  <c r="Q55" i="68" l="1"/>
  <c r="R52" i="68" s="1"/>
  <c r="R54" i="68" l="1"/>
  <c r="R59" i="68" s="1"/>
  <c r="R61" i="68" s="1"/>
  <c r="R65" i="68" s="1"/>
  <c r="R69" i="68" s="1"/>
  <c r="R72" i="68" s="1"/>
  <c r="R55" i="68" l="1"/>
  <c r="S52" i="68" s="1"/>
  <c r="S54" i="68" l="1"/>
  <c r="S59" i="68" s="1"/>
  <c r="S61" i="68" s="1"/>
  <c r="S65" i="68" s="1"/>
  <c r="S69" i="68" s="1"/>
  <c r="S72" i="68" s="1"/>
  <c r="S55" i="68" l="1"/>
  <c r="T52" i="68" s="1"/>
  <c r="T54" i="68" l="1"/>
  <c r="T59" i="68" s="1"/>
  <c r="T61" i="68" s="1"/>
  <c r="T65" i="68" s="1"/>
  <c r="T69" i="68" s="1"/>
  <c r="T72" i="68" s="1"/>
  <c r="T55" i="68" l="1"/>
  <c r="U52" i="68" s="1"/>
  <c r="U54" i="68" s="1"/>
  <c r="U59" i="68" s="1"/>
  <c r="U61" i="68" s="1"/>
  <c r="U65" i="68" s="1"/>
  <c r="U69" i="68" s="1"/>
  <c r="U72" i="68" s="1"/>
  <c r="U55" i="68" l="1"/>
  <c r="V52" i="68" s="1"/>
  <c r="V54" i="68" s="1"/>
  <c r="V59" i="68" s="1"/>
  <c r="V61" i="68" s="1"/>
  <c r="V65" i="68" s="1"/>
  <c r="V69" i="68" s="1"/>
  <c r="V72" i="68" s="1"/>
  <c r="V55" i="68" l="1"/>
  <c r="W52" i="68" s="1"/>
  <c r="W54" i="68" s="1"/>
  <c r="W59" i="68" s="1"/>
  <c r="W61" i="68" s="1"/>
  <c r="W65" i="68" s="1"/>
  <c r="W69" i="68" s="1"/>
  <c r="W72" i="68" s="1"/>
  <c r="W55" i="68" l="1"/>
  <c r="X52" i="68" s="1"/>
  <c r="X54" i="68" s="1"/>
  <c r="X59" i="68" s="1"/>
  <c r="X61" i="68" s="1"/>
  <c r="X65" i="68" s="1"/>
  <c r="X69" i="68" s="1"/>
  <c r="X72" i="68" s="1"/>
  <c r="X55" i="68" l="1"/>
  <c r="Y52" i="68" s="1"/>
  <c r="Y54" i="68" l="1"/>
  <c r="Y59" i="68" s="1"/>
  <c r="Y61" i="68" s="1"/>
  <c r="Y65" i="68" s="1"/>
  <c r="Y69" i="68" s="1"/>
  <c r="Y72" i="68" s="1"/>
  <c r="Y55" i="68" l="1"/>
  <c r="Z52" i="68" s="1"/>
  <c r="Z54" i="68" l="1"/>
  <c r="Z59" i="68" s="1"/>
  <c r="Z61" i="68" s="1"/>
  <c r="Z65" i="68" s="1"/>
  <c r="Z69" i="68" s="1"/>
  <c r="Z72" i="68" s="1"/>
  <c r="Z55" i="68" l="1"/>
  <c r="AA52" i="68" s="1"/>
  <c r="AA54" i="68" s="1"/>
  <c r="AA59" i="68" s="1"/>
  <c r="AA61" i="68" s="1"/>
  <c r="AA65" i="68" s="1"/>
  <c r="AA69" i="68" s="1"/>
  <c r="AA72" i="68" s="1"/>
  <c r="AA55" i="68" l="1"/>
  <c r="AB52" i="68" s="1"/>
  <c r="AB54" i="68" l="1"/>
  <c r="AB59" i="68" s="1"/>
  <c r="AB61" i="68" s="1"/>
  <c r="AB65" i="68" s="1"/>
  <c r="AB69" i="68" s="1"/>
  <c r="AB72" i="68" s="1"/>
  <c r="AB55" i="68" l="1"/>
  <c r="AC52" i="68" s="1"/>
  <c r="AC54" i="68" l="1"/>
  <c r="AC59" i="68" s="1"/>
  <c r="AC61" i="68" s="1"/>
  <c r="AC65" i="68" s="1"/>
  <c r="AC69" i="68" s="1"/>
  <c r="AC72" i="68" s="1"/>
  <c r="AC55" i="68" l="1"/>
  <c r="AD52" i="68" s="1"/>
  <c r="AD54" i="68" l="1"/>
  <c r="AD59" i="68" s="1"/>
  <c r="AD61" i="68" s="1"/>
  <c r="AD65" i="68" s="1"/>
  <c r="AD69" i="68" s="1"/>
  <c r="AD72" i="68" s="1"/>
  <c r="AD55" i="68" l="1"/>
  <c r="AE52" i="68" s="1"/>
  <c r="AE54" i="68" l="1"/>
  <c r="AE59" i="68" s="1"/>
  <c r="AE61" i="68" s="1"/>
  <c r="AE65" i="68" s="1"/>
  <c r="AE69" i="68" s="1"/>
  <c r="AE72" i="68" s="1"/>
  <c r="AE55" i="68" l="1"/>
  <c r="AF52" i="68" s="1"/>
  <c r="AF54" i="68" s="1"/>
  <c r="AF59" i="68" s="1"/>
  <c r="AF61" i="68" s="1"/>
  <c r="AF65" i="68" s="1"/>
  <c r="AF69" i="68" s="1"/>
  <c r="AF72" i="68" s="1"/>
  <c r="AF55" i="68" l="1"/>
  <c r="AG52" i="68" s="1"/>
  <c r="AG54" i="68" l="1"/>
  <c r="AG59" i="68" s="1"/>
  <c r="AG61" i="68" s="1"/>
  <c r="AG65" i="68" s="1"/>
  <c r="AG69" i="68" s="1"/>
  <c r="AG72" i="68" s="1"/>
  <c r="AG55" i="68" l="1"/>
  <c r="AH52" i="68" s="1"/>
  <c r="AH54" i="68" l="1"/>
  <c r="AH59" i="68" s="1"/>
  <c r="AH61" i="68" s="1"/>
  <c r="AH65" i="68" s="1"/>
  <c r="AH69" i="68" s="1"/>
  <c r="AH72" i="68" s="1"/>
  <c r="AH55" i="68" l="1"/>
  <c r="AI52" i="68" s="1"/>
  <c r="AI54" i="68" l="1"/>
  <c r="AI59" i="68" s="1"/>
  <c r="AI61" i="68" s="1"/>
  <c r="AI65" i="68" s="1"/>
  <c r="AI69" i="68" s="1"/>
  <c r="AI72" i="68" s="1"/>
  <c r="I73" i="68" s="1"/>
  <c r="I77" i="68" s="1"/>
  <c r="I30" i="21" s="1"/>
  <c r="I34" i="21" s="1"/>
  <c r="I38" i="21" s="1"/>
  <c r="AI55" i="68" l="1"/>
</calcChain>
</file>

<file path=xl/sharedStrings.xml><?xml version="1.0" encoding="utf-8"?>
<sst xmlns="http://schemas.openxmlformats.org/spreadsheetml/2006/main" count="1295" uniqueCount="532">
  <si>
    <t>Cap and Floor Financial Model 1 (CFFM1) - Actual Cost of Debt (ACOD)</t>
  </si>
  <si>
    <t>Regime design model</t>
  </si>
  <si>
    <r>
      <t>DISCLAIMER:</t>
    </r>
    <r>
      <rPr>
        <sz val="10"/>
        <rFont val="Calibri"/>
        <family val="2"/>
        <scheme val="minor"/>
      </rPr>
      <t xml:space="preserve"> In the event of any inconsistency between this model and a project's licence, the licence conditions take precedence.</t>
    </r>
  </si>
  <si>
    <t>For guidance on the use of the CFFM1 - ACOD, please refer to the CFFM1 Handbook - ACOD (CFFM1H - ACOD)</t>
  </si>
  <si>
    <t>Model key</t>
  </si>
  <si>
    <t>Sample</t>
  </si>
  <si>
    <t>Calculated value</t>
  </si>
  <si>
    <t>Formula changes in cells to the right</t>
  </si>
  <si>
    <t>Import from other sheet</t>
  </si>
  <si>
    <t>Export to other sheet</t>
  </si>
  <si>
    <t>Import from &amp; export to other sheet</t>
  </si>
  <si>
    <t>Initial input</t>
  </si>
  <si>
    <t>Initial input for non-GB indexed portion (to be left empty if GB-indexed only)</t>
  </si>
  <si>
    <t>Updated input</t>
  </si>
  <si>
    <t>Notes and instructions</t>
  </si>
  <si>
    <t>Cell intentionally blank</t>
  </si>
  <si>
    <t>Rows added to accommodate project-finance related inputs and calculations</t>
  </si>
  <si>
    <t>Contents</t>
  </si>
  <si>
    <t>Cover</t>
  </si>
  <si>
    <t>Model key and content directory</t>
  </si>
  <si>
    <t>Version Control</t>
  </si>
  <si>
    <t>Version control and log of changes</t>
  </si>
  <si>
    <t>Inputs</t>
  </si>
  <si>
    <t>Input data</t>
  </si>
  <si>
    <t>Data Sources</t>
  </si>
  <si>
    <t>Sources of input data</t>
  </si>
  <si>
    <t>Pre Op RAV</t>
  </si>
  <si>
    <t>Pre-operational RAV balances and project-finance eligible costs</t>
  </si>
  <si>
    <t>Finance</t>
  </si>
  <si>
    <t>Interest during construction, transaction costs, project-finance debt service</t>
  </si>
  <si>
    <t>Op RAV</t>
  </si>
  <si>
    <t>Operational RAV balances, return on RAV and RAV depreciation</t>
  </si>
  <si>
    <t>Allowances Cap</t>
  </si>
  <si>
    <t>Cap allowances (excluding tax) and annuitisation</t>
  </si>
  <si>
    <t>Allowances Floor</t>
  </si>
  <si>
    <t>Floor allowances (excluding tax) and annuitisation</t>
  </si>
  <si>
    <t>Tax Deductions</t>
  </si>
  <si>
    <t>Tax calculations</t>
  </si>
  <si>
    <t>Tax Cap</t>
  </si>
  <si>
    <t>Tax allowances at cap and annuitisation</t>
  </si>
  <si>
    <t>Tax Floor</t>
  </si>
  <si>
    <t>Tax allowances at floor and annuitisation</t>
  </si>
  <si>
    <t>Cap Floor Levels</t>
  </si>
  <si>
    <t>Cap and Floor values</t>
  </si>
  <si>
    <t>Checks</t>
  </si>
  <si>
    <t>Depreciation</t>
  </si>
  <si>
    <t>Debt tenor</t>
  </si>
  <si>
    <t>End of sheet</t>
  </si>
  <si>
    <t>Version control</t>
  </si>
  <si>
    <t>Version number</t>
  </si>
  <si>
    <t>File pathname</t>
  </si>
  <si>
    <t>Based on version</t>
  </si>
  <si>
    <t>Author or editor</t>
  </si>
  <si>
    <t>Date</t>
  </si>
  <si>
    <t>Description of changes</t>
  </si>
  <si>
    <t>Rationale for changes</t>
  </si>
  <si>
    <t>Location of changes</t>
  </si>
  <si>
    <t>Impact of changes on outputs</t>
  </si>
  <si>
    <t>Quality assurance performed? By?</t>
  </si>
  <si>
    <t>Comments on QA performed</t>
  </si>
  <si>
    <t>link</t>
  </si>
  <si>
    <t>N/a</t>
  </si>
  <si>
    <t>Andrew Stone &amp; Neill Aitken (NGV)</t>
  </si>
  <si>
    <t>Internal (ORE) and external (BDO)</t>
  </si>
  <si>
    <t>Comments reflected in version 1.1</t>
  </si>
  <si>
    <t>Martin Namor</t>
  </si>
  <si>
    <t>CFFM split into CFFM1 (up to PCR) &amp; CFFM2 (operations)</t>
  </si>
  <si>
    <t>Simplification and standardisation</t>
  </si>
  <si>
    <t>Throughout the model</t>
  </si>
  <si>
    <t>No impact</t>
  </si>
  <si>
    <t>Internal (ORE - Svitlana Voronkova)</t>
  </si>
  <si>
    <t>Comments reflected in version 2.2</t>
  </si>
  <si>
    <t>Minor changes</t>
  </si>
  <si>
    <t>Reflecting comments from QA and tidying up</t>
  </si>
  <si>
    <t>Further comments reflected in version 2.2</t>
  </si>
  <si>
    <t>Martin Namor &amp; Greenlink &amp; NeuConnect</t>
  </si>
  <si>
    <t>Inclusion of additional inputs and calculations relevant to project financing</t>
  </si>
  <si>
    <t>Allowing determination of actual floor level (AFL) in addition to notional floor level (NFL)</t>
  </si>
  <si>
    <t>Additional output (actual floor);
Original outputs (notional cap and floor) unchanged</t>
  </si>
  <si>
    <t>Comments reflected in version 3.1</t>
  </si>
  <si>
    <t>Changes required to remove post-tail AFL</t>
  </si>
  <si>
    <t>Allowing for AFL only during debt tenor and tail period</t>
  </si>
  <si>
    <t>Removal of post-tail AFL</t>
  </si>
  <si>
    <t>Internal (IC - Riccardo Rosselli; ORE - Svitlana Voronkova)</t>
  </si>
  <si>
    <t>Comments reflected in version 3.2</t>
  </si>
  <si>
    <t>Greenlink &amp; NeuConnect</t>
  </si>
  <si>
    <t>Inclusion of additional dates and flags</t>
  </si>
  <si>
    <t>Correcting errors and allowing separate profiling for NFL and ACL</t>
  </si>
  <si>
    <t>Internal (RF - Martin Namor; ORE - Svitlana Voronkova)</t>
  </si>
  <si>
    <t>Comments reflected in version 3.3</t>
  </si>
  <si>
    <t>Magdalena Rut</t>
  </si>
  <si>
    <t>Placeholder parameters replaced with Greenlink input parameters to generate C+F levels for the Greenlink project.</t>
  </si>
  <si>
    <t>Implementing the regime for Greenlink</t>
  </si>
  <si>
    <t>Medium</t>
  </si>
  <si>
    <t>Internal (ORE - Rahmatullah Kawsary) and External (Greenlink)</t>
  </si>
  <si>
    <t>Comments reflected in version 3.4</t>
  </si>
  <si>
    <t>Rickin Thakrar</t>
  </si>
  <si>
    <t>No change</t>
  </si>
  <si>
    <t>Low</t>
  </si>
  <si>
    <t xml:space="preserve">Internal (Rickin Thakrar) </t>
  </si>
  <si>
    <t>Tomo Sandeman</t>
  </si>
  <si>
    <t>Switch from financial to calendar year basis.</t>
  </si>
  <si>
    <t>Aligning to GL reporting timings</t>
  </si>
  <si>
    <t>Repex added to ACOD floor calculations</t>
  </si>
  <si>
    <t>Fixing omission from ACOD floor</t>
  </si>
  <si>
    <t>Moderate</t>
  </si>
  <si>
    <t>Update PCR cost review inputs</t>
  </si>
  <si>
    <t>Aligning with PCR</t>
  </si>
  <si>
    <t>Licence</t>
  </si>
  <si>
    <t>Parameter</t>
  </si>
  <si>
    <t>Units</t>
  </si>
  <si>
    <t>Terminology</t>
  </si>
  <si>
    <t>Constant</t>
  </si>
  <si>
    <t>Annual values</t>
  </si>
  <si>
    <t>Indexation, currency and base year price term</t>
  </si>
  <si>
    <t>GB indexed portion of interconnector</t>
  </si>
  <si>
    <t>choice %</t>
  </si>
  <si>
    <t>Non-GB indexed portion of interconnector</t>
  </si>
  <si>
    <t>%</t>
  </si>
  <si>
    <t>Currency of cost inputs</t>
  </si>
  <si>
    <t>choice</t>
  </si>
  <si>
    <t>£</t>
  </si>
  <si>
    <t>Base year price term</t>
  </si>
  <si>
    <t>£m 2020 prices</t>
  </si>
  <si>
    <t>Variables set after financial close</t>
  </si>
  <si>
    <t>Actual values</t>
  </si>
  <si>
    <t>Year commencing</t>
  </si>
  <si>
    <t>Year ending</t>
  </si>
  <si>
    <t>Development costs</t>
  </si>
  <si>
    <t>Capex</t>
  </si>
  <si>
    <t>Spares</t>
  </si>
  <si>
    <t>Base year UK RPI inflation index value (CHAW)</t>
  </si>
  <si>
    <t>Jan 1987 = 100</t>
  </si>
  <si>
    <t>UK RPI index 2020</t>
  </si>
  <si>
    <t>12 month average UK RPI inflation index value (CHAW)</t>
  </si>
  <si>
    <t>UK RPI index t</t>
  </si>
  <si>
    <t>Average exchange rate (XUMAERS)</t>
  </si>
  <si>
    <t/>
  </si>
  <si>
    <t>GBPt / EURt</t>
  </si>
  <si>
    <t>Indexation factor</t>
  </si>
  <si>
    <t>Ex-ante allowances for the operational period</t>
  </si>
  <si>
    <t>Operational Year</t>
  </si>
  <si>
    <t>Year 1</t>
  </si>
  <si>
    <t>Year 2</t>
  </si>
  <si>
    <t>Year 3</t>
  </si>
  <si>
    <t>Year 4</t>
  </si>
  <si>
    <t>Year 5</t>
  </si>
  <si>
    <t>Year 6</t>
  </si>
  <si>
    <t>Year 7</t>
  </si>
  <si>
    <t>Year 8</t>
  </si>
  <si>
    <t>Year 9</t>
  </si>
  <si>
    <t>Year 10</t>
  </si>
  <si>
    <t>Year 11</t>
  </si>
  <si>
    <t>Year 12</t>
  </si>
  <si>
    <t>Year 13</t>
  </si>
  <si>
    <t>Year 14</t>
  </si>
  <si>
    <t>Year 15</t>
  </si>
  <si>
    <t>Year 16</t>
  </si>
  <si>
    <t>Year 17</t>
  </si>
  <si>
    <t>Year 18</t>
  </si>
  <si>
    <t>Year 19</t>
  </si>
  <si>
    <t>Year 20</t>
  </si>
  <si>
    <t>Year 21</t>
  </si>
  <si>
    <t>Year 22</t>
  </si>
  <si>
    <t>Year 23</t>
  </si>
  <si>
    <t>Year 24</t>
  </si>
  <si>
    <t>Year 25</t>
  </si>
  <si>
    <t>Replacement Capex</t>
  </si>
  <si>
    <t>£m 2024 prices</t>
  </si>
  <si>
    <t>Decommissioning baseline</t>
  </si>
  <si>
    <t>Controllable Opex</t>
  </si>
  <si>
    <t>Non-controllable Opex baseline</t>
  </si>
  <si>
    <t>2024 average UK RPI inflation index value (CHAW)</t>
  </si>
  <si>
    <t>2024 average Ireland CPI inflation index value</t>
  </si>
  <si>
    <t>2024 average exchange rate (XUMAERS)</t>
  </si>
  <si>
    <t>Indexation conversion from 2024 to price base terms</t>
  </si>
  <si>
    <t>Variables set at financial close</t>
  </si>
  <si>
    <t>Cap return rate</t>
  </si>
  <si>
    <t>real annual %</t>
  </si>
  <si>
    <t>Floor return rate</t>
  </si>
  <si>
    <t>Interest during construction (IDC) rate</t>
  </si>
  <si>
    <t>Cost of debt (for tax)</t>
  </si>
  <si>
    <t>Pre-operational notional gearing</t>
  </si>
  <si>
    <t>Operational notional gearing</t>
  </si>
  <si>
    <t>Equity transaction costs</t>
  </si>
  <si>
    <t>Debt transaction costs</t>
  </si>
  <si>
    <t>Actual cost of debt (inputs are not the exact project values, selected to generate the exact actual floor level determined in the project finance financial model)</t>
  </si>
  <si>
    <t>Project finance key input: senior debt amount or gearing</t>
  </si>
  <si>
    <t>1: Amount (£m)
2: Gearing (%)</t>
  </si>
  <si>
    <t>Project finance senior debt amount (input if 1; empty if 2)</t>
  </si>
  <si>
    <t>Project finance actual gearing (input if 2; empty if 1)</t>
  </si>
  <si>
    <t>Senior Debt tenor</t>
  </si>
  <si>
    <t>full years</t>
  </si>
  <si>
    <t>Senior Debt tail requirement</t>
  </si>
  <si>
    <t>DSCR sizing</t>
  </si>
  <si>
    <t>DSCRx</t>
  </si>
  <si>
    <t>Fixed rate - Construction</t>
  </si>
  <si>
    <t>nominal %</t>
  </si>
  <si>
    <t>Fixed rate - Operation</t>
  </si>
  <si>
    <t>Senior Debt construction margin</t>
  </si>
  <si>
    <t>of which: swap margin</t>
  </si>
  <si>
    <t>Senior Debt upfront fee</t>
  </si>
  <si>
    <t>Senior Debt commitment fee</t>
  </si>
  <si>
    <t>% of applicable margin</t>
  </si>
  <si>
    <t>Senior Debt drawdown year</t>
  </si>
  <si>
    <t>Year</t>
  </si>
  <si>
    <t>Senior Debt drawdown profile</t>
  </si>
  <si>
    <t>Debt Service Reserve Facility/Account amount</t>
  </si>
  <si>
    <t>Debt Service Reserve Facility upfront fee</t>
  </si>
  <si>
    <t>Debt Service Reserve Facility construction margin</t>
  </si>
  <si>
    <t>Debt Service Reserve Facility commitment fee</t>
  </si>
  <si>
    <t>Cap and Floor Liquidity Facility amount</t>
  </si>
  <si>
    <t>Cap and Floor Liquidity Facility average outstanding loan</t>
  </si>
  <si>
    <t>Cap and Floor Liquidity Facility upfront fee</t>
  </si>
  <si>
    <t>Cap and Floor Liquidity Facility construction margin</t>
  </si>
  <si>
    <t>Cap and Floor Liquidity Facility commitment fee</t>
  </si>
  <si>
    <t>Standby Debt Facility amount</t>
  </si>
  <si>
    <t>Standby Debt Facility upfront fee</t>
  </si>
  <si>
    <t>Standby Debt Facility construction margin</t>
  </si>
  <si>
    <t>Standby Debt Facility commitment fee</t>
  </si>
  <si>
    <t>VAT Facility amount</t>
  </si>
  <si>
    <t>VAT Facility average outstanding loan</t>
  </si>
  <si>
    <t>VAT Facility upfront fee</t>
  </si>
  <si>
    <t>VAT Facility construction margin</t>
  </si>
  <si>
    <t>VAT Facility commitment fee</t>
  </si>
  <si>
    <t>Other Facilities amount</t>
  </si>
  <si>
    <t>Other Facilities upfront fee</t>
  </si>
  <si>
    <t>Other Facilities construction margin</t>
  </si>
  <si>
    <t>Other Facilities commitment fee</t>
  </si>
  <si>
    <t>Debt Service Reserve: Facility or Account</t>
  </si>
  <si>
    <t>1: DSRF
2: DSRA</t>
  </si>
  <si>
    <t>Switch for transaction costs in taxes</t>
  </si>
  <si>
    <t>1: notional costs
2: actual costs</t>
  </si>
  <si>
    <t>Senior Debt repayment year</t>
  </si>
  <si>
    <t>Senior Debt repayment profile</t>
  </si>
  <si>
    <t>Senior Debt operation margin (including swap margin)</t>
  </si>
  <si>
    <t>Debt Service Reserve Facility operation margin</t>
  </si>
  <si>
    <t>Cap and Floor Liquidity Facility operation margin</t>
  </si>
  <si>
    <t>Standby Debt Facility operation margin</t>
  </si>
  <si>
    <t>VAT Facility operation margin</t>
  </si>
  <si>
    <t>Other facilities operation margin</t>
  </si>
  <si>
    <t>Model operation</t>
  </si>
  <si>
    <t>Model start date</t>
  </si>
  <si>
    <t>date</t>
  </si>
  <si>
    <t>Regime start date</t>
  </si>
  <si>
    <t>End date for IDC</t>
  </si>
  <si>
    <t>Start of operations</t>
  </si>
  <si>
    <t>Regime end date</t>
  </si>
  <si>
    <t>Debt end date</t>
  </si>
  <si>
    <t>Debt tail end date</t>
  </si>
  <si>
    <t>Number of operational years</t>
  </si>
  <si>
    <t>Debt tenor &lt;= (Regime end date - Start of operations)</t>
  </si>
  <si>
    <t>check</t>
  </si>
  <si>
    <t>Days in year</t>
  </si>
  <si>
    <t>days</t>
  </si>
  <si>
    <t>IDC flag</t>
  </si>
  <si>
    <t>flag</t>
  </si>
  <si>
    <t>Post-IDC and pre-operations flag</t>
  </si>
  <si>
    <t>Operations flag</t>
  </si>
  <si>
    <t>Regime flag</t>
  </si>
  <si>
    <t>Regime years</t>
  </si>
  <si>
    <t>count</t>
  </si>
  <si>
    <t>Transfer construction to operations flag - Notional</t>
  </si>
  <si>
    <t>Transfer construction to operations flag - ACOD</t>
  </si>
  <si>
    <t>`</t>
  </si>
  <si>
    <t>Initial transaction costs flag</t>
  </si>
  <si>
    <t>Financial close flag</t>
  </si>
  <si>
    <t>Debt drawdown flag</t>
  </si>
  <si>
    <t>Debt repayment flag</t>
  </si>
  <si>
    <t>Debt repayment years</t>
  </si>
  <si>
    <t>Debt tail flag</t>
  </si>
  <si>
    <t>Tax - Financial years</t>
  </si>
  <si>
    <t>Long-term expected UK RPI inflation</t>
  </si>
  <si>
    <t>UK RPI inflation uplift frombase price term</t>
  </si>
  <si>
    <t>scalar</t>
  </si>
  <si>
    <t>Tax - Operational years</t>
  </si>
  <si>
    <t>Corporation tax rate</t>
  </si>
  <si>
    <t>Capital allowance rate (declining balance)</t>
  </si>
  <si>
    <t>Start of price base year</t>
  </si>
  <si>
    <t>End of price base year</t>
  </si>
  <si>
    <t>UK RPI uplift from price base to start of regime</t>
  </si>
  <si>
    <t>Tax - Annuity</t>
  </si>
  <si>
    <t>Tax element of Cap and Floor annuity previously calculated and fixed</t>
  </si>
  <si>
    <t>No</t>
  </si>
  <si>
    <t>Reference row in</t>
  </si>
  <si>
    <t>Inputs sheet</t>
  </si>
  <si>
    <t>Source</t>
  </si>
  <si>
    <t>Link</t>
  </si>
  <si>
    <t>Project's licence</t>
  </si>
  <si>
    <t>Final Project Assessment decision</t>
  </si>
  <si>
    <t>Office for National Statistics</t>
  </si>
  <si>
    <t>RPI All Items Index: Jan 1987=100</t>
  </si>
  <si>
    <t>Bank of England</t>
  </si>
  <si>
    <t>XUMARES</t>
  </si>
  <si>
    <t>XUMAERS</t>
  </si>
  <si>
    <t>Ofgem's determination based on FID date</t>
  </si>
  <si>
    <t>Window 1 policy decision (fixed for Window 1 projects)</t>
  </si>
  <si>
    <t>Actual cost of debt</t>
  </si>
  <si>
    <t>Developer's Final Project Assessment submission</t>
  </si>
  <si>
    <t>N/a at Final Project Assessment</t>
  </si>
  <si>
    <t>Flags</t>
  </si>
  <si>
    <t>RAV</t>
  </si>
  <si>
    <t>Pre-operational</t>
  </si>
  <si>
    <t>Opening pre-operational RAV (before transfers)</t>
  </si>
  <si>
    <t>Closing pre-operational RAV (after IDC)</t>
  </si>
  <si>
    <t>Pre-operational RAV transfers</t>
  </si>
  <si>
    <t>Closing pre-operational RAV (after IDC) - adjusted for RAV transfers</t>
  </si>
  <si>
    <t>Opening development costs (before transfers)</t>
  </si>
  <si>
    <t>Closing development costs (before transfers)</t>
  </si>
  <si>
    <t>Development costs transfers</t>
  </si>
  <si>
    <t>Closing development costs (after transfers)</t>
  </si>
  <si>
    <t>Pre-operational costs</t>
  </si>
  <si>
    <t>Opening eligible costs</t>
  </si>
  <si>
    <t>DSRA funding</t>
  </si>
  <si>
    <t>Financial expenses during construction</t>
  </si>
  <si>
    <t>Closing eligible costs</t>
  </si>
  <si>
    <t>Eligible costs transfer</t>
  </si>
  <si>
    <t>Closing eligible costs - adjusted for transfer</t>
  </si>
  <si>
    <t>Eligible costs</t>
  </si>
  <si>
    <t>Note: Due to the circularity of the interest calculation, "Copy-PasteValues" must be performed from Row 52 to Row 53 until the circularity check shows 'OK'</t>
  </si>
  <si>
    <t>Eligible costs - copy</t>
  </si>
  <si>
    <t>Eligible costs - paste</t>
  </si>
  <si>
    <t>Delta</t>
  </si>
  <si>
    <t>Circularity check</t>
  </si>
  <si>
    <t>Debt repayment year</t>
  </si>
  <si>
    <t>Pre-operational interest during construction</t>
  </si>
  <si>
    <t>Interest during construction rate</t>
  </si>
  <si>
    <t>Capitalised interest during construction</t>
  </si>
  <si>
    <t>Transaction costs</t>
  </si>
  <si>
    <t>Parameters</t>
  </si>
  <si>
    <t>Allowance</t>
  </si>
  <si>
    <t>Transaction costs - opening</t>
  </si>
  <si>
    <t>Initial debt transaction costs</t>
  </si>
  <si>
    <t>Initial equity transaction costs</t>
  </si>
  <si>
    <t>Final debt transaction costs</t>
  </si>
  <si>
    <t>Final equity transaction costs</t>
  </si>
  <si>
    <t>Transaction costs - annual movement</t>
  </si>
  <si>
    <t>Capitalised IDC on transaction costs</t>
  </si>
  <si>
    <t>Transfer to operational RAV</t>
  </si>
  <si>
    <t>Transaction costs - closing</t>
  </si>
  <si>
    <t>Debt balance and reserves</t>
  </si>
  <si>
    <t>Project finance senior debt amount</t>
  </si>
  <si>
    <t>Project finance actual gearing on eligible costs</t>
  </si>
  <si>
    <t>Senior debt drawdown profile</t>
  </si>
  <si>
    <t>Senior debt repayment profile</t>
  </si>
  <si>
    <t>Opening senior debt balance</t>
  </si>
  <si>
    <t>Senior debt drawdowns</t>
  </si>
  <si>
    <t>Senior debt repayments</t>
  </si>
  <si>
    <t>Closing senior debt balance</t>
  </si>
  <si>
    <t>Debt Service Reserve Facility amount</t>
  </si>
  <si>
    <t>Other facilities amount</t>
  </si>
  <si>
    <t>Upfront fee - Senior Debt</t>
  </si>
  <si>
    <t>Upfront fee - Debt Service Reserve Facility</t>
  </si>
  <si>
    <t>Upfront fee - Cap and Floor Liquidity Facility</t>
  </si>
  <si>
    <t>Upfront fee - Standby Debt Facility</t>
  </si>
  <si>
    <t>Upfront fee - VAT Facility</t>
  </si>
  <si>
    <t>Upfront fee - Other facilities</t>
  </si>
  <si>
    <t>Construction margin - Senior Debt</t>
  </si>
  <si>
    <t>Construction margin - Debt Service Reserve Facility</t>
  </si>
  <si>
    <t>Construction margin - Cap and Floor Liquidity Facility</t>
  </si>
  <si>
    <t>Construction margin - Standby Debt Facility</t>
  </si>
  <si>
    <t>Construction margin - VAT Facility</t>
  </si>
  <si>
    <t>Construction margin - Other facilities</t>
  </si>
  <si>
    <t>Total interest rate - Senior Debt</t>
  </si>
  <si>
    <t xml:space="preserve">Total interest rate - Debt Service Reserve Facility </t>
  </si>
  <si>
    <t>Total interest rate - Cap and Floor Liquidity Facility</t>
  </si>
  <si>
    <t>Total interest rate - Standby Debt Facility</t>
  </si>
  <si>
    <t>Total interest rate - VAT Facility</t>
  </si>
  <si>
    <t>Total interest rate - Other facilities</t>
  </si>
  <si>
    <t>Commitment fee - Senior Debt</t>
  </si>
  <si>
    <t>Commitment fee - Debt Service Reserve Facility</t>
  </si>
  <si>
    <t>Commitment fee - Cap and Floor Liquidity Facility</t>
  </si>
  <si>
    <t>Commitment fee - Standby Debt Facility</t>
  </si>
  <si>
    <t>Commitment fee - VAT Facility</t>
  </si>
  <si>
    <t>Commitment fee - Other facilities</t>
  </si>
  <si>
    <t>Upfront fee payable - Senior Debt</t>
  </si>
  <si>
    <t>Upfront fee payable - Ancillary Facilities</t>
  </si>
  <si>
    <t>Interest payable - Senior Debt</t>
  </si>
  <si>
    <t>Interest payable - Ancillary Facilities</t>
  </si>
  <si>
    <t>Commitment fee payable - Senior Debt</t>
  </si>
  <si>
    <t>Commitment fee payable - Ancillary Facilities</t>
  </si>
  <si>
    <t>Financial expenses during operation</t>
  </si>
  <si>
    <t>Operation margin (including swap margin) - Senior Debt</t>
  </si>
  <si>
    <t>Operation margin - Debt Service Reserve Facility</t>
  </si>
  <si>
    <t>Operation margin - Cap and Floor Liquidity Facility</t>
  </si>
  <si>
    <t>Operation margin - Standby Debt Facility</t>
  </si>
  <si>
    <t>Operation margin - Other facilities</t>
  </si>
  <si>
    <t>Debt service</t>
  </si>
  <si>
    <t>Principal repayment</t>
  </si>
  <si>
    <t>Total debt service</t>
  </si>
  <si>
    <t>Total debt service including buffer</t>
  </si>
  <si>
    <t>DSRA calculation</t>
  </si>
  <si>
    <t xml:space="preserve">DSRA pre-funding </t>
  </si>
  <si>
    <t>Project year</t>
  </si>
  <si>
    <t>Operational</t>
  </si>
  <si>
    <t>Opening operational RAV (before transfers)</t>
  </si>
  <si>
    <t>Transfers of transaction costs</t>
  </si>
  <si>
    <t>Transfers of pre-operational RAV</t>
  </si>
  <si>
    <t>Opening operational RAV (after transfers)</t>
  </si>
  <si>
    <t>Depreciation (negative)</t>
  </si>
  <si>
    <t>Closing operational RAV</t>
  </si>
  <si>
    <t>Average operational RAV</t>
  </si>
  <si>
    <t>Operational RAV depreciation</t>
  </si>
  <si>
    <t>Years remaining until end of operational period</t>
  </si>
  <si>
    <t>Year is before end of operational period</t>
  </si>
  <si>
    <t>RAV depreciation</t>
  </si>
  <si>
    <t>Depreciation equal to additions</t>
  </si>
  <si>
    <t>Operational RAV return</t>
  </si>
  <si>
    <t>NPV neutral return base  (cap)</t>
  </si>
  <si>
    <t>NPV neutral return base (floor)</t>
  </si>
  <si>
    <t>Return (cap)</t>
  </si>
  <si>
    <t>Return (floor)</t>
  </si>
  <si>
    <t xml:space="preserve"> </t>
  </si>
  <si>
    <t>Unprofiled allowances except tax (cap)</t>
  </si>
  <si>
    <t>Non-controllable Opex (baseline)</t>
  </si>
  <si>
    <t>Profiled allowances except tax (cap)</t>
  </si>
  <si>
    <t>Annuity parameters</t>
  </si>
  <si>
    <t>Annuity factor (cap)</t>
  </si>
  <si>
    <t>Year is within operational period</t>
  </si>
  <si>
    <t>Discount factor to start of operational period (cap)</t>
  </si>
  <si>
    <t>Allowances except tax</t>
  </si>
  <si>
    <t>Discounted unprofiled allowances except tax (cap)</t>
  </si>
  <si>
    <t>NPV of allowances except tax (cap)</t>
  </si>
  <si>
    <t>Annuity of allowances except tax (cap)</t>
  </si>
  <si>
    <t>Annuitised allowances except tax (cap)</t>
  </si>
  <si>
    <t>Unprofiled allowances except tax (notional floor)</t>
  </si>
  <si>
    <t>Unprofiled allowances except tax (floor)</t>
  </si>
  <si>
    <t>Profiled allowances except tax (notional floor)</t>
  </si>
  <si>
    <t>Annuity factor (floor)</t>
  </si>
  <si>
    <t>Discount factor to start of operational period (floor)</t>
  </si>
  <si>
    <t>Discounted unprofiled allowances except tax (floor)</t>
  </si>
  <si>
    <t>NPV of allowances except tax (floor)</t>
  </si>
  <si>
    <t>Annuity of allowances except tax (floor)</t>
  </si>
  <si>
    <t>Annuitised allowances except tax (floor)</t>
  </si>
  <si>
    <t>Unprofiled allowances except tax (actual floor during debt tenor and tail period)</t>
  </si>
  <si>
    <t>Profiled allowances except tax (actual floor during debt tenor and tail period)</t>
  </si>
  <si>
    <t>Annuity parameters during debt tenor</t>
  </si>
  <si>
    <t>real %</t>
  </si>
  <si>
    <t>Cost of debt weighting</t>
  </si>
  <si>
    <t>Annuity factor over debt tenor</t>
  </si>
  <si>
    <t>Year within debt tenor</t>
  </si>
  <si>
    <t>Discount factor to start of debt period (floor)</t>
  </si>
  <si>
    <t>Allowances except tax during debt tenor</t>
  </si>
  <si>
    <t>Discounted unprofiled allowances except tax (floor) during debt period</t>
  </si>
  <si>
    <t>NPV of allowances except tax (floor) during debt period</t>
  </si>
  <si>
    <t>Annuity of allowances except tax (floor) during debt tenor</t>
  </si>
  <si>
    <t>Annuitised allowances except tax (floor) during debt tenor</t>
  </si>
  <si>
    <t>Allowances except tax during debt tail period</t>
  </si>
  <si>
    <t>Debt tail requirement</t>
  </si>
  <si>
    <t>Year within tail requirement period</t>
  </si>
  <si>
    <t>Annuitised allowances except tax (floor) during tail period</t>
  </si>
  <si>
    <t>Tax deductions</t>
  </si>
  <si>
    <t>Inflation</t>
  </si>
  <si>
    <t>Forecast UK inflation uplift</t>
  </si>
  <si>
    <t>Total tax deductions - Notional cost of debt</t>
  </si>
  <si>
    <t>Revenue pool additions</t>
  </si>
  <si>
    <t>£m nominal</t>
  </si>
  <si>
    <t>Capital allowances</t>
  </si>
  <si>
    <t>Interest payable</t>
  </si>
  <si>
    <t>Total tax deductions</t>
  </si>
  <si>
    <t>Total tax deductions - Actual cost of debt</t>
  </si>
  <si>
    <t>Year within debt tenor or tail period</t>
  </si>
  <si>
    <t>Tax pools</t>
  </si>
  <si>
    <t>Revenue pool</t>
  </si>
  <si>
    <t>Capital allowance pool</t>
  </si>
  <si>
    <t>Opening balance brought forward</t>
  </si>
  <si>
    <t>Tax book value pre-depreciation</t>
  </si>
  <si>
    <t>Capital allowance (reducing balance)</t>
  </si>
  <si>
    <t>Write-back allowance</t>
  </si>
  <si>
    <t>Closing balance carried forward</t>
  </si>
  <si>
    <t>Interest - Notional cost of debt</t>
  </si>
  <si>
    <t>Cost of debt</t>
  </si>
  <si>
    <t>Expected UK RPI inflation</t>
  </si>
  <si>
    <t>nominal annual %</t>
  </si>
  <si>
    <t>Net debt</t>
  </si>
  <si>
    <t>Principal repayments</t>
  </si>
  <si>
    <t>Net interest paid</t>
  </si>
  <si>
    <t>Total</t>
  </si>
  <si>
    <t>Opening net debt</t>
  </si>
  <si>
    <t>Less principal repayment</t>
  </si>
  <si>
    <t>Closing net debt</t>
  </si>
  <si>
    <t>Unprofiled tax allowance (cap)</t>
  </si>
  <si>
    <t>Profits attributable to corporation tax</t>
  </si>
  <si>
    <t>£m nominal prices</t>
  </si>
  <si>
    <t>Less tax deductions</t>
  </si>
  <si>
    <t>Tax losses</t>
  </si>
  <si>
    <t>Taxable losses brought forward</t>
  </si>
  <si>
    <t>In-year taxable loss</t>
  </si>
  <si>
    <t>Profits used to offset losses</t>
  </si>
  <si>
    <t>Taxable losses carried forward</t>
  </si>
  <si>
    <t>Tax allowance</t>
  </si>
  <si>
    <t>Profits attributable to corporation tax (after taxable losses)</t>
  </si>
  <si>
    <t>Corporation tax charge after losses</t>
  </si>
  <si>
    <t>Grossing-up factor for tax on tax charge after losses</t>
  </si>
  <si>
    <t>Profiled tax allowance (cap)</t>
  </si>
  <si>
    <t>Discounted unprofiled tax allowance (cap)</t>
  </si>
  <si>
    <t>NPV of tax allowance (cap)</t>
  </si>
  <si>
    <t>Annuity of tax allowance (cap)</t>
  </si>
  <si>
    <t>Unprofiled tax allowance (notional floor)</t>
  </si>
  <si>
    <t>Unprofiled tax allowance (floor)</t>
  </si>
  <si>
    <t>Profiled tax allowance (notional floor)</t>
  </si>
  <si>
    <t>Discounted unprofiled tax allowance (floor)</t>
  </si>
  <si>
    <t>NPV of tax allowance (floor)</t>
  </si>
  <si>
    <t>Annuity of tax allowance (floor)</t>
  </si>
  <si>
    <t>Unprofiled tax allowance (actual floor)</t>
  </si>
  <si>
    <t>Profiled tax allowance (actual floor)</t>
  </si>
  <si>
    <t>Cap and floor levels and adjustments</t>
  </si>
  <si>
    <t>Cap and Notional Floor levels at FPA (Preliminary) / PCR (Final) and PCA adjustments at PCR</t>
  </si>
  <si>
    <t>Relevant stage: FPA for preliminary levels; PCR for final levels</t>
  </si>
  <si>
    <t>Cap at relevant stage excluding tax (calculated through the model)</t>
  </si>
  <si>
    <t>Floor at relevant stage excluding tax (calculated through the model)</t>
  </si>
  <si>
    <t>Cap at relevant stage - tax element (calculated through the model)</t>
  </si>
  <si>
    <t>Floor at relevant stage - tax element (calculated through the model)</t>
  </si>
  <si>
    <t>Cap at relevant stage - tax element (previously calculated through the model and fixed)</t>
  </si>
  <si>
    <t>Floor at relevant stage - tax element (previously calculated through the model and fixed)</t>
  </si>
  <si>
    <t>Cap at relevant stage including tax (calculated through the model)</t>
  </si>
  <si>
    <t>Floor at relevant stage including tax (calculated through the model)</t>
  </si>
  <si>
    <t>Preliminary Cap including tax (hardcoded at FPA)</t>
  </si>
  <si>
    <t>PCL</t>
  </si>
  <si>
    <t>Preliminary Floor including tax (hardcoded at FPA)</t>
  </si>
  <si>
    <t>PFL</t>
  </si>
  <si>
    <t>Cap PCA adjustment (at PCR)</t>
  </si>
  <si>
    <t>PCAC</t>
  </si>
  <si>
    <t>Floor PCA adjustment (at PCR)</t>
  </si>
  <si>
    <t>PCAF</t>
  </si>
  <si>
    <t xml:space="preserve">Actual floor level at FPA (Preliminary) / PCR (Final) </t>
  </si>
  <si>
    <t>Floor at relevant stage excluding tax during debt tenor and tail period (calculated through the model)</t>
  </si>
  <si>
    <t>Floor at relevant stage - tax element during debt tenor and tail period (calculated through the model)</t>
  </si>
  <si>
    <t>Floor at relevant stage - tax element during debt tenor and tail period (previously calculated through the model and fixed)</t>
  </si>
  <si>
    <t>Floor at relevant stage including tax during debt tenor and tail period (calculated through the model)</t>
  </si>
  <si>
    <t>Preliminary Floor including tax during debt tenor and tail period (hardcoded at FPA)</t>
  </si>
  <si>
    <t>Floor adjustment during debt tenor and tail period (at PCR)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</si>
</sst>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6">
    <numFmt numFmtId="43" formatCode="_-* #,##0.00_-;\-* #,##0.00_-;_-* &quot;-&quot;??_-;_-@_-"/>
    <numFmt numFmtId="164" formatCode="_(* #,##0.00_);_(* \(#,##0.00\);_(* &quot;-&quot;??_);_(@_)"/>
    <numFmt numFmtId="165" formatCode="&quot;£&quot;#,##0.00_);[Red]\(&quot;£&quot;#,##0.00\)"/>
    <numFmt numFmtId="166" formatCode="0.0"/>
    <numFmt numFmtId="167" formatCode="#,##0.0"/>
    <numFmt numFmtId="168" formatCode="0.0%"/>
    <numFmt numFmtId="169" formatCode="#,##0.0_);\(#,##0.0\);\-_)"/>
    <numFmt numFmtId="170" formatCode="dd\ mmm\ yyyy"/>
    <numFmt numFmtId="171" formatCode="#,##0_);\(#,##0\);\-_)"/>
    <numFmt numFmtId="172" formatCode="#,##0.00_);\(#,##0.00\);\-_)"/>
    <numFmt numFmtId="173" formatCode="yyyy"/>
    <numFmt numFmtId="174" formatCode="#,##0.0_ ;[Red]\-#,##0.0\ "/>
    <numFmt numFmtId="175" formatCode="#,##0.000"/>
    <numFmt numFmtId="176" formatCode="0.000"/>
    <numFmt numFmtId="177" formatCode="#,##0_);\(#,##0\);\-\ \ ;@"/>
    <numFmt numFmtId="178" formatCode="#,##0.0000_);\(#,##0.0000\);\-\ \ ;@"/>
    <numFmt numFmtId="179" formatCode="0.00%_);\-0.00%_);\-\ \ ;@"/>
    <numFmt numFmtId="180" formatCode="dd\-mmm\-yy_);;\-\ \ ;@"/>
    <numFmt numFmtId="181" formatCode="_-[$€-2]* #,##0.00_-;\-[$€-2]* #,##0.00_-;_-[$€-2]* &quot;-&quot;??_-"/>
    <numFmt numFmtId="182" formatCode="#,##0.000_);\(#,##0.000\);\-_)"/>
    <numFmt numFmtId="183" formatCode="#,##0_-;\(#,##0\);&quot;-&quot;"/>
    <numFmt numFmtId="184" formatCode="[Magenta]&quot;Err&quot;;[Magenta]&quot;Err&quot;;[Blue]&quot;OK&quot;"/>
    <numFmt numFmtId="185" formatCode="General\ &quot;.&quot;"/>
    <numFmt numFmtId="186" formatCode="#,##0_);[Red]\(#,##0\);\-_)"/>
    <numFmt numFmtId="187" formatCode="0.0_)%;[Red]\(0.0%\);0.0_)%"/>
    <numFmt numFmtId="188" formatCode="[Red][&gt;1]&quot;&gt;100 %&quot;;[Red]\(0.0%\);0.0_)%"/>
    <numFmt numFmtId="189" formatCode="_(* #,##0.000000_);_(* \(#,##0.000000\);_(* &quot;-&quot;??_);_(@_)"/>
    <numFmt numFmtId="190" formatCode="#,##0.0000"/>
    <numFmt numFmtId="191" formatCode="_(* #,##0.000_);_(* \(#,##0.000\);_(* &quot;-&quot;??_);_(@_)"/>
    <numFmt numFmtId="192" formatCode="#,##0.0000_);\(#,##0.0000\);\-_)"/>
    <numFmt numFmtId="193" formatCode="0.0000%"/>
    <numFmt numFmtId="194" formatCode="_(* #,##0.0000_);_(* \(#,##0.0000\);_(* &quot;-&quot;??_);_(@_)"/>
    <numFmt numFmtId="195" formatCode="_(* #,##0_);_(* \(#,##0\);_(* &quot;-&quot;??_);_(@_)"/>
    <numFmt numFmtId="196" formatCode="0.00%_);\-0.00%_);&quot;-  &quot;;&quot; &quot;@"/>
    <numFmt numFmtId="197" formatCode="0.000%"/>
    <numFmt numFmtId="198" formatCode="0.0000"/>
  </numFmts>
  <fonts count="99">
    <font>
      <sz val="10"/>
      <color theme="1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Verdana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0"/>
      <name val="Calibri"/>
      <family val="2"/>
      <scheme val="minor"/>
    </font>
    <font>
      <sz val="10"/>
      <color theme="4"/>
      <name val="Calibri"/>
      <family val="2"/>
      <scheme val="minor"/>
    </font>
    <font>
      <sz val="10"/>
      <color theme="0" tint="-4.9989318521683403E-2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name val="Calibri"/>
      <family val="2"/>
      <scheme val="minor"/>
    </font>
    <font>
      <b/>
      <i/>
      <sz val="1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0"/>
      <color indexed="9"/>
      <name val="Calibri"/>
      <family val="2"/>
      <scheme val="minor"/>
    </font>
    <font>
      <b/>
      <sz val="1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G Omega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Geneva"/>
      <family val="2"/>
    </font>
    <font>
      <sz val="10"/>
      <color indexed="8"/>
      <name val="Verdana"/>
      <family val="2"/>
    </font>
    <font>
      <sz val="10"/>
      <name val="Verdana"/>
      <family val="2"/>
    </font>
    <font>
      <sz val="10"/>
      <name val="Times New Roman"/>
      <family val="1"/>
    </font>
    <font>
      <u/>
      <sz val="11"/>
      <color indexed="48"/>
      <name val="CG Omega"/>
      <family val="2"/>
    </font>
    <font>
      <i/>
      <sz val="10"/>
      <color indexed="10"/>
      <name val="Arial"/>
      <family val="2"/>
    </font>
    <font>
      <sz val="10"/>
      <color theme="1"/>
      <name val="Calibri"/>
      <family val="2"/>
    </font>
    <font>
      <u/>
      <sz val="10"/>
      <color theme="10"/>
      <name val="Calibri"/>
      <family val="2"/>
    </font>
    <font>
      <sz val="10"/>
      <color theme="1"/>
      <name val="Arial"/>
      <family val="2"/>
    </font>
    <font>
      <sz val="11"/>
      <color theme="1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0"/>
      <color indexed="12"/>
      <name val="Arial"/>
      <family val="2"/>
    </font>
    <font>
      <sz val="11"/>
      <color indexed="17"/>
      <name val="Calibri"/>
      <family val="2"/>
    </font>
    <font>
      <b/>
      <sz val="10"/>
      <name val="Arial"/>
      <family val="2"/>
    </font>
    <font>
      <sz val="11"/>
      <color indexed="20"/>
      <name val="Calibri"/>
      <family val="2"/>
    </font>
    <font>
      <b/>
      <sz val="11"/>
      <color indexed="8"/>
      <name val="Calibri"/>
      <family val="2"/>
    </font>
    <font>
      <sz val="12"/>
      <name val="Times New Roman"/>
      <family val="1"/>
    </font>
    <font>
      <sz val="9"/>
      <color indexed="12"/>
      <name val="Arial"/>
      <family val="2"/>
    </font>
    <font>
      <b/>
      <sz val="8"/>
      <color indexed="12"/>
      <name val="Arial"/>
      <family val="2"/>
    </font>
    <font>
      <b/>
      <sz val="12"/>
      <color indexed="8"/>
      <name val="Arial"/>
      <family val="2"/>
    </font>
    <font>
      <b/>
      <sz val="10.5"/>
      <color indexed="8"/>
      <name val="Arial"/>
      <family val="2"/>
    </font>
    <font>
      <i/>
      <sz val="10"/>
      <color indexed="8"/>
      <name val="Arial"/>
      <family val="2"/>
    </font>
    <font>
      <i/>
      <sz val="11"/>
      <color indexed="23"/>
      <name val="Calibri"/>
      <family val="2"/>
    </font>
    <font>
      <sz val="11"/>
      <color indexed="6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4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b/>
      <sz val="8"/>
      <color indexed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i/>
      <sz val="12"/>
      <color indexed="8"/>
      <name val="Arial"/>
      <family val="2"/>
    </font>
    <font>
      <sz val="8"/>
      <color indexed="8"/>
      <name val="Arial"/>
      <family val="2"/>
    </font>
    <font>
      <sz val="19"/>
      <color indexed="48"/>
      <name val="Arial"/>
      <family val="2"/>
    </font>
    <font>
      <sz val="12"/>
      <color indexed="14"/>
      <name val="Arial"/>
      <family val="2"/>
    </font>
    <font>
      <b/>
      <sz val="18"/>
      <color indexed="62"/>
      <name val="Cambria"/>
      <family val="2"/>
    </font>
    <font>
      <b/>
      <sz val="11"/>
      <color indexed="63"/>
      <name val="Calibri"/>
      <family val="2"/>
    </font>
    <font>
      <u/>
      <sz val="8"/>
      <color indexed="12"/>
      <name val="Arial"/>
      <family val="2"/>
    </font>
    <font>
      <b/>
      <u/>
      <sz val="10"/>
      <name val="Calibri"/>
      <family val="2"/>
      <scheme val="minor"/>
    </font>
    <font>
      <b/>
      <sz val="10"/>
      <color theme="4"/>
      <name val="Calibri"/>
      <family val="2"/>
      <scheme val="minor"/>
    </font>
    <font>
      <sz val="10"/>
      <name val="Calibri"/>
      <family val="2"/>
    </font>
    <font>
      <b/>
      <i/>
      <sz val="10"/>
      <color theme="1"/>
      <name val="Calibri"/>
      <family val="2"/>
      <scheme val="minor"/>
    </font>
    <font>
      <sz val="10"/>
      <color theme="5" tint="0.59999389629810485"/>
      <name val="Calibri"/>
      <family val="2"/>
      <scheme val="minor"/>
    </font>
    <font>
      <b/>
      <sz val="11"/>
      <color theme="3"/>
      <name val="Verdana"/>
      <family val="2"/>
    </font>
    <font>
      <b/>
      <sz val="10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0"/>
      <color rgb="FF7030A0"/>
      <name val="Calibri"/>
      <family val="2"/>
      <scheme val="minor"/>
    </font>
    <font>
      <u/>
      <sz val="10"/>
      <color theme="1"/>
      <name val="Calibri"/>
      <family val="2"/>
      <scheme val="minor"/>
    </font>
    <font>
      <i/>
      <sz val="10"/>
      <color theme="4"/>
      <name val="Calibri"/>
      <family val="2"/>
      <scheme val="minor"/>
    </font>
    <font>
      <i/>
      <sz val="10"/>
      <name val="Calibri"/>
      <family val="2"/>
    </font>
    <font>
      <i/>
      <sz val="10"/>
      <color theme="5" tint="0.39997558519241921"/>
      <name val="Calibri"/>
      <family val="2"/>
      <scheme val="minor"/>
    </font>
    <font>
      <i/>
      <sz val="10"/>
      <color rgb="FFFF0000"/>
      <name val="Calibri"/>
      <family val="2"/>
      <scheme val="minor"/>
    </font>
    <font>
      <sz val="10"/>
      <color rgb="FF00B050"/>
      <name val="Calibri"/>
      <family val="2"/>
      <scheme val="minor"/>
    </font>
    <font>
      <sz val="10"/>
      <color rgb="FF00B050"/>
      <name val="Calibri"/>
      <family val="2"/>
    </font>
    <font>
      <sz val="8"/>
      <name val="Calibri"/>
      <family val="2"/>
    </font>
    <font>
      <b/>
      <sz val="10"/>
      <color rgb="FFFF0000"/>
      <name val="Calibri"/>
      <family val="2"/>
      <scheme val="minor"/>
    </font>
    <font>
      <sz val="10"/>
      <color theme="1" tint="4.9989318521683403E-2"/>
      <name val="Calibri"/>
      <family val="2"/>
      <scheme val="minor"/>
    </font>
    <font>
      <b/>
      <sz val="10"/>
      <color rgb="FF101011"/>
      <name val="Calibri"/>
      <family val="2"/>
      <scheme val="minor"/>
    </font>
  </fonts>
  <fills count="7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lightUp">
        <fgColor theme="0" tint="-0.24994659260841701"/>
        <bgColor indexed="6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22"/>
      </patternFill>
    </fill>
    <fill>
      <patternFill patternType="solid">
        <fgColor indexed="43"/>
        <bgColor indexed="64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1"/>
        <bgColor indexed="64"/>
      </patternFill>
    </fill>
    <fill>
      <patternFill patternType="lightUp">
        <fgColor indexed="48"/>
        <b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54"/>
      </patternFill>
    </fill>
    <fill>
      <patternFill patternType="solid">
        <fgColor indexed="23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9"/>
      </patternFill>
    </fill>
    <fill>
      <patternFill patternType="solid">
        <fgColor indexed="4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21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48"/>
      </top>
      <bottom style="thin">
        <color indexed="48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48"/>
      </top>
      <bottom style="thin">
        <color indexed="48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48"/>
      </top>
      <bottom style="thin">
        <color indexed="48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483">
    <xf numFmtId="0" fontId="0" fillId="0" borderId="0"/>
    <xf numFmtId="9" fontId="12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/>
    <xf numFmtId="0" fontId="29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1" fillId="0" borderId="0"/>
    <xf numFmtId="0" fontId="28" fillId="0" borderId="0"/>
    <xf numFmtId="0" fontId="28" fillId="0" borderId="0"/>
    <xf numFmtId="177" fontId="31" fillId="0" borderId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0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80" fontId="31" fillId="0" borderId="0"/>
    <xf numFmtId="181" fontId="36" fillId="0" borderId="0" applyFont="0" applyFill="0" applyBorder="0" applyAlignment="0" applyProtection="0"/>
    <xf numFmtId="0" fontId="32" fillId="0" borderId="0" applyFill="0" applyBorder="0" applyAlignment="0" applyProtection="0"/>
    <xf numFmtId="178" fontId="31" fillId="0" borderId="0"/>
    <xf numFmtId="0" fontId="37" fillId="10" borderId="0"/>
    <xf numFmtId="0" fontId="34" fillId="0" borderId="0"/>
    <xf numFmtId="0" fontId="31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6" fillId="0" borderId="0"/>
    <xf numFmtId="0" fontId="36" fillId="0" borderId="0"/>
    <xf numFmtId="0" fontId="30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5" fillId="0" borderId="0"/>
    <xf numFmtId="0" fontId="35" fillId="0" borderId="0"/>
    <xf numFmtId="0" fontId="34" fillId="0" borderId="0"/>
    <xf numFmtId="0" fontId="34" fillId="0" borderId="0"/>
    <xf numFmtId="0" fontId="34" fillId="0" borderId="0"/>
    <xf numFmtId="0" fontId="28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9" fontId="31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4" fillId="0" borderId="0" applyFont="0" applyFill="0" applyBorder="0" applyAlignment="0" applyProtection="0"/>
    <xf numFmtId="179" fontId="31" fillId="0" borderId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38" fillId="0" borderId="0"/>
    <xf numFmtId="0" fontId="33" fillId="0" borderId="0"/>
    <xf numFmtId="164" fontId="39" fillId="0" borderId="0" applyFont="0" applyFill="0" applyBorder="0" applyAlignment="0" applyProtection="0"/>
    <xf numFmtId="0" fontId="40" fillId="0" borderId="0" applyNumberFormat="0" applyFill="0" applyBorder="0" applyAlignment="0" applyProtection="0"/>
    <xf numFmtId="9" fontId="11" fillId="0" borderId="0" applyFont="0" applyFill="0" applyBorder="0" applyAlignment="0" applyProtection="0"/>
    <xf numFmtId="0" fontId="29" fillId="0" borderId="0"/>
    <xf numFmtId="177" fontId="29" fillId="0" borderId="0"/>
    <xf numFmtId="180" fontId="29" fillId="0" borderId="0"/>
    <xf numFmtId="178" fontId="29" fillId="0" borderId="0"/>
    <xf numFmtId="0" fontId="29" fillId="0" borderId="0"/>
    <xf numFmtId="9" fontId="29" fillId="0" borderId="0" applyFont="0" applyFill="0" applyBorder="0" applyAlignment="0" applyProtection="0"/>
    <xf numFmtId="179" fontId="29" fillId="0" borderId="0"/>
    <xf numFmtId="0" fontId="41" fillId="0" borderId="0"/>
    <xf numFmtId="0" fontId="10" fillId="0" borderId="0"/>
    <xf numFmtId="164" fontId="10" fillId="0" borderId="0" applyFont="0" applyFill="0" applyBorder="0" applyAlignment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9" fillId="0" borderId="0" applyFont="0" applyFill="0" applyBorder="0" applyAlignment="0" applyProtection="0"/>
    <xf numFmtId="0" fontId="29" fillId="0" borderId="0"/>
    <xf numFmtId="0" fontId="30" fillId="11" borderId="0" applyNumberFormat="0" applyBorder="0" applyAlignment="0" applyProtection="0"/>
    <xf numFmtId="0" fontId="30" fillId="12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11" borderId="0" applyNumberFormat="0" applyBorder="0" applyAlignment="0" applyProtection="0"/>
    <xf numFmtId="0" fontId="30" fillId="12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30" fillId="19" borderId="0" applyNumberFormat="0" applyBorder="0" applyAlignment="0" applyProtection="0"/>
    <xf numFmtId="0" fontId="30" fillId="14" borderId="0" applyNumberFormat="0" applyBorder="0" applyAlignment="0" applyProtection="0"/>
    <xf numFmtId="0" fontId="30" fillId="17" borderId="0" applyNumberFormat="0" applyBorder="0" applyAlignment="0" applyProtection="0"/>
    <xf numFmtId="0" fontId="30" fillId="20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30" fillId="19" borderId="0" applyNumberFormat="0" applyBorder="0" applyAlignment="0" applyProtection="0"/>
    <xf numFmtId="0" fontId="30" fillId="14" borderId="0" applyNumberFormat="0" applyBorder="0" applyAlignment="0" applyProtection="0"/>
    <xf numFmtId="0" fontId="30" fillId="17" borderId="0" applyNumberFormat="0" applyBorder="0" applyAlignment="0" applyProtection="0"/>
    <xf numFmtId="0" fontId="30" fillId="20" borderId="0" applyNumberFormat="0" applyBorder="0" applyAlignment="0" applyProtection="0"/>
    <xf numFmtId="0" fontId="43" fillId="21" borderId="0" applyNumberFormat="0" applyBorder="0" applyAlignment="0" applyProtection="0"/>
    <xf numFmtId="0" fontId="43" fillId="18" borderId="0" applyNumberFormat="0" applyBorder="0" applyAlignment="0" applyProtection="0"/>
    <xf numFmtId="0" fontId="43" fillId="19" borderId="0" applyNumberFormat="0" applyBorder="0" applyAlignment="0" applyProtection="0"/>
    <xf numFmtId="0" fontId="43" fillId="22" borderId="0" applyNumberFormat="0" applyBorder="0" applyAlignment="0" applyProtection="0"/>
    <xf numFmtId="0" fontId="43" fillId="23" borderId="0" applyNumberFormat="0" applyBorder="0" applyAlignment="0" applyProtection="0"/>
    <xf numFmtId="0" fontId="43" fillId="24" borderId="0" applyNumberFormat="0" applyBorder="0" applyAlignment="0" applyProtection="0"/>
    <xf numFmtId="0" fontId="43" fillId="21" borderId="0" applyNumberFormat="0" applyBorder="0" applyAlignment="0" applyProtection="0"/>
    <xf numFmtId="0" fontId="43" fillId="18" borderId="0" applyNumberFormat="0" applyBorder="0" applyAlignment="0" applyProtection="0"/>
    <xf numFmtId="0" fontId="43" fillId="19" borderId="0" applyNumberFormat="0" applyBorder="0" applyAlignment="0" applyProtection="0"/>
    <xf numFmtId="0" fontId="43" fillId="22" borderId="0" applyNumberFormat="0" applyBorder="0" applyAlignment="0" applyProtection="0"/>
    <xf numFmtId="0" fontId="43" fillId="23" borderId="0" applyNumberFormat="0" applyBorder="0" applyAlignment="0" applyProtection="0"/>
    <xf numFmtId="0" fontId="43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6" borderId="0" applyNumberFormat="0" applyBorder="0" applyAlignment="0" applyProtection="0"/>
    <xf numFmtId="0" fontId="43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43" fillId="30" borderId="0" applyNumberFormat="0" applyBorder="0" applyAlignment="0" applyProtection="0"/>
    <xf numFmtId="0" fontId="30" fillId="31" borderId="0" applyNumberFormat="0" applyBorder="0" applyAlignment="0" applyProtection="0"/>
    <xf numFmtId="0" fontId="30" fillId="32" borderId="0" applyNumberFormat="0" applyBorder="0" applyAlignment="0" applyProtection="0"/>
    <xf numFmtId="0" fontId="43" fillId="33" borderId="0" applyNumberFormat="0" applyBorder="0" applyAlignment="0" applyProtection="0"/>
    <xf numFmtId="0" fontId="30" fillId="28" borderId="0" applyNumberFormat="0" applyBorder="0" applyAlignment="0" applyProtection="0"/>
    <xf numFmtId="0" fontId="30" fillId="34" borderId="0" applyNumberFormat="0" applyBorder="0" applyAlignment="0" applyProtection="0"/>
    <xf numFmtId="0" fontId="43" fillId="29" borderId="0" applyNumberFormat="0" applyBorder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43" fillId="27" borderId="0" applyNumberFormat="0" applyBorder="0" applyAlignment="0" applyProtection="0"/>
    <xf numFmtId="0" fontId="30" fillId="37" borderId="0" applyNumberFormat="0" applyBorder="0" applyAlignment="0" applyProtection="0"/>
    <xf numFmtId="0" fontId="30" fillId="38" borderId="0" applyNumberFormat="0" applyBorder="0" applyAlignment="0" applyProtection="0"/>
    <xf numFmtId="0" fontId="43" fillId="39" borderId="0" applyNumberFormat="0" applyBorder="0" applyAlignment="0" applyProtection="0"/>
    <xf numFmtId="0" fontId="44" fillId="0" borderId="0" applyNumberFormat="0" applyFill="0" applyBorder="0" applyAlignment="0" applyProtection="0"/>
    <xf numFmtId="0" fontId="29" fillId="10" borderId="7" applyNumberFormat="0" applyFont="0" applyAlignment="0" applyProtection="0"/>
    <xf numFmtId="0" fontId="30" fillId="10" borderId="7" applyNumberFormat="0" applyFont="0" applyAlignment="0" applyProtection="0"/>
    <xf numFmtId="0" fontId="45" fillId="40" borderId="8" applyNumberFormat="0" applyAlignment="0" applyProtection="0"/>
    <xf numFmtId="0" fontId="45" fillId="40" borderId="8" applyNumberFormat="0" applyAlignment="0" applyProtection="0"/>
    <xf numFmtId="183" fontId="46" fillId="41" borderId="9" applyAlignment="0">
      <protection locked="0"/>
    </xf>
    <xf numFmtId="0" fontId="47" fillId="13" borderId="0" applyNumberFormat="0" applyBorder="0" applyAlignment="0" applyProtection="0"/>
    <xf numFmtId="37" fontId="48" fillId="0" borderId="1">
      <alignment horizontal="center"/>
    </xf>
    <xf numFmtId="37" fontId="48" fillId="0" borderId="0">
      <alignment horizontal="center" vertical="center" wrapText="1"/>
    </xf>
    <xf numFmtId="164" fontId="29" fillId="0" borderId="0" applyFont="0" applyFill="0" applyBorder="0" applyAlignment="0" applyProtection="0"/>
    <xf numFmtId="0" fontId="49" fillId="12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181" fontId="29" fillId="0" borderId="0" applyFont="0" applyFill="0" applyBorder="0" applyAlignment="0" applyProtection="0"/>
    <xf numFmtId="0" fontId="51" fillId="45" borderId="0" applyNumberFormat="0" applyFont="0" applyBorder="0" applyAlignment="0" applyProtection="0"/>
    <xf numFmtId="0" fontId="52" fillId="0" borderId="0" applyNumberFormat="0" applyFill="0" applyBorder="0" applyAlignment="0" applyProtection="0"/>
    <xf numFmtId="184" fontId="53" fillId="0" borderId="0" applyFill="0" applyBorder="0"/>
    <xf numFmtId="15" fontId="32" fillId="0" borderId="0" applyFill="0" applyBorder="0" applyProtection="0">
      <alignment horizontal="center"/>
    </xf>
    <xf numFmtId="0" fontId="51" fillId="12" borderId="0" applyNumberFormat="0" applyFont="0" applyBorder="0" applyAlignment="0" applyProtection="0"/>
    <xf numFmtId="185" fontId="54" fillId="40" borderId="6" applyAlignment="0" applyProtection="0"/>
    <xf numFmtId="186" fontId="55" fillId="0" borderId="0" applyNumberFormat="0" applyFill="0" applyBorder="0" applyAlignment="0" applyProtection="0"/>
    <xf numFmtId="186" fontId="56" fillId="0" borderId="0" applyNumberFormat="0" applyFill="0" applyBorder="0" applyAlignment="0" applyProtection="0"/>
    <xf numFmtId="15" fontId="46" fillId="46" borderId="10">
      <alignment horizontal="center"/>
      <protection locked="0"/>
    </xf>
    <xf numFmtId="187" fontId="46" fillId="46" borderId="10" applyAlignment="0">
      <protection locked="0"/>
    </xf>
    <xf numFmtId="186" fontId="46" fillId="46" borderId="10" applyAlignment="0">
      <protection locked="0"/>
    </xf>
    <xf numFmtId="186" fontId="32" fillId="0" borderId="0" applyFill="0" applyBorder="0" applyAlignment="0" applyProtection="0"/>
    <xf numFmtId="187" fontId="32" fillId="0" borderId="0" applyFill="0" applyBorder="0" applyAlignment="0" applyProtection="0"/>
    <xf numFmtId="188" fontId="32" fillId="0" borderId="0" applyFill="0" applyBorder="0" applyAlignment="0" applyProtection="0"/>
    <xf numFmtId="0" fontId="51" fillId="0" borderId="11" applyNumberFormat="0" applyFont="0" applyAlignment="0" applyProtection="0"/>
    <xf numFmtId="0" fontId="51" fillId="0" borderId="12" applyNumberFormat="0" applyFont="0" applyAlignment="0" applyProtection="0"/>
    <xf numFmtId="0" fontId="51" fillId="19" borderId="0" applyNumberFormat="0" applyFont="0" applyBorder="0" applyAlignment="0" applyProtection="0"/>
    <xf numFmtId="0" fontId="43" fillId="47" borderId="0" applyNumberFormat="0" applyBorder="0" applyAlignment="0" applyProtection="0"/>
    <xf numFmtId="0" fontId="43" fillId="48" borderId="0" applyNumberFormat="0" applyBorder="0" applyAlignment="0" applyProtection="0"/>
    <xf numFmtId="0" fontId="43" fillId="49" borderId="0" applyNumberFormat="0" applyBorder="0" applyAlignment="0" applyProtection="0"/>
    <xf numFmtId="0" fontId="43" fillId="22" borderId="0" applyNumberFormat="0" applyBorder="0" applyAlignment="0" applyProtection="0"/>
    <xf numFmtId="0" fontId="43" fillId="23" borderId="0" applyNumberFormat="0" applyBorder="0" applyAlignment="0" applyProtection="0"/>
    <xf numFmtId="0" fontId="43" fillId="50" borderId="0" applyNumberFormat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1" fillId="0" borderId="0" applyFont="0" applyFill="0" applyBorder="0" applyAlignment="0" applyProtection="0"/>
    <xf numFmtId="0" fontId="47" fillId="13" borderId="0" applyNumberFormat="0" applyBorder="0" applyAlignment="0" applyProtection="0"/>
    <xf numFmtId="0" fontId="58" fillId="16" borderId="8" applyNumberFormat="0" applyAlignment="0" applyProtection="0"/>
    <xf numFmtId="0" fontId="59" fillId="45" borderId="13" applyNumberFormat="0" applyAlignment="0" applyProtection="0"/>
    <xf numFmtId="0" fontId="59" fillId="45" borderId="13" applyNumberFormat="0" applyAlignment="0" applyProtection="0"/>
    <xf numFmtId="0" fontId="60" fillId="0" borderId="14" applyNumberFormat="0" applyFill="0" applyAlignment="0" applyProtection="0"/>
    <xf numFmtId="37" fontId="61" fillId="0" borderId="0"/>
    <xf numFmtId="0" fontId="43" fillId="47" borderId="0" applyNumberFormat="0" applyBorder="0" applyAlignment="0" applyProtection="0"/>
    <xf numFmtId="0" fontId="43" fillId="48" borderId="0" applyNumberFormat="0" applyBorder="0" applyAlignment="0" applyProtection="0"/>
    <xf numFmtId="0" fontId="43" fillId="49" borderId="0" applyNumberFormat="0" applyBorder="0" applyAlignment="0" applyProtection="0"/>
    <xf numFmtId="0" fontId="43" fillId="22" borderId="0" applyNumberFormat="0" applyBorder="0" applyAlignment="0" applyProtection="0"/>
    <xf numFmtId="0" fontId="43" fillId="23" borderId="0" applyNumberFormat="0" applyBorder="0" applyAlignment="0" applyProtection="0"/>
    <xf numFmtId="0" fontId="43" fillId="50" borderId="0" applyNumberFormat="0" applyBorder="0" applyAlignment="0" applyProtection="0"/>
    <xf numFmtId="186" fontId="29" fillId="45" borderId="0"/>
    <xf numFmtId="186" fontId="52" fillId="0" borderId="0"/>
    <xf numFmtId="184" fontId="53" fillId="0" borderId="0"/>
    <xf numFmtId="15" fontId="32" fillId="0" borderId="0">
      <alignment horizontal="center"/>
    </xf>
    <xf numFmtId="186" fontId="29" fillId="12" borderId="0"/>
    <xf numFmtId="185" fontId="54" fillId="40" borderId="6"/>
    <xf numFmtId="186" fontId="55" fillId="0" borderId="0"/>
    <xf numFmtId="186" fontId="56" fillId="0" borderId="0"/>
    <xf numFmtId="15" fontId="46" fillId="46" borderId="10">
      <alignment horizontal="center"/>
      <protection locked="0"/>
    </xf>
    <xf numFmtId="187" fontId="46" fillId="46" borderId="10">
      <protection locked="0"/>
    </xf>
    <xf numFmtId="186" fontId="46" fillId="46" borderId="10">
      <protection locked="0"/>
    </xf>
    <xf numFmtId="186" fontId="32" fillId="0" borderId="0"/>
    <xf numFmtId="187" fontId="32" fillId="0" borderId="0"/>
    <xf numFmtId="188" fontId="32" fillId="0" borderId="0"/>
    <xf numFmtId="186" fontId="29" fillId="0" borderId="11"/>
    <xf numFmtId="186" fontId="29" fillId="0" borderId="12"/>
    <xf numFmtId="186" fontId="29" fillId="19" borderId="0"/>
    <xf numFmtId="0" fontId="29" fillId="0" borderId="0"/>
    <xf numFmtId="0" fontId="62" fillId="0" borderId="15" applyNumberFormat="0" applyFill="0" applyAlignment="0" applyProtection="0"/>
    <xf numFmtId="0" fontId="63" fillId="0" borderId="16" applyNumberFormat="0" applyFill="0" applyAlignment="0" applyProtection="0"/>
    <xf numFmtId="0" fontId="64" fillId="0" borderId="17" applyNumberFormat="0" applyFill="0" applyAlignment="0" applyProtection="0"/>
    <xf numFmtId="0" fontId="64" fillId="0" borderId="0" applyNumberFormat="0" applyFill="0" applyBorder="0" applyAlignment="0" applyProtection="0"/>
    <xf numFmtId="9" fontId="30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65" fillId="0" borderId="0" applyNumberFormat="0" applyFill="0" applyBorder="0" applyAlignment="0" applyProtection="0"/>
    <xf numFmtId="0" fontId="62" fillId="0" borderId="15" applyNumberFormat="0" applyFill="0" applyAlignment="0" applyProtection="0"/>
    <xf numFmtId="0" fontId="63" fillId="0" borderId="16" applyNumberFormat="0" applyFill="0" applyAlignment="0" applyProtection="0"/>
    <xf numFmtId="0" fontId="64" fillId="0" borderId="17" applyNumberFormat="0" applyFill="0" applyAlignment="0" applyProtection="0"/>
    <xf numFmtId="0" fontId="64" fillId="0" borderId="0" applyNumberFormat="0" applyFill="0" applyBorder="0" applyAlignment="0" applyProtection="0"/>
    <xf numFmtId="0" fontId="60" fillId="0" borderId="14" applyNumberFormat="0" applyFill="0" applyAlignment="0" applyProtection="0"/>
    <xf numFmtId="4" fontId="54" fillId="41" borderId="18" applyNumberFormat="0" applyProtection="0">
      <alignment vertical="center"/>
    </xf>
    <xf numFmtId="4" fontId="66" fillId="41" borderId="18" applyNumberFormat="0" applyProtection="0">
      <alignment vertical="center"/>
    </xf>
    <xf numFmtId="4" fontId="67" fillId="41" borderId="18" applyNumberFormat="0" applyProtection="0">
      <alignment horizontal="left" vertical="center" indent="1"/>
    </xf>
    <xf numFmtId="0" fontId="68" fillId="46" borderId="18" applyNumberFormat="0" applyProtection="0">
      <alignment horizontal="left" vertical="top" indent="1"/>
    </xf>
    <xf numFmtId="4" fontId="67" fillId="51" borderId="0" applyNumberFormat="0" applyProtection="0">
      <alignment horizontal="left" vertical="center" indent="1"/>
    </xf>
    <xf numFmtId="4" fontId="67" fillId="52" borderId="18" applyNumberFormat="0" applyProtection="0">
      <alignment horizontal="right" vertical="center"/>
    </xf>
    <xf numFmtId="4" fontId="67" fillId="53" borderId="18" applyNumberFormat="0" applyProtection="0">
      <alignment horizontal="right" vertical="center"/>
    </xf>
    <xf numFmtId="4" fontId="67" fillId="54" borderId="18" applyNumberFormat="0" applyProtection="0">
      <alignment horizontal="right" vertical="center"/>
    </xf>
    <xf numFmtId="4" fontId="67" fillId="55" borderId="18" applyNumberFormat="0" applyProtection="0">
      <alignment horizontal="right" vertical="center"/>
    </xf>
    <xf numFmtId="4" fontId="67" fillId="56" borderId="18" applyNumberFormat="0" applyProtection="0">
      <alignment horizontal="right" vertical="center"/>
    </xf>
    <xf numFmtId="4" fontId="67" fillId="57" borderId="18" applyNumberFormat="0" applyProtection="0">
      <alignment horizontal="right" vertical="center"/>
    </xf>
    <xf numFmtId="4" fontId="67" fillId="58" borderId="18" applyNumberFormat="0" applyProtection="0">
      <alignment horizontal="right" vertical="center"/>
    </xf>
    <xf numFmtId="4" fontId="67" fillId="59" borderId="18" applyNumberFormat="0" applyProtection="0">
      <alignment horizontal="right" vertical="center"/>
    </xf>
    <xf numFmtId="4" fontId="67" fillId="60" borderId="18" applyNumberFormat="0" applyProtection="0">
      <alignment horizontal="right" vertical="center"/>
    </xf>
    <xf numFmtId="4" fontId="54" fillId="61" borderId="19" applyNumberFormat="0" applyProtection="0">
      <alignment horizontal="left" vertical="center" indent="1"/>
    </xf>
    <xf numFmtId="4" fontId="54" fillId="62" borderId="0" applyNumberFormat="0" applyProtection="0">
      <alignment horizontal="left" vertical="center" indent="1"/>
    </xf>
    <xf numFmtId="4" fontId="54" fillId="51" borderId="0" applyNumberFormat="0" applyProtection="0">
      <alignment horizontal="left" vertical="center" indent="1"/>
    </xf>
    <xf numFmtId="4" fontId="67" fillId="62" borderId="18" applyNumberFormat="0" applyProtection="0">
      <alignment horizontal="right" vertical="center"/>
    </xf>
    <xf numFmtId="4" fontId="32" fillId="62" borderId="0" applyNumberFormat="0" applyProtection="0">
      <alignment horizontal="left" vertical="center" indent="1"/>
    </xf>
    <xf numFmtId="4" fontId="32" fillId="51" borderId="0" applyNumberFormat="0" applyProtection="0">
      <alignment horizontal="left" vertical="center" indent="1"/>
    </xf>
    <xf numFmtId="0" fontId="69" fillId="40" borderId="20" applyNumberFormat="0" applyProtection="0">
      <alignment horizontal="left" vertical="center" indent="1"/>
    </xf>
    <xf numFmtId="0" fontId="69" fillId="63" borderId="18" applyNumberFormat="0" applyProtection="0">
      <alignment horizontal="left" vertical="top" indent="1"/>
    </xf>
    <xf numFmtId="0" fontId="69" fillId="64" borderId="20" applyNumberFormat="0" applyProtection="0">
      <alignment horizontal="left" vertical="center" indent="1"/>
    </xf>
    <xf numFmtId="0" fontId="69" fillId="65" borderId="18" applyNumberFormat="0" applyProtection="0">
      <alignment horizontal="left" vertical="top" indent="1"/>
    </xf>
    <xf numFmtId="0" fontId="69" fillId="17" borderId="20" applyNumberFormat="0" applyProtection="0">
      <alignment horizontal="left" vertical="center" indent="1"/>
    </xf>
    <xf numFmtId="0" fontId="69" fillId="17" borderId="18" applyNumberFormat="0" applyProtection="0">
      <alignment horizontal="left" vertical="top" indent="1"/>
    </xf>
    <xf numFmtId="0" fontId="69" fillId="66" borderId="20" applyNumberFormat="0" applyProtection="0">
      <alignment horizontal="left" vertical="center" indent="1"/>
    </xf>
    <xf numFmtId="0" fontId="69" fillId="66" borderId="18" applyNumberFormat="0" applyProtection="0">
      <alignment horizontal="left" vertical="top" indent="1"/>
    </xf>
    <xf numFmtId="0" fontId="69" fillId="67" borderId="21" applyNumberFormat="0">
      <protection locked="0"/>
    </xf>
    <xf numFmtId="0" fontId="70" fillId="63" borderId="22" applyBorder="0"/>
    <xf numFmtId="4" fontId="67" fillId="68" borderId="18" applyNumberFormat="0" applyProtection="0">
      <alignment vertical="center"/>
    </xf>
    <xf numFmtId="4" fontId="71" fillId="68" borderId="18" applyNumberFormat="0" applyProtection="0">
      <alignment vertical="center"/>
    </xf>
    <xf numFmtId="4" fontId="54" fillId="62" borderId="23" applyNumberFormat="0" applyProtection="0">
      <alignment horizontal="left" vertical="center" indent="1"/>
    </xf>
    <xf numFmtId="0" fontId="72" fillId="10" borderId="18" applyNumberFormat="0" applyProtection="0">
      <alignment horizontal="left" vertical="top" indent="1"/>
    </xf>
    <xf numFmtId="4" fontId="67" fillId="68" borderId="18" applyNumberFormat="0" applyProtection="0">
      <alignment horizontal="right" vertical="center"/>
    </xf>
    <xf numFmtId="4" fontId="71" fillId="68" borderId="18" applyNumberFormat="0" applyProtection="0">
      <alignment horizontal="right" vertical="center"/>
    </xf>
    <xf numFmtId="4" fontId="54" fillId="62" borderId="18" applyNumberFormat="0" applyProtection="0">
      <alignment horizontal="left" vertical="center" indent="1"/>
    </xf>
    <xf numFmtId="0" fontId="72" fillId="65" borderId="18" applyNumberFormat="0" applyProtection="0">
      <alignment horizontal="left" vertical="top" indent="1"/>
    </xf>
    <xf numFmtId="4" fontId="73" fillId="69" borderId="23" applyNumberFormat="0" applyProtection="0">
      <alignment horizontal="left" vertical="center" indent="1"/>
    </xf>
    <xf numFmtId="0" fontId="69" fillId="70" borderId="9"/>
    <xf numFmtId="4" fontId="74" fillId="68" borderId="18" applyNumberFormat="0" applyProtection="0">
      <alignment horizontal="right" vertical="center"/>
    </xf>
    <xf numFmtId="0" fontId="75" fillId="0" borderId="0" applyNumberFormat="0" applyFill="0" applyBorder="0" applyAlignment="0" applyProtection="0"/>
    <xf numFmtId="0" fontId="29" fillId="0" borderId="0"/>
    <xf numFmtId="37" fontId="48" fillId="0" borderId="24" applyNumberFormat="0"/>
    <xf numFmtId="0" fontId="50" fillId="0" borderId="25" applyNumberFormat="0" applyFill="0" applyAlignment="0" applyProtection="0"/>
    <xf numFmtId="49" fontId="51" fillId="0" borderId="0" applyFont="0" applyFill="0" applyBorder="0" applyAlignment="0" applyProtection="0"/>
    <xf numFmtId="0" fontId="65" fillId="0" borderId="0" applyNumberFormat="0" applyFill="0" applyBorder="0" applyAlignment="0" applyProtection="0"/>
    <xf numFmtId="37" fontId="48" fillId="0" borderId="26" applyNumberFormat="0" applyFill="0"/>
    <xf numFmtId="0" fontId="49" fillId="12" borderId="0" applyNumberFormat="0" applyBorder="0" applyAlignment="0" applyProtection="0"/>
    <xf numFmtId="0" fontId="76" fillId="40" borderId="27" applyNumberFormat="0" applyAlignment="0" applyProtection="0"/>
    <xf numFmtId="0" fontId="44" fillId="0" borderId="0" applyNumberFormat="0" applyFill="0" applyBorder="0" applyAlignment="0" applyProtection="0"/>
    <xf numFmtId="9" fontId="41" fillId="0" borderId="0" applyFont="0" applyFill="0" applyBorder="0" applyAlignment="0" applyProtection="0"/>
    <xf numFmtId="0" fontId="77" fillId="0" borderId="0" applyNumberFormat="0" applyFill="0" applyBorder="0" applyAlignment="0" applyProtection="0">
      <alignment vertical="top"/>
      <protection locked="0"/>
    </xf>
    <xf numFmtId="0" fontId="30" fillId="11" borderId="0" applyNumberFormat="0" applyBorder="0" applyAlignment="0" applyProtection="0"/>
    <xf numFmtId="0" fontId="30" fillId="12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30" fillId="19" borderId="0" applyNumberFormat="0" applyBorder="0" applyAlignment="0" applyProtection="0"/>
    <xf numFmtId="0" fontId="30" fillId="14" borderId="0" applyNumberFormat="0" applyBorder="0" applyAlignment="0" applyProtection="0"/>
    <xf numFmtId="0" fontId="30" fillId="17" borderId="0" applyNumberFormat="0" applyBorder="0" applyAlignment="0" applyProtection="0"/>
    <xf numFmtId="0" fontId="30" fillId="20" borderId="0" applyNumberFormat="0" applyBorder="0" applyAlignment="0" applyProtection="0"/>
    <xf numFmtId="0" fontId="29" fillId="0" borderId="0"/>
    <xf numFmtId="0" fontId="29" fillId="0" borderId="0"/>
    <xf numFmtId="0" fontId="29" fillId="0" borderId="0"/>
    <xf numFmtId="0" fontId="30" fillId="10" borderId="7" applyNumberFormat="0" applyFont="0" applyAlignment="0" applyProtection="0"/>
    <xf numFmtId="0" fontId="30" fillId="10" borderId="7" applyNumberFormat="0" applyFont="0" applyAlignment="0" applyProtection="0"/>
    <xf numFmtId="0" fontId="9" fillId="0" borderId="0"/>
    <xf numFmtId="0" fontId="9" fillId="0" borderId="0"/>
    <xf numFmtId="16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9" fillId="0" borderId="0"/>
    <xf numFmtId="0" fontId="42" fillId="0" borderId="0"/>
    <xf numFmtId="164" fontId="41" fillId="0" borderId="0" applyFont="0" applyFill="0" applyBorder="0" applyAlignment="0" applyProtection="0"/>
    <xf numFmtId="186" fontId="29" fillId="0" borderId="0" applyFill="0" applyBorder="0" applyAlignment="0" applyProtection="0"/>
    <xf numFmtId="186" fontId="29" fillId="0" borderId="0" applyFill="0" applyBorder="0" applyAlignment="0" applyProtection="0"/>
    <xf numFmtId="186" fontId="29" fillId="0" borderId="0" applyFill="0" applyBorder="0" applyAlignment="0" applyProtection="0"/>
    <xf numFmtId="186" fontId="29" fillId="0" borderId="0" applyFill="0" applyBorder="0" applyAlignment="0" applyProtection="0"/>
    <xf numFmtId="186" fontId="29" fillId="0" borderId="0" applyFill="0" applyBorder="0" applyAlignment="0" applyProtection="0"/>
    <xf numFmtId="186" fontId="29" fillId="0" borderId="0" applyFill="0" applyBorder="0" applyAlignment="0" applyProtection="0"/>
    <xf numFmtId="0" fontId="8" fillId="0" borderId="0"/>
    <xf numFmtId="186" fontId="29" fillId="0" borderId="0" applyFill="0" applyBorder="0" applyAlignment="0" applyProtection="0"/>
    <xf numFmtId="186" fontId="29" fillId="0" borderId="0" applyFill="0" applyBorder="0" applyAlignment="0" applyProtection="0"/>
    <xf numFmtId="186" fontId="29" fillId="0" borderId="0" applyFill="0" applyBorder="0" applyAlignment="0" applyProtection="0"/>
    <xf numFmtId="186" fontId="29" fillId="0" borderId="0" applyFill="0" applyBorder="0" applyAlignment="0" applyProtection="0"/>
    <xf numFmtId="186" fontId="29" fillId="0" borderId="0" applyFill="0" applyBorder="0" applyAlignment="0" applyProtection="0"/>
    <xf numFmtId="186" fontId="29" fillId="0" borderId="0" applyFill="0" applyBorder="0" applyAlignment="0" applyProtection="0"/>
    <xf numFmtId="186" fontId="29" fillId="0" borderId="0" applyFill="0" applyBorder="0" applyAlignment="0" applyProtection="0"/>
    <xf numFmtId="15" fontId="46" fillId="46" borderId="10">
      <alignment horizontal="center"/>
      <protection locked="0"/>
    </xf>
    <xf numFmtId="186" fontId="29" fillId="0" borderId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5" fontId="46" fillId="46" borderId="28">
      <alignment horizontal="center"/>
      <protection locked="0"/>
    </xf>
    <xf numFmtId="187" fontId="46" fillId="46" borderId="28" applyAlignment="0">
      <protection locked="0"/>
    </xf>
    <xf numFmtId="186" fontId="46" fillId="46" borderId="28" applyAlignment="0">
      <protection locked="0"/>
    </xf>
    <xf numFmtId="15" fontId="46" fillId="46" borderId="28">
      <alignment horizontal="center"/>
      <protection locked="0"/>
    </xf>
    <xf numFmtId="187" fontId="46" fillId="46" borderId="28">
      <protection locked="0"/>
    </xf>
    <xf numFmtId="186" fontId="46" fillId="46" borderId="28">
      <protection locked="0"/>
    </xf>
    <xf numFmtId="9" fontId="6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0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9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4" fontId="67" fillId="62" borderId="48" applyNumberFormat="0" applyProtection="0">
      <alignment horizontal="right" vertical="center"/>
    </xf>
    <xf numFmtId="4" fontId="67" fillId="60" borderId="48" applyNumberFormat="0" applyProtection="0">
      <alignment horizontal="right" vertical="center"/>
    </xf>
    <xf numFmtId="4" fontId="67" fillId="59" borderId="48" applyNumberFormat="0" applyProtection="0">
      <alignment horizontal="right" vertical="center"/>
    </xf>
    <xf numFmtId="4" fontId="67" fillId="58" borderId="48" applyNumberFormat="0" applyProtection="0">
      <alignment horizontal="right" vertical="center"/>
    </xf>
    <xf numFmtId="4" fontId="67" fillId="57" borderId="48" applyNumberFormat="0" applyProtection="0">
      <alignment horizontal="right" vertical="center"/>
    </xf>
    <xf numFmtId="4" fontId="67" fillId="56" borderId="48" applyNumberFormat="0" applyProtection="0">
      <alignment horizontal="right" vertical="center"/>
    </xf>
    <xf numFmtId="4" fontId="67" fillId="55" borderId="48" applyNumberFormat="0" applyProtection="0">
      <alignment horizontal="right" vertical="center"/>
    </xf>
    <xf numFmtId="4" fontId="67" fillId="54" borderId="48" applyNumberFormat="0" applyProtection="0">
      <alignment horizontal="right" vertical="center"/>
    </xf>
    <xf numFmtId="4" fontId="67" fillId="53" borderId="48" applyNumberFormat="0" applyProtection="0">
      <alignment horizontal="right" vertical="center"/>
    </xf>
    <xf numFmtId="4" fontId="67" fillId="52" borderId="48" applyNumberFormat="0" applyProtection="0">
      <alignment horizontal="right" vertical="center"/>
    </xf>
    <xf numFmtId="0" fontId="68" fillId="46" borderId="48" applyNumberFormat="0" applyProtection="0">
      <alignment horizontal="left" vertical="top" indent="1"/>
    </xf>
    <xf numFmtId="4" fontId="67" fillId="41" borderId="48" applyNumberFormat="0" applyProtection="0">
      <alignment horizontal="left" vertical="center" indent="1"/>
    </xf>
    <xf numFmtId="4" fontId="66" fillId="41" borderId="48" applyNumberFormat="0" applyProtection="0">
      <alignment vertical="center"/>
    </xf>
    <xf numFmtId="4" fontId="54" fillId="41" borderId="48" applyNumberFormat="0" applyProtection="0">
      <alignment vertical="center"/>
    </xf>
    <xf numFmtId="186" fontId="29" fillId="0" borderId="47"/>
    <xf numFmtId="186" fontId="29" fillId="0" borderId="46"/>
    <xf numFmtId="185" fontId="54" fillId="40" borderId="43"/>
    <xf numFmtId="0" fontId="58" fillId="16" borderId="45" applyNumberFormat="0" applyAlignment="0" applyProtection="0"/>
    <xf numFmtId="0" fontId="51" fillId="0" borderId="47" applyNumberFormat="0" applyFont="0" applyAlignment="0" applyProtection="0"/>
    <xf numFmtId="0" fontId="51" fillId="0" borderId="46" applyNumberFormat="0" applyFont="0" applyAlignment="0" applyProtection="0"/>
    <xf numFmtId="185" fontId="54" fillId="40" borderId="43" applyAlignment="0" applyProtection="0"/>
    <xf numFmtId="0" fontId="45" fillId="40" borderId="45" applyNumberFormat="0" applyAlignment="0" applyProtection="0"/>
    <xf numFmtId="0" fontId="45" fillId="40" borderId="45" applyNumberFormat="0" applyAlignment="0" applyProtection="0"/>
    <xf numFmtId="0" fontId="30" fillId="10" borderId="44" applyNumberFormat="0" applyFont="0" applyAlignment="0" applyProtection="0"/>
    <xf numFmtId="0" fontId="29" fillId="10" borderId="44" applyNumberFormat="0" applyFont="0" applyAlignment="0" applyProtection="0"/>
    <xf numFmtId="0" fontId="29" fillId="10" borderId="32" applyNumberFormat="0" applyFont="0" applyAlignment="0" applyProtection="0"/>
    <xf numFmtId="0" fontId="30" fillId="10" borderId="32" applyNumberFormat="0" applyFont="0" applyAlignment="0" applyProtection="0"/>
    <xf numFmtId="0" fontId="45" fillId="40" borderId="33" applyNumberFormat="0" applyAlignment="0" applyProtection="0"/>
    <xf numFmtId="0" fontId="45" fillId="40" borderId="33" applyNumberFormat="0" applyAlignment="0" applyProtection="0"/>
    <xf numFmtId="164" fontId="29" fillId="0" borderId="0" applyFont="0" applyFill="0" applyBorder="0" applyAlignment="0" applyProtection="0"/>
    <xf numFmtId="185" fontId="54" fillId="40" borderId="29" applyAlignment="0" applyProtection="0"/>
    <xf numFmtId="0" fontId="51" fillId="0" borderId="34" applyNumberFormat="0" applyFont="0" applyAlignment="0" applyProtection="0"/>
    <xf numFmtId="0" fontId="51" fillId="0" borderId="35" applyNumberFormat="0" applyFont="0" applyAlignment="0" applyProtection="0"/>
    <xf numFmtId="0" fontId="58" fillId="16" borderId="33" applyNumberFormat="0" applyAlignment="0" applyProtection="0"/>
    <xf numFmtId="185" fontId="54" fillId="40" borderId="29"/>
    <xf numFmtId="186" fontId="29" fillId="0" borderId="34"/>
    <xf numFmtId="186" fontId="29" fillId="0" borderId="35"/>
    <xf numFmtId="4" fontId="54" fillId="41" borderId="36" applyNumberFormat="0" applyProtection="0">
      <alignment vertical="center"/>
    </xf>
    <xf numFmtId="4" fontId="66" fillId="41" borderId="36" applyNumberFormat="0" applyProtection="0">
      <alignment vertical="center"/>
    </xf>
    <xf numFmtId="4" fontId="67" fillId="41" borderId="36" applyNumberFormat="0" applyProtection="0">
      <alignment horizontal="left" vertical="center" indent="1"/>
    </xf>
    <xf numFmtId="0" fontId="68" fillId="46" borderId="36" applyNumberFormat="0" applyProtection="0">
      <alignment horizontal="left" vertical="top" indent="1"/>
    </xf>
    <xf numFmtId="4" fontId="67" fillId="52" borderId="36" applyNumberFormat="0" applyProtection="0">
      <alignment horizontal="right" vertical="center"/>
    </xf>
    <xf numFmtId="4" fontId="67" fillId="53" borderId="36" applyNumberFormat="0" applyProtection="0">
      <alignment horizontal="right" vertical="center"/>
    </xf>
    <xf numFmtId="4" fontId="67" fillId="54" borderId="36" applyNumberFormat="0" applyProtection="0">
      <alignment horizontal="right" vertical="center"/>
    </xf>
    <xf numFmtId="4" fontId="67" fillId="55" borderId="36" applyNumberFormat="0" applyProtection="0">
      <alignment horizontal="right" vertical="center"/>
    </xf>
    <xf numFmtId="4" fontId="67" fillId="56" borderId="36" applyNumberFormat="0" applyProtection="0">
      <alignment horizontal="right" vertical="center"/>
    </xf>
    <xf numFmtId="4" fontId="67" fillId="57" borderId="36" applyNumberFormat="0" applyProtection="0">
      <alignment horizontal="right" vertical="center"/>
    </xf>
    <xf numFmtId="4" fontId="67" fillId="58" borderId="36" applyNumberFormat="0" applyProtection="0">
      <alignment horizontal="right" vertical="center"/>
    </xf>
    <xf numFmtId="4" fontId="67" fillId="59" borderId="36" applyNumberFormat="0" applyProtection="0">
      <alignment horizontal="right" vertical="center"/>
    </xf>
    <xf numFmtId="4" fontId="67" fillId="60" borderId="36" applyNumberFormat="0" applyProtection="0">
      <alignment horizontal="right" vertical="center"/>
    </xf>
    <xf numFmtId="4" fontId="67" fillId="62" borderId="36" applyNumberFormat="0" applyProtection="0">
      <alignment horizontal="right" vertical="center"/>
    </xf>
    <xf numFmtId="0" fontId="69" fillId="40" borderId="37" applyNumberFormat="0" applyProtection="0">
      <alignment horizontal="left" vertical="center" indent="1"/>
    </xf>
    <xf numFmtId="0" fontId="69" fillId="63" borderId="36" applyNumberFormat="0" applyProtection="0">
      <alignment horizontal="left" vertical="top" indent="1"/>
    </xf>
    <xf numFmtId="0" fontId="69" fillId="64" borderId="37" applyNumberFormat="0" applyProtection="0">
      <alignment horizontal="left" vertical="center" indent="1"/>
    </xf>
    <xf numFmtId="0" fontId="69" fillId="65" borderId="36" applyNumberFormat="0" applyProtection="0">
      <alignment horizontal="left" vertical="top" indent="1"/>
    </xf>
    <xf numFmtId="0" fontId="69" fillId="17" borderId="37" applyNumberFormat="0" applyProtection="0">
      <alignment horizontal="left" vertical="center" indent="1"/>
    </xf>
    <xf numFmtId="0" fontId="69" fillId="17" borderId="36" applyNumberFormat="0" applyProtection="0">
      <alignment horizontal="left" vertical="top" indent="1"/>
    </xf>
    <xf numFmtId="0" fontId="69" fillId="66" borderId="37" applyNumberFormat="0" applyProtection="0">
      <alignment horizontal="left" vertical="center" indent="1"/>
    </xf>
    <xf numFmtId="0" fontId="69" fillId="66" borderId="36" applyNumberFormat="0" applyProtection="0">
      <alignment horizontal="left" vertical="top" indent="1"/>
    </xf>
    <xf numFmtId="0" fontId="70" fillId="63" borderId="38" applyBorder="0"/>
    <xf numFmtId="4" fontId="67" fillId="68" borderId="36" applyNumberFormat="0" applyProtection="0">
      <alignment vertical="center"/>
    </xf>
    <xf numFmtId="4" fontId="71" fillId="68" borderId="36" applyNumberFormat="0" applyProtection="0">
      <alignment vertical="center"/>
    </xf>
    <xf numFmtId="4" fontId="54" fillId="62" borderId="39" applyNumberFormat="0" applyProtection="0">
      <alignment horizontal="left" vertical="center" indent="1"/>
    </xf>
    <xf numFmtId="0" fontId="72" fillId="10" borderId="36" applyNumberFormat="0" applyProtection="0">
      <alignment horizontal="left" vertical="top" indent="1"/>
    </xf>
    <xf numFmtId="4" fontId="67" fillId="68" borderId="36" applyNumberFormat="0" applyProtection="0">
      <alignment horizontal="right" vertical="center"/>
    </xf>
    <xf numFmtId="4" fontId="71" fillId="68" borderId="36" applyNumberFormat="0" applyProtection="0">
      <alignment horizontal="right" vertical="center"/>
    </xf>
    <xf numFmtId="4" fontId="54" fillId="62" borderId="36" applyNumberFormat="0" applyProtection="0">
      <alignment horizontal="left" vertical="center" indent="1"/>
    </xf>
    <xf numFmtId="0" fontId="72" fillId="65" borderId="36" applyNumberFormat="0" applyProtection="0">
      <alignment horizontal="left" vertical="top" indent="1"/>
    </xf>
    <xf numFmtId="4" fontId="73" fillId="69" borderId="39" applyNumberFormat="0" applyProtection="0">
      <alignment horizontal="left" vertical="center" indent="1"/>
    </xf>
    <xf numFmtId="4" fontId="74" fillId="68" borderId="36" applyNumberFormat="0" applyProtection="0">
      <alignment horizontal="right" vertical="center"/>
    </xf>
    <xf numFmtId="37" fontId="48" fillId="0" borderId="40" applyNumberFormat="0"/>
    <xf numFmtId="0" fontId="50" fillId="0" borderId="41" applyNumberFormat="0" applyFill="0" applyAlignment="0" applyProtection="0"/>
    <xf numFmtId="0" fontId="76" fillId="40" borderId="42" applyNumberFormat="0" applyAlignment="0" applyProtection="0"/>
    <xf numFmtId="0" fontId="30" fillId="10" borderId="32" applyNumberFormat="0" applyFont="0" applyAlignment="0" applyProtection="0"/>
    <xf numFmtId="0" fontId="30" fillId="10" borderId="32" applyNumberFormat="0" applyFont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164" fontId="41" fillId="0" borderId="0" applyFont="0" applyFill="0" applyBorder="0" applyAlignment="0" applyProtection="0"/>
    <xf numFmtId="0" fontId="6" fillId="0" borderId="0"/>
    <xf numFmtId="15" fontId="46" fillId="46" borderId="28">
      <alignment horizontal="center"/>
      <protection locked="0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0" fontId="69" fillId="40" borderId="49" applyNumberFormat="0" applyProtection="0">
      <alignment horizontal="left" vertical="center" indent="1"/>
    </xf>
    <xf numFmtId="0" fontId="69" fillId="63" borderId="48" applyNumberFormat="0" applyProtection="0">
      <alignment horizontal="left" vertical="top" indent="1"/>
    </xf>
    <xf numFmtId="0" fontId="69" fillId="64" borderId="49" applyNumberFormat="0" applyProtection="0">
      <alignment horizontal="left" vertical="center" indent="1"/>
    </xf>
    <xf numFmtId="0" fontId="69" fillId="65" borderId="48" applyNumberFormat="0" applyProtection="0">
      <alignment horizontal="left" vertical="top" indent="1"/>
    </xf>
    <xf numFmtId="0" fontId="69" fillId="17" borderId="49" applyNumberFormat="0" applyProtection="0">
      <alignment horizontal="left" vertical="center" indent="1"/>
    </xf>
    <xf numFmtId="0" fontId="69" fillId="17" borderId="48" applyNumberFormat="0" applyProtection="0">
      <alignment horizontal="left" vertical="top" indent="1"/>
    </xf>
    <xf numFmtId="0" fontId="69" fillId="66" borderId="49" applyNumberFormat="0" applyProtection="0">
      <alignment horizontal="left" vertical="center" indent="1"/>
    </xf>
    <xf numFmtId="0" fontId="69" fillId="66" borderId="48" applyNumberFormat="0" applyProtection="0">
      <alignment horizontal="left" vertical="top" indent="1"/>
    </xf>
    <xf numFmtId="0" fontId="70" fillId="63" borderId="50" applyBorder="0"/>
    <xf numFmtId="4" fontId="67" fillId="68" borderId="48" applyNumberFormat="0" applyProtection="0">
      <alignment vertical="center"/>
    </xf>
    <xf numFmtId="4" fontId="71" fillId="68" borderId="48" applyNumberFormat="0" applyProtection="0">
      <alignment vertical="center"/>
    </xf>
    <xf numFmtId="4" fontId="54" fillId="62" borderId="51" applyNumberFormat="0" applyProtection="0">
      <alignment horizontal="left" vertical="center" indent="1"/>
    </xf>
    <xf numFmtId="0" fontId="72" fillId="10" borderId="48" applyNumberFormat="0" applyProtection="0">
      <alignment horizontal="left" vertical="top" indent="1"/>
    </xf>
    <xf numFmtId="4" fontId="67" fillId="68" borderId="48" applyNumberFormat="0" applyProtection="0">
      <alignment horizontal="right" vertical="center"/>
    </xf>
    <xf numFmtId="4" fontId="71" fillId="68" borderId="48" applyNumberFormat="0" applyProtection="0">
      <alignment horizontal="right" vertical="center"/>
    </xf>
    <xf numFmtId="4" fontId="54" fillId="62" borderId="48" applyNumberFormat="0" applyProtection="0">
      <alignment horizontal="left" vertical="center" indent="1"/>
    </xf>
    <xf numFmtId="0" fontId="72" fillId="65" borderId="48" applyNumberFormat="0" applyProtection="0">
      <alignment horizontal="left" vertical="top" indent="1"/>
    </xf>
    <xf numFmtId="4" fontId="73" fillId="69" borderId="51" applyNumberFormat="0" applyProtection="0">
      <alignment horizontal="left" vertical="center" indent="1"/>
    </xf>
    <xf numFmtId="4" fontId="74" fillId="68" borderId="48" applyNumberFormat="0" applyProtection="0">
      <alignment horizontal="right" vertical="center"/>
    </xf>
    <xf numFmtId="37" fontId="48" fillId="0" borderId="52" applyNumberFormat="0"/>
    <xf numFmtId="0" fontId="50" fillId="0" borderId="53" applyNumberFormat="0" applyFill="0" applyAlignment="0" applyProtection="0"/>
    <xf numFmtId="0" fontId="76" fillId="40" borderId="54" applyNumberFormat="0" applyAlignment="0" applyProtection="0"/>
    <xf numFmtId="0" fontId="30" fillId="10" borderId="44" applyNumberFormat="0" applyFont="0" applyAlignment="0" applyProtection="0"/>
    <xf numFmtId="0" fontId="30" fillId="10" borderId="44" applyNumberFormat="0" applyFont="0" applyAlignment="0" applyProtection="0"/>
    <xf numFmtId="9" fontId="4" fillId="0" borderId="0" applyFont="0" applyFill="0" applyBorder="0" applyAlignment="0" applyProtection="0"/>
    <xf numFmtId="0" fontId="83" fillId="0" borderId="0" applyNumberFormat="0" applyFill="0" applyBorder="0" applyAlignment="0" applyProtection="0"/>
    <xf numFmtId="0" fontId="3" fillId="0" borderId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0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9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4" fontId="29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4" fontId="41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0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9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29" fillId="10" borderId="44" applyNumberFormat="0" applyFont="0" applyAlignment="0" applyProtection="0"/>
    <xf numFmtId="0" fontId="30" fillId="10" borderId="44" applyNumberFormat="0" applyFont="0" applyAlignment="0" applyProtection="0"/>
    <xf numFmtId="0" fontId="45" fillId="40" borderId="45" applyNumberFormat="0" applyAlignment="0" applyProtection="0"/>
    <xf numFmtId="0" fontId="45" fillId="40" borderId="45" applyNumberFormat="0" applyAlignment="0" applyProtection="0"/>
    <xf numFmtId="164" fontId="29" fillId="0" borderId="0" applyFont="0" applyFill="0" applyBorder="0" applyAlignment="0" applyProtection="0"/>
    <xf numFmtId="185" fontId="54" fillId="40" borderId="43" applyAlignment="0" applyProtection="0"/>
    <xf numFmtId="0" fontId="51" fillId="0" borderId="46" applyNumberFormat="0" applyFont="0" applyAlignment="0" applyProtection="0"/>
    <xf numFmtId="0" fontId="51" fillId="0" borderId="47" applyNumberFormat="0" applyFont="0" applyAlignment="0" applyProtection="0"/>
    <xf numFmtId="0" fontId="58" fillId="16" borderId="45" applyNumberFormat="0" applyAlignment="0" applyProtection="0"/>
    <xf numFmtId="185" fontId="54" fillId="40" borderId="43"/>
    <xf numFmtId="186" fontId="29" fillId="0" borderId="46"/>
    <xf numFmtId="186" fontId="29" fillId="0" borderId="47"/>
    <xf numFmtId="4" fontId="54" fillId="41" borderId="48" applyNumberFormat="0" applyProtection="0">
      <alignment vertical="center"/>
    </xf>
    <xf numFmtId="4" fontId="66" fillId="41" borderId="48" applyNumberFormat="0" applyProtection="0">
      <alignment vertical="center"/>
    </xf>
    <xf numFmtId="4" fontId="67" fillId="41" borderId="48" applyNumberFormat="0" applyProtection="0">
      <alignment horizontal="left" vertical="center" indent="1"/>
    </xf>
    <xf numFmtId="0" fontId="68" fillId="46" borderId="48" applyNumberFormat="0" applyProtection="0">
      <alignment horizontal="left" vertical="top" indent="1"/>
    </xf>
    <xf numFmtId="4" fontId="67" fillId="52" borderId="48" applyNumberFormat="0" applyProtection="0">
      <alignment horizontal="right" vertical="center"/>
    </xf>
    <xf numFmtId="4" fontId="67" fillId="53" borderId="48" applyNumberFormat="0" applyProtection="0">
      <alignment horizontal="right" vertical="center"/>
    </xf>
    <xf numFmtId="4" fontId="67" fillId="54" borderId="48" applyNumberFormat="0" applyProtection="0">
      <alignment horizontal="right" vertical="center"/>
    </xf>
    <xf numFmtId="4" fontId="67" fillId="55" borderId="48" applyNumberFormat="0" applyProtection="0">
      <alignment horizontal="right" vertical="center"/>
    </xf>
    <xf numFmtId="4" fontId="67" fillId="56" borderId="48" applyNumberFormat="0" applyProtection="0">
      <alignment horizontal="right" vertical="center"/>
    </xf>
    <xf numFmtId="4" fontId="67" fillId="57" borderId="48" applyNumberFormat="0" applyProtection="0">
      <alignment horizontal="right" vertical="center"/>
    </xf>
    <xf numFmtId="4" fontId="67" fillId="58" borderId="48" applyNumberFormat="0" applyProtection="0">
      <alignment horizontal="right" vertical="center"/>
    </xf>
    <xf numFmtId="4" fontId="67" fillId="59" borderId="48" applyNumberFormat="0" applyProtection="0">
      <alignment horizontal="right" vertical="center"/>
    </xf>
    <xf numFmtId="4" fontId="67" fillId="60" borderId="48" applyNumberFormat="0" applyProtection="0">
      <alignment horizontal="right" vertical="center"/>
    </xf>
    <xf numFmtId="4" fontId="67" fillId="62" borderId="48" applyNumberFormat="0" applyProtection="0">
      <alignment horizontal="right" vertical="center"/>
    </xf>
    <xf numFmtId="0" fontId="69" fillId="40" borderId="49" applyNumberFormat="0" applyProtection="0">
      <alignment horizontal="left" vertical="center" indent="1"/>
    </xf>
    <xf numFmtId="0" fontId="69" fillId="63" borderId="48" applyNumberFormat="0" applyProtection="0">
      <alignment horizontal="left" vertical="top" indent="1"/>
    </xf>
    <xf numFmtId="0" fontId="69" fillId="64" borderId="49" applyNumberFormat="0" applyProtection="0">
      <alignment horizontal="left" vertical="center" indent="1"/>
    </xf>
    <xf numFmtId="0" fontId="69" fillId="65" borderId="48" applyNumberFormat="0" applyProtection="0">
      <alignment horizontal="left" vertical="top" indent="1"/>
    </xf>
    <xf numFmtId="0" fontId="69" fillId="17" borderId="49" applyNumberFormat="0" applyProtection="0">
      <alignment horizontal="left" vertical="center" indent="1"/>
    </xf>
    <xf numFmtId="0" fontId="69" fillId="17" borderId="48" applyNumberFormat="0" applyProtection="0">
      <alignment horizontal="left" vertical="top" indent="1"/>
    </xf>
    <xf numFmtId="0" fontId="69" fillId="66" borderId="49" applyNumberFormat="0" applyProtection="0">
      <alignment horizontal="left" vertical="center" indent="1"/>
    </xf>
    <xf numFmtId="0" fontId="69" fillId="66" borderId="48" applyNumberFormat="0" applyProtection="0">
      <alignment horizontal="left" vertical="top" indent="1"/>
    </xf>
    <xf numFmtId="0" fontId="70" fillId="63" borderId="50" applyBorder="0"/>
    <xf numFmtId="4" fontId="67" fillId="68" borderId="48" applyNumberFormat="0" applyProtection="0">
      <alignment vertical="center"/>
    </xf>
    <xf numFmtId="4" fontId="71" fillId="68" borderId="48" applyNumberFormat="0" applyProtection="0">
      <alignment vertical="center"/>
    </xf>
    <xf numFmtId="4" fontId="54" fillId="62" borderId="51" applyNumberFormat="0" applyProtection="0">
      <alignment horizontal="left" vertical="center" indent="1"/>
    </xf>
    <xf numFmtId="0" fontId="72" fillId="10" borderId="48" applyNumberFormat="0" applyProtection="0">
      <alignment horizontal="left" vertical="top" indent="1"/>
    </xf>
    <xf numFmtId="4" fontId="67" fillId="68" borderId="48" applyNumberFormat="0" applyProtection="0">
      <alignment horizontal="right" vertical="center"/>
    </xf>
    <xf numFmtId="4" fontId="71" fillId="68" borderId="48" applyNumberFormat="0" applyProtection="0">
      <alignment horizontal="right" vertical="center"/>
    </xf>
    <xf numFmtId="4" fontId="54" fillId="62" borderId="48" applyNumberFormat="0" applyProtection="0">
      <alignment horizontal="left" vertical="center" indent="1"/>
    </xf>
    <xf numFmtId="0" fontId="72" fillId="65" borderId="48" applyNumberFormat="0" applyProtection="0">
      <alignment horizontal="left" vertical="top" indent="1"/>
    </xf>
    <xf numFmtId="4" fontId="73" fillId="69" borderId="51" applyNumberFormat="0" applyProtection="0">
      <alignment horizontal="left" vertical="center" indent="1"/>
    </xf>
    <xf numFmtId="4" fontId="74" fillId="68" borderId="48" applyNumberFormat="0" applyProtection="0">
      <alignment horizontal="right" vertical="center"/>
    </xf>
    <xf numFmtId="37" fontId="48" fillId="0" borderId="52" applyNumberFormat="0"/>
    <xf numFmtId="0" fontId="50" fillId="0" borderId="53" applyNumberFormat="0" applyFill="0" applyAlignment="0" applyProtection="0"/>
    <xf numFmtId="0" fontId="76" fillId="40" borderId="54" applyNumberFormat="0" applyAlignment="0" applyProtection="0"/>
    <xf numFmtId="0" fontId="30" fillId="10" borderId="44" applyNumberFormat="0" applyFont="0" applyAlignment="0" applyProtection="0"/>
    <xf numFmtId="0" fontId="30" fillId="10" borderId="44" applyNumberFormat="0" applyFont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4" fontId="41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9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9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9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9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269">
    <xf numFmtId="0" fontId="0" fillId="0" borderId="0" xfId="0"/>
    <xf numFmtId="173" fontId="14" fillId="0" borderId="0" xfId="0" applyNumberFormat="1" applyFont="1" applyAlignment="1">
      <alignment vertical="center"/>
    </xf>
    <xf numFmtId="0" fontId="13" fillId="9" borderId="0" xfId="0" applyFont="1" applyFill="1" applyAlignment="1">
      <alignment vertical="center"/>
    </xf>
    <xf numFmtId="0" fontId="21" fillId="9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169" fontId="13" fillId="0" borderId="0" xfId="0" applyNumberFormat="1" applyFont="1" applyAlignment="1">
      <alignment vertical="center"/>
    </xf>
    <xf numFmtId="169" fontId="13" fillId="0" borderId="0" xfId="0" applyNumberFormat="1" applyFont="1" applyAlignment="1">
      <alignment horizontal="left" vertical="center"/>
    </xf>
    <xf numFmtId="169" fontId="13" fillId="0" borderId="0" xfId="0" applyNumberFormat="1" applyFont="1" applyAlignment="1">
      <alignment horizontal="center" vertical="center"/>
    </xf>
    <xf numFmtId="170" fontId="14" fillId="4" borderId="0" xfId="0" applyNumberFormat="1" applyFont="1" applyFill="1" applyAlignment="1">
      <alignment vertical="center"/>
    </xf>
    <xf numFmtId="14" fontId="14" fillId="4" borderId="0" xfId="0" applyNumberFormat="1" applyFont="1" applyFill="1" applyAlignment="1">
      <alignment vertical="center"/>
    </xf>
    <xf numFmtId="169" fontId="13" fillId="2" borderId="0" xfId="0" applyNumberFormat="1" applyFont="1" applyFill="1" applyAlignment="1">
      <alignment vertical="center"/>
    </xf>
    <xf numFmtId="169" fontId="17" fillId="5" borderId="0" xfId="0" applyNumberFormat="1" applyFont="1" applyFill="1" applyAlignment="1">
      <alignment vertical="center"/>
    </xf>
    <xf numFmtId="169" fontId="14" fillId="4" borderId="0" xfId="0" applyNumberFormat="1" applyFont="1" applyFill="1" applyAlignment="1">
      <alignment vertical="center"/>
    </xf>
    <xf numFmtId="169" fontId="14" fillId="4" borderId="0" xfId="0" applyNumberFormat="1" applyFont="1" applyFill="1" applyAlignment="1">
      <alignment horizontal="center" vertical="center"/>
    </xf>
    <xf numFmtId="169" fontId="15" fillId="4" borderId="0" xfId="0" applyNumberFormat="1" applyFont="1" applyFill="1" applyAlignment="1">
      <alignment vertical="center"/>
    </xf>
    <xf numFmtId="169" fontId="13" fillId="4" borderId="0" xfId="0" applyNumberFormat="1" applyFont="1" applyFill="1" applyAlignment="1">
      <alignment vertical="center"/>
    </xf>
    <xf numFmtId="10" fontId="13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1" fontId="13" fillId="4" borderId="0" xfId="0" applyNumberFormat="1" applyFont="1" applyFill="1" applyAlignment="1">
      <alignment vertical="center"/>
    </xf>
    <xf numFmtId="14" fontId="19" fillId="4" borderId="2" xfId="0" applyNumberFormat="1" applyFont="1" applyFill="1" applyBorder="1" applyAlignment="1">
      <alignment vertical="center"/>
    </xf>
    <xf numFmtId="171" fontId="13" fillId="0" borderId="0" xfId="0" applyNumberFormat="1" applyFont="1" applyAlignment="1">
      <alignment vertical="center"/>
    </xf>
    <xf numFmtId="169" fontId="14" fillId="4" borderId="0" xfId="0" applyNumberFormat="1" applyFont="1" applyFill="1" applyAlignment="1">
      <alignment horizontal="right" vertical="center"/>
    </xf>
    <xf numFmtId="169" fontId="15" fillId="4" borderId="0" xfId="0" applyNumberFormat="1" applyFont="1" applyFill="1" applyAlignment="1">
      <alignment horizontal="right" vertical="center"/>
    </xf>
    <xf numFmtId="170" fontId="16" fillId="4" borderId="0" xfId="0" applyNumberFormat="1" applyFont="1" applyFill="1" applyAlignment="1">
      <alignment horizontal="right" vertical="center"/>
    </xf>
    <xf numFmtId="169" fontId="13" fillId="0" borderId="0" xfId="0" applyNumberFormat="1" applyFont="1" applyAlignment="1">
      <alignment horizontal="right" vertical="center"/>
    </xf>
    <xf numFmtId="169" fontId="17" fillId="5" borderId="0" xfId="0" applyNumberFormat="1" applyFont="1" applyFill="1" applyAlignment="1">
      <alignment horizontal="right" vertical="center"/>
    </xf>
    <xf numFmtId="171" fontId="13" fillId="0" borderId="0" xfId="0" applyNumberFormat="1" applyFont="1" applyAlignment="1">
      <alignment horizontal="right" vertical="center"/>
    </xf>
    <xf numFmtId="0" fontId="22" fillId="0" borderId="0" xfId="0" applyFont="1" applyAlignment="1">
      <alignment vertical="center"/>
    </xf>
    <xf numFmtId="167" fontId="13" fillId="0" borderId="0" xfId="0" applyNumberFormat="1" applyFont="1" applyAlignment="1">
      <alignment vertical="center"/>
    </xf>
    <xf numFmtId="0" fontId="13" fillId="0" borderId="0" xfId="0" quotePrefix="1" applyFont="1" applyAlignment="1">
      <alignment vertical="center"/>
    </xf>
    <xf numFmtId="3" fontId="13" fillId="0" borderId="0" xfId="0" applyNumberFormat="1" applyFont="1" applyAlignment="1">
      <alignment vertical="center"/>
    </xf>
    <xf numFmtId="0" fontId="23" fillId="0" borderId="0" xfId="0" applyFont="1" applyAlignment="1">
      <alignment vertical="center"/>
    </xf>
    <xf numFmtId="166" fontId="14" fillId="0" borderId="0" xfId="0" applyNumberFormat="1" applyFont="1" applyAlignment="1">
      <alignment vertical="center"/>
    </xf>
    <xf numFmtId="0" fontId="14" fillId="0" borderId="0" xfId="0" applyFont="1" applyAlignment="1">
      <alignment horizontal="right" vertical="center"/>
    </xf>
    <xf numFmtId="0" fontId="24" fillId="4" borderId="0" xfId="0" applyFont="1" applyFill="1" applyAlignment="1">
      <alignment horizontal="left" vertical="center"/>
    </xf>
    <xf numFmtId="0" fontId="14" fillId="4" borderId="0" xfId="0" applyFont="1" applyFill="1" applyAlignment="1">
      <alignment horizontal="left" vertical="center"/>
    </xf>
    <xf numFmtId="0" fontId="14" fillId="4" borderId="0" xfId="0" applyFont="1" applyFill="1" applyAlignment="1">
      <alignment vertical="center"/>
    </xf>
    <xf numFmtId="0" fontId="18" fillId="4" borderId="0" xfId="0" applyFont="1" applyFill="1" applyAlignment="1">
      <alignment horizontal="left" vertical="center"/>
    </xf>
    <xf numFmtId="0" fontId="25" fillId="4" borderId="0" xfId="0" applyFont="1" applyFill="1" applyAlignment="1">
      <alignment horizontal="left" vertical="center"/>
    </xf>
    <xf numFmtId="0" fontId="25" fillId="4" borderId="0" xfId="0" applyFont="1" applyFill="1" applyAlignment="1">
      <alignment vertical="center"/>
    </xf>
    <xf numFmtId="169" fontId="14" fillId="0" borderId="0" xfId="0" applyNumberFormat="1" applyFont="1" applyAlignment="1">
      <alignment vertical="center"/>
    </xf>
    <xf numFmtId="169" fontId="20" fillId="0" borderId="0" xfId="0" applyNumberFormat="1" applyFont="1" applyAlignment="1">
      <alignment vertical="center"/>
    </xf>
    <xf numFmtId="169" fontId="16" fillId="0" borderId="0" xfId="0" applyNumberFormat="1" applyFont="1" applyAlignment="1">
      <alignment vertical="center"/>
    </xf>
    <xf numFmtId="169" fontId="19" fillId="0" borderId="0" xfId="0" applyNumberFormat="1" applyFont="1" applyAlignment="1">
      <alignment vertical="center"/>
    </xf>
    <xf numFmtId="0" fontId="14" fillId="0" borderId="2" xfId="0" applyFont="1" applyBorder="1" applyAlignment="1">
      <alignment vertical="center"/>
    </xf>
    <xf numFmtId="173" fontId="14" fillId="0" borderId="0" xfId="0" applyNumberFormat="1" applyFont="1" applyAlignment="1">
      <alignment horizontal="left" vertical="center"/>
    </xf>
    <xf numFmtId="0" fontId="14" fillId="3" borderId="4" xfId="0" applyFont="1" applyFill="1" applyBorder="1" applyAlignment="1">
      <alignment vertical="center"/>
    </xf>
    <xf numFmtId="0" fontId="14" fillId="8" borderId="3" xfId="0" applyFont="1" applyFill="1" applyBorder="1" applyAlignment="1">
      <alignment vertical="center"/>
    </xf>
    <xf numFmtId="168" fontId="13" fillId="3" borderId="0" xfId="0" applyNumberFormat="1" applyFont="1" applyFill="1" applyAlignment="1">
      <alignment vertical="center"/>
    </xf>
    <xf numFmtId="168" fontId="13" fillId="7" borderId="0" xfId="0" applyNumberFormat="1" applyFont="1" applyFill="1" applyAlignment="1">
      <alignment vertical="center"/>
    </xf>
    <xf numFmtId="174" fontId="13" fillId="0" borderId="0" xfId="0" applyNumberFormat="1" applyFont="1" applyAlignment="1">
      <alignment vertical="center"/>
    </xf>
    <xf numFmtId="169" fontId="26" fillId="0" borderId="0" xfId="0" applyNumberFormat="1" applyFont="1" applyAlignment="1">
      <alignment vertical="center"/>
    </xf>
    <xf numFmtId="0" fontId="21" fillId="0" borderId="0" xfId="0" applyFont="1" applyAlignment="1">
      <alignment vertical="center"/>
    </xf>
    <xf numFmtId="169" fontId="13" fillId="6" borderId="0" xfId="0" applyNumberFormat="1" applyFont="1" applyFill="1" applyAlignment="1">
      <alignment vertical="center"/>
    </xf>
    <xf numFmtId="0" fontId="13" fillId="0" borderId="0" xfId="0" applyFont="1" applyAlignment="1">
      <alignment horizontal="left" vertical="center"/>
    </xf>
    <xf numFmtId="10" fontId="13" fillId="0" borderId="0" xfId="1" applyNumberFormat="1" applyFont="1" applyAlignment="1">
      <alignment vertical="center"/>
    </xf>
    <xf numFmtId="169" fontId="13" fillId="5" borderId="0" xfId="0" applyNumberFormat="1" applyFont="1" applyFill="1" applyAlignment="1">
      <alignment vertical="center"/>
    </xf>
    <xf numFmtId="0" fontId="22" fillId="0" borderId="0" xfId="0" applyFont="1" applyAlignment="1">
      <alignment horizontal="left" vertical="center" indent="1"/>
    </xf>
    <xf numFmtId="175" fontId="13" fillId="0" borderId="0" xfId="0" applyNumberFormat="1" applyFont="1" applyAlignment="1">
      <alignment vertical="center"/>
    </xf>
    <xf numFmtId="169" fontId="13" fillId="0" borderId="5" xfId="0" applyNumberFormat="1" applyFont="1" applyBorder="1" applyAlignment="1">
      <alignment vertical="center"/>
    </xf>
    <xf numFmtId="165" fontId="13" fillId="0" borderId="0" xfId="0" applyNumberFormat="1" applyFont="1" applyAlignment="1">
      <alignment vertical="center"/>
    </xf>
    <xf numFmtId="182" fontId="13" fillId="0" borderId="0" xfId="0" applyNumberFormat="1" applyFont="1" applyAlignment="1">
      <alignment vertical="center"/>
    </xf>
    <xf numFmtId="14" fontId="13" fillId="0" borderId="0" xfId="0" applyNumberFormat="1" applyFont="1" applyAlignment="1">
      <alignment vertical="center"/>
    </xf>
    <xf numFmtId="4" fontId="13" fillId="0" borderId="0" xfId="0" applyNumberFormat="1" applyFont="1" applyAlignment="1">
      <alignment vertical="center"/>
    </xf>
    <xf numFmtId="2" fontId="13" fillId="0" borderId="0" xfId="0" applyNumberFormat="1" applyFont="1" applyAlignment="1">
      <alignment vertical="center"/>
    </xf>
    <xf numFmtId="0" fontId="13" fillId="0" borderId="0" xfId="0" applyFont="1" applyAlignment="1">
      <alignment vertical="center" wrapText="1"/>
    </xf>
    <xf numFmtId="0" fontId="14" fillId="0" borderId="0" xfId="0" applyFont="1" applyAlignment="1">
      <alignment vertical="center" wrapText="1"/>
    </xf>
    <xf numFmtId="182" fontId="14" fillId="0" borderId="0" xfId="0" applyNumberFormat="1" applyFont="1" applyAlignment="1">
      <alignment vertical="center"/>
    </xf>
    <xf numFmtId="169" fontId="13" fillId="6" borderId="30" xfId="0" applyNumberFormat="1" applyFont="1" applyFill="1" applyBorder="1" applyAlignment="1">
      <alignment vertical="center"/>
    </xf>
    <xf numFmtId="169" fontId="13" fillId="6" borderId="31" xfId="0" applyNumberFormat="1" applyFont="1" applyFill="1" applyBorder="1" applyAlignment="1">
      <alignment vertical="center"/>
    </xf>
    <xf numFmtId="169" fontId="20" fillId="4" borderId="0" xfId="0" applyNumberFormat="1" applyFont="1" applyFill="1" applyAlignment="1">
      <alignment vertical="center"/>
    </xf>
    <xf numFmtId="169" fontId="26" fillId="4" borderId="0" xfId="0" applyNumberFormat="1" applyFont="1" applyFill="1" applyAlignment="1">
      <alignment vertical="center"/>
    </xf>
    <xf numFmtId="169" fontId="78" fillId="4" borderId="0" xfId="0" applyNumberFormat="1" applyFont="1" applyFill="1" applyAlignment="1">
      <alignment vertical="center"/>
    </xf>
    <xf numFmtId="170" fontId="20" fillId="4" borderId="0" xfId="0" applyNumberFormat="1" applyFont="1" applyFill="1" applyAlignment="1">
      <alignment vertical="center"/>
    </xf>
    <xf numFmtId="170" fontId="79" fillId="4" borderId="0" xfId="0" applyNumberFormat="1" applyFont="1" applyFill="1" applyAlignment="1">
      <alignment vertical="center"/>
    </xf>
    <xf numFmtId="189" fontId="13" fillId="0" borderId="0" xfId="75" applyNumberFormat="1" applyFont="1" applyBorder="1" applyAlignment="1">
      <alignment vertical="center"/>
    </xf>
    <xf numFmtId="189" fontId="13" fillId="0" borderId="0" xfId="75" applyNumberFormat="1" applyFont="1" applyAlignment="1">
      <alignment vertical="center"/>
    </xf>
    <xf numFmtId="176" fontId="13" fillId="0" borderId="0" xfId="0" applyNumberFormat="1" applyFont="1" applyAlignment="1">
      <alignment vertical="center"/>
    </xf>
    <xf numFmtId="2" fontId="80" fillId="0" borderId="0" xfId="0" applyNumberFormat="1" applyFont="1"/>
    <xf numFmtId="169" fontId="13" fillId="5" borderId="0" xfId="0" applyNumberFormat="1" applyFont="1" applyFill="1" applyAlignment="1">
      <alignment horizontal="right" vertical="center"/>
    </xf>
    <xf numFmtId="10" fontId="16" fillId="0" borderId="0" xfId="0" applyNumberFormat="1" applyFont="1" applyAlignment="1">
      <alignment vertical="center"/>
    </xf>
    <xf numFmtId="10" fontId="19" fillId="0" borderId="0" xfId="0" applyNumberFormat="1" applyFont="1" applyAlignment="1">
      <alignment vertical="center"/>
    </xf>
    <xf numFmtId="169" fontId="16" fillId="0" borderId="1" xfId="0" applyNumberFormat="1" applyFont="1" applyBorder="1" applyAlignment="1">
      <alignment vertical="center"/>
    </xf>
    <xf numFmtId="0" fontId="81" fillId="0" borderId="0" xfId="0" applyFont="1" applyAlignment="1">
      <alignment vertical="center"/>
    </xf>
    <xf numFmtId="169" fontId="13" fillId="71" borderId="0" xfId="0" applyNumberFormat="1" applyFont="1" applyFill="1" applyAlignment="1">
      <alignment vertical="center"/>
    </xf>
    <xf numFmtId="169" fontId="13" fillId="0" borderId="0" xfId="0" applyNumberFormat="1" applyFont="1" applyAlignment="1" applyProtection="1">
      <alignment vertical="center"/>
      <protection locked="0"/>
    </xf>
    <xf numFmtId="168" fontId="14" fillId="0" borderId="0" xfId="0" applyNumberFormat="1" applyFont="1" applyAlignment="1">
      <alignment vertical="center"/>
    </xf>
    <xf numFmtId="168" fontId="16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172" fontId="13" fillId="0" borderId="0" xfId="0" applyNumberFormat="1" applyFont="1" applyAlignment="1">
      <alignment horizontal="center" vertical="center"/>
    </xf>
    <xf numFmtId="192" fontId="13" fillId="0" borderId="0" xfId="0" applyNumberFormat="1" applyFont="1" applyAlignment="1">
      <alignment vertical="center"/>
    </xf>
    <xf numFmtId="169" fontId="13" fillId="0" borderId="1" xfId="0" applyNumberFormat="1" applyFont="1" applyBorder="1" applyAlignment="1">
      <alignment vertical="center"/>
    </xf>
    <xf numFmtId="169" fontId="14" fillId="0" borderId="5" xfId="0" applyNumberFormat="1" applyFont="1" applyBorder="1" applyAlignment="1">
      <alignment vertical="center"/>
    </xf>
    <xf numFmtId="168" fontId="13" fillId="0" borderId="0" xfId="0" applyNumberFormat="1" applyFont="1" applyAlignment="1">
      <alignment vertical="center"/>
    </xf>
    <xf numFmtId="172" fontId="13" fillId="0" borderId="0" xfId="0" applyNumberFormat="1" applyFont="1" applyAlignment="1">
      <alignment vertical="center"/>
    </xf>
    <xf numFmtId="175" fontId="16" fillId="0" borderId="0" xfId="0" applyNumberFormat="1" applyFont="1" applyAlignment="1">
      <alignment vertical="center"/>
    </xf>
    <xf numFmtId="4" fontId="19" fillId="0" borderId="0" xfId="0" applyNumberFormat="1" applyFont="1" applyAlignment="1">
      <alignment vertical="center"/>
    </xf>
    <xf numFmtId="176" fontId="16" fillId="0" borderId="0" xfId="0" applyNumberFormat="1" applyFont="1" applyAlignment="1">
      <alignment vertical="center"/>
    </xf>
    <xf numFmtId="182" fontId="16" fillId="0" borderId="0" xfId="0" applyNumberFormat="1" applyFont="1" applyAlignment="1">
      <alignment vertical="center"/>
    </xf>
    <xf numFmtId="169" fontId="13" fillId="0" borderId="0" xfId="0" applyNumberFormat="1" applyFont="1" applyAlignment="1">
      <alignment horizontal="left" vertical="center" wrapText="1"/>
    </xf>
    <xf numFmtId="9" fontId="13" fillId="3" borderId="0" xfId="1" applyFont="1" applyFill="1" applyBorder="1" applyAlignment="1">
      <alignment vertical="center"/>
    </xf>
    <xf numFmtId="9" fontId="13" fillId="0" borderId="0" xfId="1" applyFont="1" applyFill="1" applyBorder="1" applyAlignment="1">
      <alignment vertical="center"/>
    </xf>
    <xf numFmtId="168" fontId="13" fillId="72" borderId="0" xfId="0" applyNumberFormat="1" applyFont="1" applyFill="1" applyAlignment="1">
      <alignment vertical="center"/>
    </xf>
    <xf numFmtId="10" fontId="19" fillId="3" borderId="0" xfId="0" applyNumberFormat="1" applyFont="1" applyFill="1" applyAlignment="1">
      <alignment vertical="center"/>
    </xf>
    <xf numFmtId="191" fontId="19" fillId="0" borderId="0" xfId="75" applyNumberFormat="1" applyFont="1" applyFill="1" applyAlignment="1">
      <alignment vertical="center"/>
    </xf>
    <xf numFmtId="169" fontId="13" fillId="6" borderId="55" xfId="0" applyNumberFormat="1" applyFont="1" applyFill="1" applyBorder="1" applyAlignment="1">
      <alignment vertical="center"/>
    </xf>
    <xf numFmtId="169" fontId="16" fillId="0" borderId="0" xfId="0" applyNumberFormat="1" applyFont="1" applyAlignment="1">
      <alignment horizontal="right" vertical="center"/>
    </xf>
    <xf numFmtId="171" fontId="16" fillId="0" borderId="0" xfId="0" applyNumberFormat="1" applyFont="1" applyAlignment="1">
      <alignment horizontal="right" vertical="center"/>
    </xf>
    <xf numFmtId="3" fontId="16" fillId="0" borderId="0" xfId="0" applyNumberFormat="1" applyFont="1" applyAlignment="1">
      <alignment vertical="center"/>
    </xf>
    <xf numFmtId="169" fontId="13" fillId="6" borderId="1" xfId="0" applyNumberFormat="1" applyFont="1" applyFill="1" applyBorder="1" applyAlignment="1">
      <alignment vertical="center"/>
    </xf>
    <xf numFmtId="168" fontId="16" fillId="0" borderId="1" xfId="0" applyNumberFormat="1" applyFont="1" applyBorder="1" applyAlignment="1">
      <alignment vertical="center"/>
    </xf>
    <xf numFmtId="189" fontId="13" fillId="0" borderId="1" xfId="75" applyNumberFormat="1" applyFont="1" applyBorder="1" applyAlignment="1">
      <alignment vertical="center"/>
    </xf>
    <xf numFmtId="169" fontId="13" fillId="3" borderId="0" xfId="0" applyNumberFormat="1" applyFont="1" applyFill="1" applyAlignment="1">
      <alignment horizontal="right" vertical="center"/>
    </xf>
    <xf numFmtId="10" fontId="13" fillId="0" borderId="0" xfId="1" applyNumberFormat="1" applyFont="1" applyFill="1" applyAlignment="1">
      <alignment vertical="center"/>
    </xf>
    <xf numFmtId="189" fontId="13" fillId="0" borderId="0" xfId="75" applyNumberFormat="1" applyFont="1" applyFill="1" applyBorder="1" applyAlignment="1">
      <alignment vertical="center"/>
    </xf>
    <xf numFmtId="169" fontId="13" fillId="0" borderId="0" xfId="0" applyNumberFormat="1" applyFont="1" applyAlignment="1">
      <alignment vertical="center" wrapText="1"/>
    </xf>
    <xf numFmtId="1" fontId="13" fillId="4" borderId="0" xfId="0" applyNumberFormat="1" applyFont="1" applyFill="1" applyAlignment="1">
      <alignment horizontal="center" vertical="center"/>
    </xf>
    <xf numFmtId="0" fontId="13" fillId="4" borderId="0" xfId="75" applyNumberFormat="1" applyFont="1" applyFill="1" applyBorder="1" applyAlignment="1">
      <alignment horizontal="center" vertical="center"/>
    </xf>
    <xf numFmtId="0" fontId="14" fillId="3" borderId="0" xfId="0" applyFont="1" applyFill="1" applyAlignment="1">
      <alignment vertical="center"/>
    </xf>
    <xf numFmtId="0" fontId="14" fillId="3" borderId="0" xfId="0" applyFont="1" applyFill="1" applyAlignment="1">
      <alignment vertical="center" wrapText="1"/>
    </xf>
    <xf numFmtId="168" fontId="14" fillId="0" borderId="0" xfId="1" applyNumberFormat="1" applyFont="1" applyAlignment="1">
      <alignment vertical="center"/>
    </xf>
    <xf numFmtId="0" fontId="14" fillId="74" borderId="3" xfId="0" applyFont="1" applyFill="1" applyBorder="1" applyAlignment="1">
      <alignment vertical="center"/>
    </xf>
    <xf numFmtId="0" fontId="82" fillId="73" borderId="3" xfId="0" applyFont="1" applyFill="1" applyBorder="1" applyAlignment="1">
      <alignment vertical="center"/>
    </xf>
    <xf numFmtId="193" fontId="13" fillId="0" borderId="0" xfId="1" applyNumberFormat="1" applyFont="1" applyFill="1" applyBorder="1" applyAlignment="1">
      <alignment vertical="center"/>
    </xf>
    <xf numFmtId="173" fontId="40" fillId="0" borderId="0" xfId="76" applyNumberFormat="1" applyAlignment="1">
      <alignment vertical="center"/>
    </xf>
    <xf numFmtId="189" fontId="13" fillId="3" borderId="0" xfId="0" applyNumberFormat="1" applyFont="1" applyFill="1" applyAlignment="1">
      <alignment horizontal="right" vertical="center"/>
    </xf>
    <xf numFmtId="0" fontId="14" fillId="0" borderId="0" xfId="2257" applyFont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14" fillId="4" borderId="0" xfId="0" applyFont="1" applyFill="1" applyAlignment="1">
      <alignment horizontal="center" vertical="center" wrapText="1"/>
    </xf>
    <xf numFmtId="0" fontId="39" fillId="0" borderId="0" xfId="0" applyFont="1" applyAlignment="1">
      <alignment horizontal="center" vertical="center" wrapText="1"/>
    </xf>
    <xf numFmtId="0" fontId="14" fillId="0" borderId="0" xfId="2257" applyFont="1" applyAlignment="1">
      <alignment horizontal="center" vertical="center" wrapText="1"/>
    </xf>
    <xf numFmtId="0" fontId="84" fillId="0" borderId="0" xfId="2256" applyFont="1" applyFill="1" applyAlignment="1">
      <alignment horizontal="center" vertical="center" wrapText="1"/>
    </xf>
    <xf numFmtId="0" fontId="13" fillId="0" borderId="9" xfId="2257" applyFont="1" applyBorder="1" applyAlignment="1">
      <alignment horizontal="center" vertical="center" wrapText="1"/>
    </xf>
    <xf numFmtId="0" fontId="82" fillId="73" borderId="0" xfId="0" applyFont="1" applyFill="1" applyAlignment="1">
      <alignment vertical="center"/>
    </xf>
    <xf numFmtId="0" fontId="80" fillId="0" borderId="9" xfId="0" applyFont="1" applyBorder="1" applyAlignment="1">
      <alignment horizontal="center" vertical="center"/>
    </xf>
    <xf numFmtId="14" fontId="13" fillId="0" borderId="9" xfId="2257" applyNumberFormat="1" applyFont="1" applyBorder="1" applyAlignment="1">
      <alignment horizontal="center" vertical="center" wrapText="1"/>
    </xf>
    <xf numFmtId="0" fontId="13" fillId="0" borderId="9" xfId="2257" applyFont="1" applyBorder="1" applyAlignment="1">
      <alignment horizontal="center" vertical="center"/>
    </xf>
    <xf numFmtId="0" fontId="13" fillId="0" borderId="9" xfId="2257" applyFont="1" applyBorder="1" applyAlignment="1">
      <alignment horizontal="left" vertical="center" wrapText="1"/>
    </xf>
    <xf numFmtId="1" fontId="13" fillId="5" borderId="0" xfId="0" applyNumberFormat="1" applyFont="1" applyFill="1" applyAlignment="1">
      <alignment vertical="center"/>
    </xf>
    <xf numFmtId="1" fontId="14" fillId="0" borderId="0" xfId="0" applyNumberFormat="1" applyFont="1" applyAlignment="1">
      <alignment vertical="center"/>
    </xf>
    <xf numFmtId="1" fontId="13" fillId="0" borderId="0" xfId="1" applyNumberFormat="1" applyFont="1" applyFill="1" applyBorder="1" applyAlignment="1">
      <alignment vertical="center"/>
    </xf>
    <xf numFmtId="1" fontId="13" fillId="0" borderId="0" xfId="0" applyNumberFormat="1" applyFont="1" applyAlignment="1">
      <alignment vertical="center"/>
    </xf>
    <xf numFmtId="1" fontId="13" fillId="0" borderId="0" xfId="0" applyNumberFormat="1" applyFont="1" applyAlignment="1">
      <alignment horizontal="right" vertical="center"/>
    </xf>
    <xf numFmtId="1" fontId="13" fillId="2" borderId="0" xfId="0" applyNumberFormat="1" applyFont="1" applyFill="1" applyAlignment="1">
      <alignment vertical="center"/>
    </xf>
    <xf numFmtId="1" fontId="17" fillId="5" borderId="0" xfId="0" applyNumberFormat="1" applyFont="1" applyFill="1" applyAlignment="1">
      <alignment vertical="center"/>
    </xf>
    <xf numFmtId="1" fontId="13" fillId="0" borderId="0" xfId="0" applyNumberFormat="1" applyFont="1" applyAlignment="1">
      <alignment horizontal="left" vertical="center"/>
    </xf>
    <xf numFmtId="49" fontId="14" fillId="4" borderId="0" xfId="0" applyNumberFormat="1" applyFont="1" applyFill="1" applyAlignment="1">
      <alignment horizontal="center" vertical="center"/>
    </xf>
    <xf numFmtId="49" fontId="15" fillId="4" borderId="0" xfId="0" applyNumberFormat="1" applyFont="1" applyFill="1" applyAlignment="1">
      <alignment vertical="center"/>
    </xf>
    <xf numFmtId="49" fontId="14" fillId="0" borderId="0" xfId="0" applyNumberFormat="1" applyFont="1" applyAlignment="1">
      <alignment vertical="center"/>
    </xf>
    <xf numFmtId="49" fontId="13" fillId="5" borderId="0" xfId="0" applyNumberFormat="1" applyFont="1" applyFill="1" applyAlignment="1">
      <alignment vertical="center"/>
    </xf>
    <xf numFmtId="49" fontId="13" fillId="0" borderId="0" xfId="0" applyNumberFormat="1" applyFont="1" applyAlignment="1">
      <alignment vertical="center"/>
    </xf>
    <xf numFmtId="49" fontId="13" fillId="2" borderId="0" xfId="0" applyNumberFormat="1" applyFont="1" applyFill="1" applyAlignment="1">
      <alignment vertical="center"/>
    </xf>
    <xf numFmtId="49" fontId="13" fillId="3" borderId="0" xfId="0" applyNumberFormat="1" applyFont="1" applyFill="1" applyAlignment="1">
      <alignment vertical="center"/>
    </xf>
    <xf numFmtId="49" fontId="13" fillId="0" borderId="0" xfId="1" applyNumberFormat="1" applyFont="1" applyFill="1" applyBorder="1" applyAlignment="1">
      <alignment vertical="center"/>
    </xf>
    <xf numFmtId="49" fontId="17" fillId="5" borderId="0" xfId="0" applyNumberFormat="1" applyFont="1" applyFill="1" applyAlignment="1">
      <alignment vertical="center"/>
    </xf>
    <xf numFmtId="169" fontId="14" fillId="4" borderId="0" xfId="0" applyNumberFormat="1" applyFont="1" applyFill="1" applyAlignment="1">
      <alignment horizontal="left" vertical="center"/>
    </xf>
    <xf numFmtId="169" fontId="15" fillId="4" borderId="0" xfId="0" applyNumberFormat="1" applyFont="1" applyFill="1" applyAlignment="1">
      <alignment horizontal="left" vertical="center"/>
    </xf>
    <xf numFmtId="169" fontId="85" fillId="4" borderId="0" xfId="0" applyNumberFormat="1" applyFont="1" applyFill="1" applyAlignment="1">
      <alignment vertical="center"/>
    </xf>
    <xf numFmtId="169" fontId="86" fillId="4" borderId="0" xfId="0" applyNumberFormat="1" applyFont="1" applyFill="1" applyAlignment="1">
      <alignment vertical="center"/>
    </xf>
    <xf numFmtId="49" fontId="40" fillId="3" borderId="0" xfId="76" applyNumberFormat="1" applyFill="1" applyBorder="1" applyAlignment="1">
      <alignment vertical="center"/>
    </xf>
    <xf numFmtId="0" fontId="40" fillId="0" borderId="9" xfId="76" applyBorder="1" applyAlignment="1">
      <alignment horizontal="center" vertical="center"/>
    </xf>
    <xf numFmtId="171" fontId="13" fillId="0" borderId="0" xfId="0" applyNumberFormat="1" applyFont="1" applyAlignment="1">
      <alignment horizontal="center" vertical="center"/>
    </xf>
    <xf numFmtId="14" fontId="13" fillId="4" borderId="2" xfId="0" applyNumberFormat="1" applyFont="1" applyFill="1" applyBorder="1" applyAlignment="1">
      <alignment vertical="center"/>
    </xf>
    <xf numFmtId="14" fontId="14" fillId="4" borderId="2" xfId="0" applyNumberFormat="1" applyFont="1" applyFill="1" applyBorder="1" applyAlignment="1">
      <alignment vertical="center"/>
    </xf>
    <xf numFmtId="14" fontId="19" fillId="3" borderId="0" xfId="0" applyNumberFormat="1" applyFont="1" applyFill="1" applyAlignment="1">
      <alignment vertical="center"/>
    </xf>
    <xf numFmtId="0" fontId="19" fillId="3" borderId="0" xfId="0" applyFont="1" applyFill="1" applyAlignment="1">
      <alignment vertical="center"/>
    </xf>
    <xf numFmtId="0" fontId="19" fillId="3" borderId="0" xfId="0" applyFont="1" applyFill="1" applyAlignment="1">
      <alignment horizontal="center" vertical="center"/>
    </xf>
    <xf numFmtId="169" fontId="19" fillId="0" borderId="1" xfId="0" applyNumberFormat="1" applyFont="1" applyBorder="1" applyAlignment="1">
      <alignment vertical="center"/>
    </xf>
    <xf numFmtId="169" fontId="87" fillId="0" borderId="0" xfId="0" applyNumberFormat="1" applyFont="1" applyAlignment="1">
      <alignment vertical="center"/>
    </xf>
    <xf numFmtId="175" fontId="19" fillId="0" borderId="0" xfId="0" applyNumberFormat="1" applyFont="1" applyAlignment="1">
      <alignment vertical="center"/>
    </xf>
    <xf numFmtId="176" fontId="19" fillId="0" borderId="0" xfId="0" applyNumberFormat="1" applyFont="1" applyAlignment="1">
      <alignment vertical="center"/>
    </xf>
    <xf numFmtId="194" fontId="19" fillId="0" borderId="0" xfId="75" applyNumberFormat="1" applyFont="1" applyFill="1" applyBorder="1" applyAlignment="1">
      <alignment vertical="center"/>
    </xf>
    <xf numFmtId="191" fontId="19" fillId="0" borderId="30" xfId="75" applyNumberFormat="1" applyFont="1" applyFill="1" applyBorder="1" applyAlignment="1">
      <alignment vertical="center"/>
    </xf>
    <xf numFmtId="191" fontId="19" fillId="0" borderId="0" xfId="75" applyNumberFormat="1" applyFont="1" applyFill="1" applyBorder="1" applyAlignment="1">
      <alignment vertical="center"/>
    </xf>
    <xf numFmtId="169" fontId="16" fillId="0" borderId="2" xfId="0" applyNumberFormat="1" applyFont="1" applyBorder="1" applyAlignment="1">
      <alignment vertical="center"/>
    </xf>
    <xf numFmtId="189" fontId="16" fillId="0" borderId="0" xfId="75" applyNumberFormat="1" applyFont="1" applyBorder="1" applyAlignment="1">
      <alignment vertical="center"/>
    </xf>
    <xf numFmtId="0" fontId="88" fillId="4" borderId="0" xfId="0" applyFont="1" applyFill="1" applyAlignment="1">
      <alignment horizontal="center" vertical="center" wrapText="1"/>
    </xf>
    <xf numFmtId="0" fontId="85" fillId="4" borderId="0" xfId="0" applyFont="1" applyFill="1" applyAlignment="1">
      <alignment horizontal="left" vertical="center"/>
    </xf>
    <xf numFmtId="0" fontId="26" fillId="4" borderId="0" xfId="0" applyFont="1" applyFill="1" applyAlignment="1">
      <alignment horizontal="left" vertical="top" wrapText="1"/>
    </xf>
    <xf numFmtId="173" fontId="40" fillId="0" borderId="0" xfId="76" applyNumberFormat="1" applyFill="1" applyAlignment="1">
      <alignment vertical="center"/>
    </xf>
    <xf numFmtId="173" fontId="15" fillId="0" borderId="0" xfId="0" applyNumberFormat="1" applyFont="1" applyAlignment="1">
      <alignment vertical="center"/>
    </xf>
    <xf numFmtId="169" fontId="21" fillId="0" borderId="0" xfId="0" applyNumberFormat="1" applyFont="1" applyAlignment="1">
      <alignment horizontal="left" vertical="center"/>
    </xf>
    <xf numFmtId="169" fontId="89" fillId="0" borderId="0" xfId="0" applyNumberFormat="1" applyFont="1" applyAlignment="1">
      <alignment horizontal="center" vertical="center"/>
    </xf>
    <xf numFmtId="175" fontId="13" fillId="3" borderId="0" xfId="0" applyNumberFormat="1" applyFont="1" applyFill="1" applyAlignment="1">
      <alignment vertical="center"/>
    </xf>
    <xf numFmtId="190" fontId="13" fillId="3" borderId="0" xfId="0" applyNumberFormat="1" applyFont="1" applyFill="1" applyAlignment="1">
      <alignment vertical="center"/>
    </xf>
    <xf numFmtId="2" fontId="19" fillId="3" borderId="0" xfId="0" applyNumberFormat="1" applyFont="1" applyFill="1" applyAlignment="1">
      <alignment vertical="center"/>
    </xf>
    <xf numFmtId="0" fontId="80" fillId="0" borderId="0" xfId="0" applyFont="1"/>
    <xf numFmtId="169" fontId="21" fillId="0" borderId="0" xfId="0" applyNumberFormat="1" applyFont="1" applyAlignment="1">
      <alignment vertical="center"/>
    </xf>
    <xf numFmtId="169" fontId="19" fillId="0" borderId="5" xfId="0" applyNumberFormat="1" applyFont="1" applyBorder="1" applyAlignment="1">
      <alignment vertical="center"/>
    </xf>
    <xf numFmtId="196" fontId="13" fillId="0" borderId="0" xfId="1" applyNumberFormat="1" applyFont="1" applyBorder="1" applyAlignment="1">
      <alignment vertical="center"/>
    </xf>
    <xf numFmtId="167" fontId="16" fillId="0" borderId="0" xfId="0" applyNumberFormat="1" applyFont="1" applyAlignment="1">
      <alignment vertical="center"/>
    </xf>
    <xf numFmtId="196" fontId="16" fillId="0" borderId="0" xfId="1" applyNumberFormat="1" applyFont="1" applyBorder="1" applyAlignment="1">
      <alignment vertical="center"/>
    </xf>
    <xf numFmtId="2" fontId="16" fillId="0" borderId="0" xfId="0" applyNumberFormat="1" applyFont="1" applyAlignment="1">
      <alignment vertical="center"/>
    </xf>
    <xf numFmtId="168" fontId="13" fillId="0" borderId="0" xfId="1" applyNumberFormat="1" applyFont="1" applyFill="1" applyBorder="1" applyAlignment="1">
      <alignment vertical="center"/>
    </xf>
    <xf numFmtId="0" fontId="14" fillId="72" borderId="0" xfId="0" applyFont="1" applyFill="1" applyAlignment="1">
      <alignment vertical="center"/>
    </xf>
    <xf numFmtId="0" fontId="14" fillId="72" borderId="0" xfId="0" applyFont="1" applyFill="1" applyAlignment="1">
      <alignment vertical="center" wrapText="1"/>
    </xf>
    <xf numFmtId="0" fontId="13" fillId="0" borderId="0" xfId="0" applyFont="1" applyAlignment="1">
      <alignment horizontal="center" vertical="center"/>
    </xf>
    <xf numFmtId="169" fontId="91" fillId="0" borderId="0" xfId="0" applyNumberFormat="1" applyFont="1" applyAlignment="1">
      <alignment vertical="center"/>
    </xf>
    <xf numFmtId="182" fontId="13" fillId="0" borderId="0" xfId="0" applyNumberFormat="1" applyFont="1" applyAlignment="1">
      <alignment horizontal="right" vertical="center"/>
    </xf>
    <xf numFmtId="1" fontId="19" fillId="3" borderId="0" xfId="0" applyNumberFormat="1" applyFont="1" applyFill="1" applyAlignment="1">
      <alignment vertical="center"/>
    </xf>
    <xf numFmtId="190" fontId="13" fillId="72" borderId="0" xfId="0" applyNumberFormat="1" applyFont="1" applyFill="1" applyAlignment="1">
      <alignment vertical="center"/>
    </xf>
    <xf numFmtId="190" fontId="13" fillId="3" borderId="0" xfId="0" applyNumberFormat="1" applyFont="1" applyFill="1" applyAlignment="1">
      <alignment horizontal="right" vertical="center"/>
    </xf>
    <xf numFmtId="9" fontId="19" fillId="3" borderId="0" xfId="0" applyNumberFormat="1" applyFont="1" applyFill="1" applyAlignment="1">
      <alignment vertical="center"/>
    </xf>
    <xf numFmtId="10" fontId="92" fillId="3" borderId="0" xfId="0" applyNumberFormat="1" applyFont="1" applyFill="1" applyAlignment="1">
      <alignment vertical="center"/>
    </xf>
    <xf numFmtId="169" fontId="15" fillId="0" borderId="0" xfId="0" applyNumberFormat="1" applyFont="1" applyAlignment="1">
      <alignment vertical="center"/>
    </xf>
    <xf numFmtId="169" fontId="13" fillId="0" borderId="55" xfId="0" applyNumberFormat="1" applyFont="1" applyBorder="1" applyAlignment="1">
      <alignment vertical="center"/>
    </xf>
    <xf numFmtId="0" fontId="90" fillId="0" borderId="0" xfId="0" applyFont="1"/>
    <xf numFmtId="169" fontId="21" fillId="0" borderId="0" xfId="0" applyNumberFormat="1" applyFont="1" applyAlignment="1">
      <alignment horizontal="right" vertical="center"/>
    </xf>
    <xf numFmtId="10" fontId="89" fillId="0" borderId="0" xfId="0" applyNumberFormat="1" applyFont="1" applyAlignment="1">
      <alignment vertical="center"/>
    </xf>
    <xf numFmtId="0" fontId="21" fillId="0" borderId="0" xfId="0" quotePrefix="1" applyFont="1" applyAlignment="1">
      <alignment vertical="center"/>
    </xf>
    <xf numFmtId="0" fontId="13" fillId="4" borderId="0" xfId="0" applyFont="1" applyFill="1" applyAlignment="1">
      <alignment horizontal="left" vertical="top"/>
    </xf>
    <xf numFmtId="169" fontId="14" fillId="75" borderId="0" xfId="0" applyNumberFormat="1" applyFont="1" applyFill="1" applyAlignment="1">
      <alignment vertical="center"/>
    </xf>
    <xf numFmtId="164" fontId="13" fillId="0" borderId="0" xfId="0" applyNumberFormat="1" applyFont="1" applyAlignment="1">
      <alignment vertical="center"/>
    </xf>
    <xf numFmtId="9" fontId="13" fillId="0" borderId="0" xfId="1" applyFont="1" applyAlignment="1">
      <alignment vertical="center"/>
    </xf>
    <xf numFmtId="49" fontId="13" fillId="72" borderId="0" xfId="0" applyNumberFormat="1" applyFont="1" applyFill="1" applyAlignment="1">
      <alignment vertical="center"/>
    </xf>
    <xf numFmtId="0" fontId="0" fillId="0" borderId="0" xfId="0" applyAlignment="1">
      <alignment vertical="center"/>
    </xf>
    <xf numFmtId="0" fontId="40" fillId="3" borderId="0" xfId="76" applyFill="1" applyAlignment="1">
      <alignment vertical="center"/>
    </xf>
    <xf numFmtId="0" fontId="40" fillId="72" borderId="0" xfId="76" applyFill="1" applyAlignment="1">
      <alignment vertical="center"/>
    </xf>
    <xf numFmtId="0" fontId="0" fillId="0" borderId="0" xfId="0" applyAlignment="1">
      <alignment vertical="center" wrapText="1"/>
    </xf>
    <xf numFmtId="49" fontId="80" fillId="0" borderId="0" xfId="0" applyNumberFormat="1" applyFont="1" applyAlignment="1">
      <alignment vertical="center"/>
    </xf>
    <xf numFmtId="169" fontId="13" fillId="76" borderId="0" xfId="0" applyNumberFormat="1" applyFont="1" applyFill="1" applyAlignment="1">
      <alignment vertical="center"/>
    </xf>
    <xf numFmtId="0" fontId="14" fillId="76" borderId="0" xfId="0" applyFont="1" applyFill="1" applyAlignment="1">
      <alignment vertical="center"/>
    </xf>
    <xf numFmtId="0" fontId="0" fillId="76" borderId="0" xfId="0" applyFill="1"/>
    <xf numFmtId="0" fontId="13" fillId="76" borderId="0" xfId="0" applyFont="1" applyFill="1" applyAlignment="1">
      <alignment vertical="center"/>
    </xf>
    <xf numFmtId="169" fontId="14" fillId="76" borderId="0" xfId="0" applyNumberFormat="1" applyFont="1" applyFill="1" applyAlignment="1">
      <alignment vertical="center"/>
    </xf>
    <xf numFmtId="0" fontId="0" fillId="76" borderId="0" xfId="0" applyFill="1" applyAlignment="1">
      <alignment vertical="center"/>
    </xf>
    <xf numFmtId="0" fontId="80" fillId="76" borderId="0" xfId="0" applyFont="1" applyFill="1"/>
    <xf numFmtId="0" fontId="90" fillId="76" borderId="0" xfId="0" applyFont="1" applyFill="1"/>
    <xf numFmtId="169" fontId="21" fillId="76" borderId="0" xfId="0" applyNumberFormat="1" applyFont="1" applyFill="1" applyAlignment="1">
      <alignment vertical="center"/>
    </xf>
    <xf numFmtId="169" fontId="21" fillId="0" borderId="0" xfId="0" applyNumberFormat="1" applyFont="1" applyAlignment="1">
      <alignment horizontal="center" vertical="center"/>
    </xf>
    <xf numFmtId="0" fontId="22" fillId="76" borderId="0" xfId="0" applyFont="1" applyFill="1" applyAlignment="1">
      <alignment vertical="center"/>
    </xf>
    <xf numFmtId="169" fontId="13" fillId="76" borderId="0" xfId="0" applyNumberFormat="1" applyFont="1" applyFill="1" applyAlignment="1">
      <alignment vertical="center" wrapText="1"/>
    </xf>
    <xf numFmtId="0" fontId="40" fillId="3" borderId="0" xfId="76" applyFill="1"/>
    <xf numFmtId="0" fontId="0" fillId="3" borderId="0" xfId="0" applyFill="1" applyAlignment="1">
      <alignment vertical="center"/>
    </xf>
    <xf numFmtId="190" fontId="13" fillId="0" borderId="0" xfId="0" applyNumberFormat="1" applyFont="1" applyAlignment="1">
      <alignment vertical="center"/>
    </xf>
    <xf numFmtId="2" fontId="13" fillId="0" borderId="0" xfId="1" applyNumberFormat="1" applyFont="1" applyFill="1" applyBorder="1" applyAlignment="1">
      <alignment vertical="center"/>
    </xf>
    <xf numFmtId="197" fontId="13" fillId="0" borderId="0" xfId="0" applyNumberFormat="1" applyFont="1" applyAlignment="1">
      <alignment vertical="center"/>
    </xf>
    <xf numFmtId="10" fontId="19" fillId="3" borderId="0" xfId="2289" applyNumberFormat="1" applyFont="1" applyFill="1" applyAlignment="1">
      <alignment vertical="center"/>
    </xf>
    <xf numFmtId="195" fontId="13" fillId="0" borderId="0" xfId="75" applyNumberFormat="1" applyFont="1" applyFill="1" applyAlignment="1">
      <alignment vertical="center"/>
    </xf>
    <xf numFmtId="164" fontId="13" fillId="0" borderId="0" xfId="75" applyFont="1" applyFill="1" applyAlignment="1">
      <alignment vertical="center"/>
    </xf>
    <xf numFmtId="166" fontId="13" fillId="0" borderId="0" xfId="0" applyNumberFormat="1" applyFont="1" applyAlignment="1">
      <alignment vertical="center"/>
    </xf>
    <xf numFmtId="166" fontId="19" fillId="0" borderId="0" xfId="75" applyNumberFormat="1" applyFont="1" applyAlignment="1">
      <alignment vertical="center"/>
    </xf>
    <xf numFmtId="166" fontId="19" fillId="0" borderId="0" xfId="75" applyNumberFormat="1" applyFont="1" applyFill="1" applyAlignment="1">
      <alignment vertical="center"/>
    </xf>
    <xf numFmtId="170" fontId="20" fillId="0" borderId="0" xfId="0" applyNumberFormat="1" applyFont="1" applyAlignment="1">
      <alignment vertical="center"/>
    </xf>
    <xf numFmtId="0" fontId="19" fillId="0" borderId="0" xfId="0" applyFont="1" applyAlignment="1">
      <alignment vertical="center"/>
    </xf>
    <xf numFmtId="14" fontId="19" fillId="3" borderId="0" xfId="0" applyNumberFormat="1" applyFont="1" applyFill="1" applyAlignment="1">
      <alignment horizontal="right" vertical="center"/>
    </xf>
    <xf numFmtId="0" fontId="93" fillId="0" borderId="0" xfId="0" applyFont="1" applyAlignment="1">
      <alignment vertical="center"/>
    </xf>
    <xf numFmtId="0" fontId="94" fillId="0" borderId="0" xfId="0" applyFont="1"/>
    <xf numFmtId="169" fontId="93" fillId="0" borderId="0" xfId="0" applyNumberFormat="1" applyFont="1" applyAlignment="1">
      <alignment vertical="center"/>
    </xf>
    <xf numFmtId="166" fontId="19" fillId="3" borderId="0" xfId="0" applyNumberFormat="1" applyFont="1" applyFill="1" applyAlignment="1">
      <alignment vertical="center"/>
    </xf>
    <xf numFmtId="175" fontId="14" fillId="0" borderId="0" xfId="0" applyNumberFormat="1" applyFont="1" applyAlignment="1">
      <alignment vertical="center"/>
    </xf>
    <xf numFmtId="43" fontId="13" fillId="0" borderId="0" xfId="0" applyNumberFormat="1" applyFont="1" applyAlignment="1">
      <alignment vertical="center"/>
    </xf>
    <xf numFmtId="169" fontId="13" fillId="0" borderId="43" xfId="0" applyNumberFormat="1" applyFont="1" applyBorder="1" applyAlignment="1">
      <alignment vertical="center"/>
    </xf>
    <xf numFmtId="169" fontId="19" fillId="0" borderId="43" xfId="0" applyNumberFormat="1" applyFont="1" applyBorder="1" applyAlignment="1">
      <alignment vertical="center"/>
    </xf>
    <xf numFmtId="2" fontId="19" fillId="0" borderId="43" xfId="0" applyNumberFormat="1" applyFont="1" applyBorder="1" applyAlignment="1">
      <alignment vertical="center"/>
    </xf>
    <xf numFmtId="167" fontId="13" fillId="0" borderId="43" xfId="0" applyNumberFormat="1" applyFont="1" applyBorder="1" applyAlignment="1">
      <alignment vertical="center"/>
    </xf>
    <xf numFmtId="175" fontId="19" fillId="0" borderId="43" xfId="0" applyNumberFormat="1" applyFont="1" applyBorder="1" applyAlignment="1">
      <alignment vertical="center"/>
    </xf>
    <xf numFmtId="189" fontId="13" fillId="0" borderId="5" xfId="75" applyNumberFormat="1" applyFont="1" applyBorder="1" applyAlignment="1">
      <alignment vertical="center"/>
    </xf>
    <xf numFmtId="189" fontId="13" fillId="0" borderId="43" xfId="75" applyNumberFormat="1" applyFont="1" applyBorder="1" applyAlignment="1">
      <alignment vertical="center"/>
    </xf>
    <xf numFmtId="0" fontId="96" fillId="0" borderId="0" xfId="0" applyFont="1" applyAlignment="1">
      <alignment horizontal="right" vertical="center"/>
    </xf>
    <xf numFmtId="198" fontId="19" fillId="3" borderId="0" xfId="0" applyNumberFormat="1" applyFont="1" applyFill="1" applyAlignment="1">
      <alignment vertical="center"/>
    </xf>
    <xf numFmtId="190" fontId="13" fillId="0" borderId="30" xfId="0" applyNumberFormat="1" applyFont="1" applyBorder="1" applyAlignment="1">
      <alignment vertical="center"/>
    </xf>
    <xf numFmtId="189" fontId="13" fillId="0" borderId="0" xfId="1947" applyNumberFormat="1" applyFont="1" applyAlignment="1">
      <alignment vertical="center"/>
    </xf>
    <xf numFmtId="0" fontId="29" fillId="0" borderId="56" xfId="0" applyFont="1" applyBorder="1"/>
    <xf numFmtId="0" fontId="29" fillId="0" borderId="0" xfId="0" applyFont="1"/>
    <xf numFmtId="169" fontId="97" fillId="5" borderId="0" xfId="0" applyNumberFormat="1" applyFont="1" applyFill="1" applyAlignment="1">
      <alignment vertical="center"/>
    </xf>
    <xf numFmtId="0" fontId="98" fillId="4" borderId="0" xfId="0" applyFont="1" applyFill="1" applyAlignment="1">
      <alignment horizontal="left" vertical="center"/>
    </xf>
    <xf numFmtId="169" fontId="14" fillId="5" borderId="0" xfId="0" applyNumberFormat="1" applyFont="1" applyFill="1" applyAlignment="1">
      <alignment vertical="center"/>
    </xf>
    <xf numFmtId="0" fontId="26" fillId="4" borderId="0" xfId="0" applyFont="1" applyFill="1" applyAlignment="1">
      <alignment horizontal="left" vertical="top" wrapText="1"/>
    </xf>
  </cellXfs>
  <cellStyles count="2483">
    <cellStyle name="%" xfId="5" xr:uid="{00000000-0005-0000-0000-000000000000}"/>
    <cellStyle name="% 2" xfId="6" xr:uid="{00000000-0005-0000-0000-000001000000}"/>
    <cellStyle name="% 3" xfId="88" xr:uid="{00000000-0005-0000-0000-000002000000}"/>
    <cellStyle name="%_NRA_model_for_NEMO" xfId="89" xr:uid="{00000000-0005-0000-0000-000003000000}"/>
    <cellStyle name="%_NRA_model_for_NEMO_NRA_model_for_NEMO2 (EMC Update) v0 30 1" xfId="90" xr:uid="{00000000-0005-0000-0000-000004000000}"/>
    <cellStyle name="%_NRA_model_for_NEMO_NRA_model_for_NEMO2 (EMC Update) v0.29.3" xfId="91" xr:uid="{00000000-0005-0000-0000-000005000000}"/>
    <cellStyle name="%_NRA_model_for_NEMO_NRA_model_for_NEMO2 (EMC Update) v0.29.3_NRA_model_for_NEMO2 (EMC Update) v0 30 1" xfId="92" xr:uid="{00000000-0005-0000-0000-000006000000}"/>
    <cellStyle name="%_NRA_model_for_NEMO_NRA_model_for_NEMO2 (EMC Update) v0.29.3_NRA_model_for_NEMO2 (EMC Update) v0.29.5" xfId="93" xr:uid="{00000000-0005-0000-0000-000007000000}"/>
    <cellStyle name="%_NRA_model_for_NEMO_NRA_model_for_NEMO2 (EMC Update) v0.29.3_NRA_model_for_NEMO2 (EMC Update) v0.29.5_NRA_model_for_NEMO2 (EMC Update) v0 30 1" xfId="94" xr:uid="{00000000-0005-0000-0000-000008000000}"/>
    <cellStyle name="%_NRA_model_for_NEMO_NRA_model_for_NEMO2 (EMC Update) v0.29.4" xfId="95" xr:uid="{00000000-0005-0000-0000-000009000000}"/>
    <cellStyle name="%_NRA_model_for_NEMO_NRA_model_for_NEMO2 (EMC Update) v0.29.4_NRA_model_for_NEMO2 (EMC Update) v0 30 1" xfId="96" xr:uid="{00000000-0005-0000-0000-00000A000000}"/>
    <cellStyle name="%_NRA_model_for_NEMO_NRA_model_for_NEMO2 (EMC Update) v0.29.4_NRA_model_for_NEMO2 (EMC Update) v0.29.5" xfId="97" xr:uid="{00000000-0005-0000-0000-00000B000000}"/>
    <cellStyle name="%_NRA_model_for_NEMO_NRA_model_for_NEMO2 (EMC Update) v0.29.4_NRA_model_for_NEMO2 (EMC Update) v0.29.5_NRA_model_for_NEMO2 (EMC Update) v0 30 1" xfId="98" xr:uid="{00000000-0005-0000-0000-00000C000000}"/>
    <cellStyle name="%_NRA_model_for_NEMO_NRA_model_for_NEMO2 (EMC Update) v0.29.5" xfId="99" xr:uid="{00000000-0005-0000-0000-00000D000000}"/>
    <cellStyle name="%_NRA_model_for_NEMO_NRA_model_for_NEMO2 (EMC Update) v0.29.5_NRA_model_for_NEMO2 (EMC Update) v0 30 1" xfId="100" xr:uid="{00000000-0005-0000-0000-00000E000000}"/>
    <cellStyle name="%_NRA_model_for_NEMO2 " xfId="101" xr:uid="{00000000-0005-0000-0000-00000F000000}"/>
    <cellStyle name="%_NRA_model_for_NEMO2 (E" xfId="102" xr:uid="{00000000-0005-0000-0000-000010000000}"/>
    <cellStyle name="%_NRA_model_for_NEMO2 (E_NRA_model_for_NEMO2 (EMC Update) v0 30 1" xfId="103" xr:uid="{00000000-0005-0000-0000-000011000000}"/>
    <cellStyle name="%_NRA_model_for_NEMO2 (EMC" xfId="104" xr:uid="{00000000-0005-0000-0000-000012000000}"/>
    <cellStyle name="%_NRA_model_for_NEMO2 (EMC Update) v0 30 1" xfId="105" xr:uid="{00000000-0005-0000-0000-000013000000}"/>
    <cellStyle name="%_NRA_model_for_NEMO2 (EMC Update) v0.19" xfId="106" xr:uid="{00000000-0005-0000-0000-000014000000}"/>
    <cellStyle name="%_NRA_model_for_NEMO2 (EMC Update) v0.19_NRA_model_for_NEMO2 (EMC Update) v0 30 1" xfId="107" xr:uid="{00000000-0005-0000-0000-000015000000}"/>
    <cellStyle name="%_NRA_model_for_NEMO2 (EMC Update) v0.19_NRA_model_for_NEMO2 (EMC Update) v0.21" xfId="108" xr:uid="{00000000-0005-0000-0000-000016000000}"/>
    <cellStyle name="%_NRA_model_for_NEMO2 (EMC Update) v0.19_NRA_model_for_NEMO2 (EMC Update) v0.21_NRA_model_for_NEMO2 (EMC Update) v0 30 1" xfId="109" xr:uid="{00000000-0005-0000-0000-000017000000}"/>
    <cellStyle name="%_NRA_model_for_NEMO2 (EMC Update) v0.19_NRA_model_for_NEMO2 (EMC Update) v0.21_NRA_model_for_NEMO2 (EMC Update) v0.22" xfId="110" xr:uid="{00000000-0005-0000-0000-000018000000}"/>
    <cellStyle name="%_NRA_model_for_NEMO2 (EMC Update) v0.19_NRA_model_for_NEMO2 (EMC Update) v0.21_NRA_model_for_NEMO2 (EMC Update) v0.22_NRA_model_for_NEMO2 (EMC Update) v0 30 1" xfId="111" xr:uid="{00000000-0005-0000-0000-000019000000}"/>
    <cellStyle name="%_NRA_model_for_NEMO2 (EMC Update) v0.19_NRA_model_for_NEMO2 (EMC Update) v0.21_NRA_model_for_NEMO2 (EMC Update) v0.22_NRA_model_for_NEMO2 (EMC Update) v0.25" xfId="112" xr:uid="{00000000-0005-0000-0000-00001A000000}"/>
    <cellStyle name="%_NRA_model_for_NEMO2 (EMC Update) v0.19_NRA_model_for_NEMO2 (EMC Update) v0.21_NRA_model_for_NEMO2 (EMC Update) v0.22_NRA_model_for_NEMO2 (EMC Update) v0.25_NRA_model_for_NEMO2 (EMC Update) v0 30 1" xfId="113" xr:uid="{00000000-0005-0000-0000-00001B000000}"/>
    <cellStyle name="%_NRA_model_for_NEMO2 (EMC Update) v0.19_NRA_model_for_NEMO2 (EMC Update) v0.21_NRA_model_for_NEMO2 (EMC Update) v0.22_NRA_model_for_NEMO2 (EMC Update) v0.25_NRA_model_for_NEMO2 (EMC Update) v0.26" xfId="114" xr:uid="{00000000-0005-0000-0000-00001C000000}"/>
    <cellStyle name="%_NRA_model_for_NEMO2 (EMC Update) v0.19_NRA_model_for_NEMO2 (EMC Update) v0.21_NRA_model_for_NEMO2 (EMC Update) v0.22_NRA_model_for_NEMO2 (EMC Update) v0.25_NRA_model_for_NEMO2 (EMC Update) v0.26_NRA_model_for_NEMO2 (EMC Update) v0 30 1" xfId="115" xr:uid="{00000000-0005-0000-0000-00001D000000}"/>
    <cellStyle name="%_NRA_model_for_NEMO2 (EMC Update) v0.19_NRA_model_for_NEMO2 (EMC Update) v0.21_NRA_model_for_NEMO2 (EMC Update) v0.22_NRA_model_for_NEMO2 (EMC Update) v0.25_NRA_model_for_NEMO2 (EMC Update) v0.26_NRA_model_for_NEMO2 (EMC Update) v0.29" xfId="116" xr:uid="{00000000-0005-0000-0000-00001E000000}"/>
    <cellStyle name="%_NRA_model_for_NEMO2 (EMC Update) v0.19_NRA_model_for_NEMO2 (EMC Update) v0.21_NRA_model_for_NEMO2 (EMC Update) v0.22_NRA_model_for_NEMO2 (EMC Update) v0.25_NRA_model_for_NEMO2 (EMC Update) v0.26_NRA_model_for_NEMO2 (EMC Update) v0.29.2" xfId="117" xr:uid="{00000000-0005-0000-0000-00001F000000}"/>
    <cellStyle name="%_NRA_model_for_NEMO2 (EMC Update) v0.19_NRA_model_for_NEMO2 (EMC Update) v0.21_NRA_model_for_NEMO2 (EMC Update) v0.22_NRA_model_for_NEMO2 (EMC Update) v0.25_NRA_model_for_NEMO2 (EMC Update) v0.26_NRA_model_for_NEMO2 (EMC Update) v0.29.3" xfId="118" xr:uid="{00000000-0005-0000-0000-000020000000}"/>
    <cellStyle name="%_NRA_model_for_NEMO2 (EMC Update) v0.19_NRA_model_for_NEMO2 (EMC Update) v0.21_NRA_model_for_NEMO2 (EMC Update) v0.22_NRA_model_for_NEMO2 (EMC Update) v0.25_NRA_model_for_NEMO2 (EMC Update) v0.26_NRA_model_for_NEMO2 (EMC Update) v0.29.4" xfId="119" xr:uid="{00000000-0005-0000-0000-000021000000}"/>
    <cellStyle name="%_NRA_model_for_NEMO2 (EMC Update) v0.19_NRA_model_for_NEMO2 (EMC Update) v0.21_NRA_model_for_NEMO2 (EMC Update) v0.22_NRA_model_for_NEMO2 (EMC Update) v0.25_NRA_model_for_NEMO2 (EMC Update) v0.26_NRA_model_for_NEMO2 (EMC Update) v0.29.5" xfId="120" xr:uid="{00000000-0005-0000-0000-000022000000}"/>
    <cellStyle name="%_NRA_model_for_NEMO2 (EMC Update) v0.19_NRA_model_for_NEMO2 (EMC Update) v0.21_NRA_model_for_NEMO2 (EMC Update) v0.22_NRA_model_for_NEMO2 (EMC Update) v0.25_NRA_model_for_NEMO2 (EMC Update) v0.29" xfId="121" xr:uid="{00000000-0005-0000-0000-000023000000}"/>
    <cellStyle name="%_NRA_model_for_NEMO2 (EMC Update) v0.19_NRA_model_for_NEMO2 (EMC Update) v0.21_NRA_model_for_NEMO2 (EMC Update) v0.22_NRA_model_for_NEMO2 (EMC Update) v0.25_NRA_model_for_NEMO2 (EMC Update) v0.29.2" xfId="122" xr:uid="{00000000-0005-0000-0000-000024000000}"/>
    <cellStyle name="%_NRA_model_for_NEMO2 (EMC Update) v0.19_NRA_model_for_NEMO2 (EMC Update) v0.21_NRA_model_for_NEMO2 (EMC Update) v0.22_NRA_model_for_NEMO2 (EMC Update) v0.25_NRA_model_for_NEMO2 (EMC Update) v0.29.2_NRA_model_for_NEMO2 (EMC Update) v0 30 1" xfId="123" xr:uid="{00000000-0005-0000-0000-000025000000}"/>
    <cellStyle name="%_NRA_model_for_NEMO2 (EMC Update) v0.19_NRA_model_for_NEMO2 (EMC Update) v0.21_NRA_model_for_NEMO2 (EMC Update) v0.22_NRA_model_for_NEMO2 (EMC Update) v0.25_NRA_model_for_NEMO2 (EMC Update) v0.29.2_NRA_model_for_NEMO2 (EMC Update) v0.29.3" xfId="124" xr:uid="{00000000-0005-0000-0000-000026000000}"/>
    <cellStyle name="%_NRA_model_for_NEMO2 (EMC Update) v0.19_NRA_model_for_NEMO2 (EMC Update) v0.21_NRA_model_for_NEMO2 (EMC Update) v0.22_NRA_model_for_NEMO2 (EMC Update) v0.25_NRA_model_for_NEMO2 (EMC Update) v0.29.2_NRA_model_for_NEMO2 (EMC Update) v0.29.4" xfId="125" xr:uid="{00000000-0005-0000-0000-000027000000}"/>
    <cellStyle name="%_NRA_model_for_NEMO2 (EMC Update) v0.19_NRA_model_for_NEMO2 (EMC Update) v0.21_NRA_model_for_NEMO2 (EMC Update) v0.22_NRA_model_for_NEMO2 (EMC Update) v0.25_NRA_model_for_NEMO2 (EMC Update) v0.29.2_NRA_model_for_NEMO2 (EMC Update) v0.29.5" xfId="126" xr:uid="{00000000-0005-0000-0000-000028000000}"/>
    <cellStyle name="%_NRA_model_for_NEMO2 (EMC Update) v0.19_NRA_model_for_NEMO2 (EMC Update) v0.21_NRA_model_for_NEMO2 (EMC Update) v0.22_NRA_model_for_NEMO2 (EMC Update) v0.25_NRA_model_for_NEMO2 (EMC Update) v0.29.3" xfId="127" xr:uid="{00000000-0005-0000-0000-000029000000}"/>
    <cellStyle name="%_NRA_model_for_NEMO2 (EMC Update) v0.19_NRA_model_for_NEMO2 (EMC Update) v0.21_NRA_model_for_NEMO2 (EMC Update) v0.22_NRA_model_for_NEMO2 (EMC Update) v0.25_NRA_model_for_NEMO2 (EMC Update) v0.29.3_NRA_model_for_NEMO2 (EMC Update) v0 30 1" xfId="128" xr:uid="{00000000-0005-0000-0000-00002A000000}"/>
    <cellStyle name="%_NRA_model_for_NEMO2 (EMC Update) v0.19_NRA_model_for_NEMO2 (EMC Update) v0.21_NRA_model_for_NEMO2 (EMC Update) v0.22_NRA_model_for_NEMO2 (EMC Update) v0.25_NRA_model_for_NEMO2 (EMC Update) v0.29.3_NRA_model_for_NEMO2 (EMC Update) v0.29.5" xfId="129" xr:uid="{00000000-0005-0000-0000-00002B000000}"/>
    <cellStyle name="%_NRA_model_for_NEMO2 (EMC Update) v0.19_NRA_model_for_NEMO2 (EMC Update) v0.21_NRA_model_for_NEMO2 (EMC Update) v0.22_NRA_model_for_NEMO2 (EMC Update) v0.25_NRA_model_for_NEMO2 (EMC Update) v0.29.4" xfId="130" xr:uid="{00000000-0005-0000-0000-00002C000000}"/>
    <cellStyle name="%_NRA_model_for_NEMO2 (EMC Update) v0.19_NRA_model_for_NEMO2 (EMC Update) v0.21_NRA_model_for_NEMO2 (EMC Update) v0.22_NRA_model_for_NEMO2 (EMC Update) v0.25_NRA_model_for_NEMO2 (EMC Update) v0.29.4_NRA_model_for_NEMO2 (EMC Update) v0 30 1" xfId="131" xr:uid="{00000000-0005-0000-0000-00002D000000}"/>
    <cellStyle name="%_NRA_model_for_NEMO2 (EMC Update) v0.19_NRA_model_for_NEMO2 (EMC Update) v0.21_NRA_model_for_NEMO2 (EMC Update) v0.22_NRA_model_for_NEMO2 (EMC Update) v0.25_NRA_model_for_NEMO2 (EMC Update) v0.29.4_NRA_model_for_NEMO2 (EMC Update) v0.29.5" xfId="132" xr:uid="{00000000-0005-0000-0000-00002E000000}"/>
    <cellStyle name="%_NRA_model_for_NEMO2 (EMC Update) v0.19_NRA_model_for_NEMO2 (EMC Update) v0.21_NRA_model_for_NEMO2 (EMC Update) v0.22_NRA_model_for_NEMO2 (EMC Update) v0.25_NRA_model_for_NEMO2 (EMC Update) v0.29.5" xfId="133" xr:uid="{00000000-0005-0000-0000-00002F000000}"/>
    <cellStyle name="%_NRA_model_for_NEMO2 (EMC Update) v0.19_NRA_model_for_NEMO2 (EMC Update) v0.21_NRA_model_for_NEMO2 (EMC Update) v0.22_NRA_model_for_NEMO2 (EMC Update) v0.25_NRA_model_for_NEMO2 (EMC Update) v0.29.5_NRA_model_for_NEMO2 (EMC Update) v0 30 1" xfId="134" xr:uid="{00000000-0005-0000-0000-000030000000}"/>
    <cellStyle name="%_NRA_model_for_NEMO2 (EMC Update) v0.19_NRA_model_for_NEMO2 (EMC Update) v0.21_NRA_model_for_NEMO2 (EMC Update) v0.22_NRA_model_for_NEMO2 (EMC Update) v0.25_NRA_model_for_NEMO2 (EMC Update) v0.29_NRA_model_for_NEMO2 (EMC Update) v0 30 1" xfId="135" xr:uid="{00000000-0005-0000-0000-000031000000}"/>
    <cellStyle name="%_NRA_model_for_NEMO2 (EMC Update) v0.19_NRA_model_for_NEMO2 (EMC Update) v0.21_NRA_model_for_NEMO2 (EMC Update) v0.22_NRA_model_for_NEMO2 (EMC Update) v0.25_NRA_model_for_NEMO2 (EMC Update) v0.29_NRA_model_for_NEMO2 (EMC Update) v0.29.2" xfId="136" xr:uid="{00000000-0005-0000-0000-000032000000}"/>
    <cellStyle name="%_NRA_model_for_NEMO2 (EMC Update) v0.19_NRA_model_for_NEMO2 (EMC Update) v0.21_NRA_model_for_NEMO2 (EMC Update) v0.22_NRA_model_for_NEMO2 (EMC Update) v0.25_NRA_model_for_NEMO2 (EMC Update) v0.29_NRA_model_for_NEMO2 (EMC Update) v0.29.3" xfId="137" xr:uid="{00000000-0005-0000-0000-000033000000}"/>
    <cellStyle name="%_NRA_model_for_NEMO2 (EMC Update) v0.19_NRA_model_for_NEMO2 (EMC Update) v0.21_NRA_model_for_NEMO2 (EMC Update) v0.22_NRA_model_for_NEMO2 (EMC Update) v0.25_NRA_model_for_NEMO2 (EMC Update) v0.29_NRA_model_for_NEMO2 (EMC Update) v0.29.4" xfId="138" xr:uid="{00000000-0005-0000-0000-000034000000}"/>
    <cellStyle name="%_NRA_model_for_NEMO2 (EMC Update) v0.19_NRA_model_for_NEMO2 (EMC Update) v0.21_NRA_model_for_NEMO2 (EMC Update) v0.22_NRA_model_for_NEMO2 (EMC Update) v0.25_NRA_model_for_NEMO2 (EMC Update) v0.29_NRA_model_for_NEMO2 (EMC Update) v0.29.5" xfId="139" xr:uid="{00000000-0005-0000-0000-000035000000}"/>
    <cellStyle name="%_NRA_model_for_NEMO2 (EMC Update) v0.19_NRA_model_for_NEMO2 (EMC Update) v0.21_NRA_model_for_NEMO2 (EMC Update) v0.22_NRA_model_for_NEMO2 (EMC Update) v0.26" xfId="140" xr:uid="{00000000-0005-0000-0000-000036000000}"/>
    <cellStyle name="%_NRA_model_for_NEMO2 (EMC Update) v0.19_NRA_model_for_NEMO2 (EMC Update) v0.21_NRA_model_for_NEMO2 (EMC Update) v0.22_NRA_model_for_NEMO2 (EMC Update) v0.26_NRA_model_for_NEMO2 (EMC Update) v0 30 1" xfId="141" xr:uid="{00000000-0005-0000-0000-000037000000}"/>
    <cellStyle name="%_NRA_model_for_NEMO2 (EMC Update) v0.19_NRA_model_for_NEMO2 (EMC Update) v0.21_NRA_model_for_NEMO2 (EMC Update) v0.22_NRA_model_for_NEMO2 (EMC Update) v0.26_NRA_model_for_NEMO2 (EMC Update) v0.29" xfId="142" xr:uid="{00000000-0005-0000-0000-000038000000}"/>
    <cellStyle name="%_NRA_model_for_NEMO2 (EMC Update) v0.19_NRA_model_for_NEMO2 (EMC Update) v0.21_NRA_model_for_NEMO2 (EMC Update) v0.22_NRA_model_for_NEMO2 (EMC Update) v0.26_NRA_model_for_NEMO2 (EMC Update) v0.29.2" xfId="143" xr:uid="{00000000-0005-0000-0000-000039000000}"/>
    <cellStyle name="%_NRA_model_for_NEMO2 (EMC Update) v0.19_NRA_model_for_NEMO2 (EMC Update) v0.21_NRA_model_for_NEMO2 (EMC Update) v0.22_NRA_model_for_NEMO2 (EMC Update) v0.26_NRA_model_for_NEMO2 (EMC Update) v0.29.2_NRA_model_for_NEMO2 (EMC Update) v0 30 1" xfId="144" xr:uid="{00000000-0005-0000-0000-00003A000000}"/>
    <cellStyle name="%_NRA_model_for_NEMO2 (EMC Update) v0.19_NRA_model_for_NEMO2 (EMC Update) v0.21_NRA_model_for_NEMO2 (EMC Update) v0.22_NRA_model_for_NEMO2 (EMC Update) v0.26_NRA_model_for_NEMO2 (EMC Update) v0.29.2_NRA_model_for_NEMO2 (EMC Update) v0.29.3" xfId="145" xr:uid="{00000000-0005-0000-0000-00003B000000}"/>
    <cellStyle name="%_NRA_model_for_NEMO2 (EMC Update) v0.19_NRA_model_for_NEMO2 (EMC Update) v0.21_NRA_model_for_NEMO2 (EMC Update) v0.22_NRA_model_for_NEMO2 (EMC Update) v0.26_NRA_model_for_NEMO2 (EMC Update) v0.29.2_NRA_model_for_NEMO2 (EMC Update) v0.29.4" xfId="146" xr:uid="{00000000-0005-0000-0000-00003C000000}"/>
    <cellStyle name="%_NRA_model_for_NEMO2 (EMC Update) v0.19_NRA_model_for_NEMO2 (EMC Update) v0.21_NRA_model_for_NEMO2 (EMC Update) v0.22_NRA_model_for_NEMO2 (EMC Update) v0.26_NRA_model_for_NEMO2 (EMC Update) v0.29.2_NRA_model_for_NEMO2 (EMC Update) v0.29.5" xfId="147" xr:uid="{00000000-0005-0000-0000-00003D000000}"/>
    <cellStyle name="%_NRA_model_for_NEMO2 (EMC Update) v0.19_NRA_model_for_NEMO2 (EMC Update) v0.21_NRA_model_for_NEMO2 (EMC Update) v0.22_NRA_model_for_NEMO2 (EMC Update) v0.26_NRA_model_for_NEMO2 (EMC Update) v0.29.3" xfId="148" xr:uid="{00000000-0005-0000-0000-00003E000000}"/>
    <cellStyle name="%_NRA_model_for_NEMO2 (EMC Update) v0.19_NRA_model_for_NEMO2 (EMC Update) v0.21_NRA_model_for_NEMO2 (EMC Update) v0.22_NRA_model_for_NEMO2 (EMC Update) v0.26_NRA_model_for_NEMO2 (EMC Update) v0.29.3_NRA_model_for_NEMO2 (EMC Update) v0 30 1" xfId="149" xr:uid="{00000000-0005-0000-0000-00003F000000}"/>
    <cellStyle name="%_NRA_model_for_NEMO2 (EMC Update) v0.19_NRA_model_for_NEMO2 (EMC Update) v0.21_NRA_model_for_NEMO2 (EMC Update) v0.22_NRA_model_for_NEMO2 (EMC Update) v0.26_NRA_model_for_NEMO2 (EMC Update) v0.29.3_NRA_model_for_NEMO2 (EMC Update) v0.29.5" xfId="150" xr:uid="{00000000-0005-0000-0000-000040000000}"/>
    <cellStyle name="%_NRA_model_for_NEMO2 (EMC Update) v0.19_NRA_model_for_NEMO2 (EMC Update) v0.21_NRA_model_for_NEMO2 (EMC Update) v0.22_NRA_model_for_NEMO2 (EMC Update) v0.26_NRA_model_for_NEMO2 (EMC Update) v0.29.4" xfId="151" xr:uid="{00000000-0005-0000-0000-000041000000}"/>
    <cellStyle name="%_NRA_model_for_NEMO2 (EMC Update) v0.19_NRA_model_for_NEMO2 (EMC Update) v0.21_NRA_model_for_NEMO2 (EMC Update) v0.22_NRA_model_for_NEMO2 (EMC Update) v0.26_NRA_model_for_NEMO2 (EMC Update) v0.29.4_NRA_model_for_NEMO2 (EMC Update) v0 30 1" xfId="152" xr:uid="{00000000-0005-0000-0000-000042000000}"/>
    <cellStyle name="%_NRA_model_for_NEMO2 (EMC Update) v0.19_NRA_model_for_NEMO2 (EMC Update) v0.21_NRA_model_for_NEMO2 (EMC Update) v0.22_NRA_model_for_NEMO2 (EMC Update) v0.26_NRA_model_for_NEMO2 (EMC Update) v0.29.4_NRA_model_for_NEMO2 (EMC Update) v0.29.5" xfId="153" xr:uid="{00000000-0005-0000-0000-000043000000}"/>
    <cellStyle name="%_NRA_model_for_NEMO2 (EMC Update) v0.19_NRA_model_for_NEMO2 (EMC Update) v0.21_NRA_model_for_NEMO2 (EMC Update) v0.22_NRA_model_for_NEMO2 (EMC Update) v0.26_NRA_model_for_NEMO2 (EMC Update) v0.29.5" xfId="154" xr:uid="{00000000-0005-0000-0000-000044000000}"/>
    <cellStyle name="%_NRA_model_for_NEMO2 (EMC Update) v0.19_NRA_model_for_NEMO2 (EMC Update) v0.21_NRA_model_for_NEMO2 (EMC Update) v0.22_NRA_model_for_NEMO2 (EMC Update) v0.26_NRA_model_for_NEMO2 (EMC Update) v0.29.5_NRA_model_for_NEMO2 (EMC Update) v0 30 1" xfId="155" xr:uid="{00000000-0005-0000-0000-000045000000}"/>
    <cellStyle name="%_NRA_model_for_NEMO2 (EMC Update) v0.19_NRA_model_for_NEMO2 (EMC Update) v0.21_NRA_model_for_NEMO2 (EMC Update) v0.22_NRA_model_for_NEMO2 (EMC Update) v0.26_NRA_model_for_NEMO2 (EMC Update) v0.29_NRA_model_for_NEMO2 (EMC Update) v0 30 1" xfId="156" xr:uid="{00000000-0005-0000-0000-000046000000}"/>
    <cellStyle name="%_NRA_model_for_NEMO2 (EMC Update) v0.19_NRA_model_for_NEMO2 (EMC Update) v0.21_NRA_model_for_NEMO2 (EMC Update) v0.22_NRA_model_for_NEMO2 (EMC Update) v0.26_NRA_model_for_NEMO2 (EMC Update) v0.29_NRA_model_for_NEMO2 (EMC Update) v0.29.2" xfId="157" xr:uid="{00000000-0005-0000-0000-000047000000}"/>
    <cellStyle name="%_NRA_model_for_NEMO2 (EMC Update) v0.19_NRA_model_for_NEMO2 (EMC Update) v0.21_NRA_model_for_NEMO2 (EMC Update) v0.22_NRA_model_for_NEMO2 (EMC Update) v0.26_NRA_model_for_NEMO2 (EMC Update) v0.29_NRA_model_for_NEMO2 (EMC Update) v0.29.3" xfId="158" xr:uid="{00000000-0005-0000-0000-000048000000}"/>
    <cellStyle name="%_NRA_model_for_NEMO2 (EMC Update) v0.19_NRA_model_for_NEMO2 (EMC Update) v0.21_NRA_model_for_NEMO2 (EMC Update) v0.22_NRA_model_for_NEMO2 (EMC Update) v0.26_NRA_model_for_NEMO2 (EMC Update) v0.29_NRA_model_for_NEMO2 (EMC Update) v0.29.4" xfId="159" xr:uid="{00000000-0005-0000-0000-000049000000}"/>
    <cellStyle name="%_NRA_model_for_NEMO2 (EMC Update) v0.19_NRA_model_for_NEMO2 (EMC Update) v0.21_NRA_model_for_NEMO2 (EMC Update) v0.22_NRA_model_for_NEMO2 (EMC Update) v0.26_NRA_model_for_NEMO2 (EMC Update) v0.29_NRA_model_for_NEMO2 (EMC Update) v0.29.5" xfId="160" xr:uid="{00000000-0005-0000-0000-00004A000000}"/>
    <cellStyle name="%_NRA_model_for_NEMO2 (EMC Update) v0.19_NRA_model_for_NEMO2 (EMC Update) v0.21_NRA_model_for_NEMO2 (EMC Update) v0.22_NRA_model_for_NEMO2 (EMC Update) v0.29" xfId="161" xr:uid="{00000000-0005-0000-0000-00004B000000}"/>
    <cellStyle name="%_NRA_model_for_NEMO2 (EMC Update) v0.19_NRA_model_for_NEMO2 (EMC Update) v0.21_NRA_model_for_NEMO2 (EMC Update) v0.22_NRA_model_for_NEMO2 (EMC Update) v0.29.2" xfId="162" xr:uid="{00000000-0005-0000-0000-00004C000000}"/>
    <cellStyle name="%_NRA_model_for_NEMO2 (EMC Update) v0.19_NRA_model_for_NEMO2 (EMC Update) v0.21_NRA_model_for_NEMO2 (EMC Update) v0.22_NRA_model_for_NEMO2 (EMC Update) v0.29.2_NRA_model_for_NEMO2 (EMC Update) v0 30 1" xfId="163" xr:uid="{00000000-0005-0000-0000-00004D000000}"/>
    <cellStyle name="%_NRA_model_for_NEMO2 (EMC Update) v0.19_NRA_model_for_NEMO2 (EMC Update) v0.21_NRA_model_for_NEMO2 (EMC Update) v0.22_NRA_model_for_NEMO2 (EMC Update) v0.29.2_NRA_model_for_NEMO2 (EMC Update) v0.29.3" xfId="164" xr:uid="{00000000-0005-0000-0000-00004E000000}"/>
    <cellStyle name="%_NRA_model_for_NEMO2 (EMC Update) v0.19_NRA_model_for_NEMO2 (EMC Update) v0.21_NRA_model_for_NEMO2 (EMC Update) v0.22_NRA_model_for_NEMO2 (EMC Update) v0.29.2_NRA_model_for_NEMO2 (EMC Update) v0.29.3_NRA_model_for_NEMO2 (EMC Update) v0 30 1" xfId="165" xr:uid="{00000000-0005-0000-0000-00004F000000}"/>
    <cellStyle name="%_NRA_model_for_NEMO2 (EMC Update) v0.19_NRA_model_for_NEMO2 (EMC Update) v0.21_NRA_model_for_NEMO2 (EMC Update) v0.22_NRA_model_for_NEMO2 (EMC Update) v0.29.2_NRA_model_for_NEMO2 (EMC Update) v0.29.3_NRA_model_for_NEMO2 (EMC Update) v0.29.5" xfId="166" xr:uid="{00000000-0005-0000-0000-000050000000}"/>
    <cellStyle name="%_NRA_model_for_NEMO2 (EMC Update) v0.19_NRA_model_for_NEMO2 (EMC Update) v0.21_NRA_model_for_NEMO2 (EMC Update) v0.22_NRA_model_for_NEMO2 (EMC Update) v0.29.2_NRA_model_for_NEMO2 (EMC Update) v0.29.4" xfId="167" xr:uid="{00000000-0005-0000-0000-000051000000}"/>
    <cellStyle name="%_NRA_model_for_NEMO2 (EMC Update) v0.19_NRA_model_for_NEMO2 (EMC Update) v0.21_NRA_model_for_NEMO2 (EMC Update) v0.22_NRA_model_for_NEMO2 (EMC Update) v0.29.2_NRA_model_for_NEMO2 (EMC Update) v0.29.4_NRA_model_for_NEMO2 (EMC Update) v0 30 1" xfId="168" xr:uid="{00000000-0005-0000-0000-000052000000}"/>
    <cellStyle name="%_NRA_model_for_NEMO2 (EMC Update) v0.19_NRA_model_for_NEMO2 (EMC Update) v0.21_NRA_model_for_NEMO2 (EMC Update) v0.22_NRA_model_for_NEMO2 (EMC Update) v0.29.2_NRA_model_for_NEMO2 (EMC Update) v0.29.4_NRA_model_for_NEMO2 (EMC Update) v0.29.5" xfId="169" xr:uid="{00000000-0005-0000-0000-000053000000}"/>
    <cellStyle name="%_NRA_model_for_NEMO2 (EMC Update) v0.19_NRA_model_for_NEMO2 (EMC Update) v0.21_NRA_model_for_NEMO2 (EMC Update) v0.22_NRA_model_for_NEMO2 (EMC Update) v0.29.2_NRA_model_for_NEMO2 (EMC Update) v0.29.5" xfId="170" xr:uid="{00000000-0005-0000-0000-000054000000}"/>
    <cellStyle name="%_NRA_model_for_NEMO2 (EMC Update) v0.19_NRA_model_for_NEMO2 (EMC Update) v0.21_NRA_model_for_NEMO2 (EMC Update) v0.22_NRA_model_for_NEMO2 (EMC Update) v0.29.2_NRA_model_for_NEMO2 (EMC Update) v0.29.5_NRA_model_for_NEMO2 (EMC Update) v0 30 1" xfId="171" xr:uid="{00000000-0005-0000-0000-000055000000}"/>
    <cellStyle name="%_NRA_model_for_NEMO2 (EMC Update) v0.19_NRA_model_for_NEMO2 (EMC Update) v0.21_NRA_model_for_NEMO2 (EMC Update) v0.22_NRA_model_for_NEMO2 (EMC Update) v0.29.3" xfId="172" xr:uid="{00000000-0005-0000-0000-000056000000}"/>
    <cellStyle name="%_NRA_model_for_NEMO2 (EMC Update) v0.19_NRA_model_for_NEMO2 (EMC Update) v0.21_NRA_model_for_NEMO2 (EMC Update) v0.22_NRA_model_for_NEMO2 (EMC Update) v0.29.3_NRA_model_for_NEMO2 (EMC Update) v0 30 1" xfId="173" xr:uid="{00000000-0005-0000-0000-000057000000}"/>
    <cellStyle name="%_NRA_model_for_NEMO2 (EMC Update) v0.19_NRA_model_for_NEMO2 (EMC Update) v0.21_NRA_model_for_NEMO2 (EMC Update) v0.22_NRA_model_for_NEMO2 (EMC Update) v0.29.3_NRA_model_for_NEMO2 (EMC Update) v0.29.5" xfId="174" xr:uid="{00000000-0005-0000-0000-000058000000}"/>
    <cellStyle name="%_NRA_model_for_NEMO2 (EMC Update) v0.19_NRA_model_for_NEMO2 (EMC Update) v0.21_NRA_model_for_NEMO2 (EMC Update) v0.22_NRA_model_for_NEMO2 (EMC Update) v0.29.3_NRA_model_for_NEMO2 (EMC Update) v0.29.5_NRA_model_for_NEMO2 (EMC Update) v0 30 1" xfId="175" xr:uid="{00000000-0005-0000-0000-000059000000}"/>
    <cellStyle name="%_NRA_model_for_NEMO2 (EMC Update) v0.19_NRA_model_for_NEMO2 (EMC Update) v0.21_NRA_model_for_NEMO2 (EMC Update) v0.22_NRA_model_for_NEMO2 (EMC Update) v0.29.4" xfId="176" xr:uid="{00000000-0005-0000-0000-00005A000000}"/>
    <cellStyle name="%_NRA_model_for_NEMO2 (EMC Update) v0.19_NRA_model_for_NEMO2 (EMC Update) v0.21_NRA_model_for_NEMO2 (EMC Update) v0.22_NRA_model_for_NEMO2 (EMC Update) v0.29.4_NRA_model_for_NEMO2 (EMC Update) v0 30 1" xfId="177" xr:uid="{00000000-0005-0000-0000-00005B000000}"/>
    <cellStyle name="%_NRA_model_for_NEMO2 (EMC Update) v0.19_NRA_model_for_NEMO2 (EMC Update) v0.21_NRA_model_for_NEMO2 (EMC Update) v0.22_NRA_model_for_NEMO2 (EMC Update) v0.29.4_NRA_model_for_NEMO2 (EMC Update) v0.29.5" xfId="178" xr:uid="{00000000-0005-0000-0000-00005C000000}"/>
    <cellStyle name="%_NRA_model_for_NEMO2 (EMC Update) v0.19_NRA_model_for_NEMO2 (EMC Update) v0.21_NRA_model_for_NEMO2 (EMC Update) v0.22_NRA_model_for_NEMO2 (EMC Update) v0.29.4_NRA_model_for_NEMO2 (EMC Update) v0.29.5_NRA_model_for_NEMO2 (EMC Update) v0 30 1" xfId="179" xr:uid="{00000000-0005-0000-0000-00005D000000}"/>
    <cellStyle name="%_NRA_model_for_NEMO2 (EMC Update) v0.19_NRA_model_for_NEMO2 (EMC Update) v0.21_NRA_model_for_NEMO2 (EMC Update) v0.22_NRA_model_for_NEMO2 (EMC Update) v0.29.5" xfId="180" xr:uid="{00000000-0005-0000-0000-00005E000000}"/>
    <cellStyle name="%_NRA_model_for_NEMO2 (EMC Update) v0.19_NRA_model_for_NEMO2 (EMC Update) v0.21_NRA_model_for_NEMO2 (EMC Update) v0.22_NRA_model_for_NEMO2 (EMC Update) v0.29.5_NRA_model_for_NEMO2 (EMC Update) v0 30 1" xfId="181" xr:uid="{00000000-0005-0000-0000-00005F000000}"/>
    <cellStyle name="%_NRA_model_for_NEMO2 (EMC Update) v0.19_NRA_model_for_NEMO2 (EMC Update) v0.21_NRA_model_for_NEMO2 (EMC Update) v0.22_NRA_model_for_NEMO2 (EMC Update) v0.29_NRA_model_for_NEMO2 (EMC Update) v0 30 1" xfId="182" xr:uid="{00000000-0005-0000-0000-000060000000}"/>
    <cellStyle name="%_NRA_model_for_NEMO2 (EMC Update) v0.19_NRA_model_for_NEMO2 (EMC Update) v0.21_NRA_model_for_NEMO2 (EMC Update) v0.22_NRA_model_for_NEMO2 (EMC Update) v0.29_NRA_model_for_NEMO2 (EMC Update) v0.29.2" xfId="183" xr:uid="{00000000-0005-0000-0000-000061000000}"/>
    <cellStyle name="%_NRA_model_for_NEMO2 (EMC Update) v0.19_NRA_model_for_NEMO2 (EMC Update) v0.21_NRA_model_for_NEMO2 (EMC Update) v0.22_NRA_model_for_NEMO2 (EMC Update) v0.29_NRA_model_for_NEMO2 (EMC Update) v0.29.2_NRA_model_for_NEMO2 (EMC Update) v0 30 1" xfId="184" xr:uid="{00000000-0005-0000-0000-000062000000}"/>
    <cellStyle name="%_NRA_model_for_NEMO2 (EMC Update) v0.19_NRA_model_for_NEMO2 (EMC Update) v0.21_NRA_model_for_NEMO2 (EMC Update) v0.22_NRA_model_for_NEMO2 (EMC Update) v0.29_NRA_model_for_NEMO2 (EMC Update) v0.29.2_NRA_model_for_NEMO2 (EMC Update) v0.29.3" xfId="185" xr:uid="{00000000-0005-0000-0000-000063000000}"/>
    <cellStyle name="%_NRA_model_for_NEMO2 (EMC Update) v0.19_NRA_model_for_NEMO2 (EMC Update) v0.21_NRA_model_for_NEMO2 (EMC Update) v0.22_NRA_model_for_NEMO2 (EMC Update) v0.29_NRA_model_for_NEMO2 (EMC Update) v0.29.2_NRA_model_for_NEMO2 (EMC Update) v0.29.4" xfId="186" xr:uid="{00000000-0005-0000-0000-000064000000}"/>
    <cellStyle name="%_NRA_model_for_NEMO2 (EMC Update) v0.19_NRA_model_for_NEMO2 (EMC Update) v0.21_NRA_model_for_NEMO2 (EMC Update) v0.22_NRA_model_for_NEMO2 (EMC Update) v0.29_NRA_model_for_NEMO2 (EMC Update) v0.29.2_NRA_model_for_NEMO2 (EMC Update) v0.29.5" xfId="187" xr:uid="{00000000-0005-0000-0000-000065000000}"/>
    <cellStyle name="%_NRA_model_for_NEMO2 (EMC Update) v0.19_NRA_model_for_NEMO2 (EMC Update) v0.21_NRA_model_for_NEMO2 (EMC Update) v0.22_NRA_model_for_NEMO2 (EMC Update) v0.29_NRA_model_for_NEMO2 (EMC Update) v0.29.3" xfId="188" xr:uid="{00000000-0005-0000-0000-000066000000}"/>
    <cellStyle name="%_NRA_model_for_NEMO2 (EMC Update) v0.19_NRA_model_for_NEMO2 (EMC Update) v0.21_NRA_model_for_NEMO2 (EMC Update) v0.22_NRA_model_for_NEMO2 (EMC Update) v0.29_NRA_model_for_NEMO2 (EMC Update) v0.29.3_NRA_model_for_NEMO2 (EMC Update) v0 30 1" xfId="189" xr:uid="{00000000-0005-0000-0000-000067000000}"/>
    <cellStyle name="%_NRA_model_for_NEMO2 (EMC Update) v0.19_NRA_model_for_NEMO2 (EMC Update) v0.21_NRA_model_for_NEMO2 (EMC Update) v0.22_NRA_model_for_NEMO2 (EMC Update) v0.29_NRA_model_for_NEMO2 (EMC Update) v0.29.3_NRA_model_for_NEMO2 (EMC Update) v0.29.5" xfId="190" xr:uid="{00000000-0005-0000-0000-000068000000}"/>
    <cellStyle name="%_NRA_model_for_NEMO2 (EMC Update) v0.19_NRA_model_for_NEMO2 (EMC Update) v0.21_NRA_model_for_NEMO2 (EMC Update) v0.22_NRA_model_for_NEMO2 (EMC Update) v0.29_NRA_model_for_NEMO2 (EMC Update) v0.29.4" xfId="191" xr:uid="{00000000-0005-0000-0000-000069000000}"/>
    <cellStyle name="%_NRA_model_for_NEMO2 (EMC Update) v0.19_NRA_model_for_NEMO2 (EMC Update) v0.21_NRA_model_for_NEMO2 (EMC Update) v0.22_NRA_model_for_NEMO2 (EMC Update) v0.29_NRA_model_for_NEMO2 (EMC Update) v0.29.4_NRA_model_for_NEMO2 (EMC Update) v0 30 1" xfId="192" xr:uid="{00000000-0005-0000-0000-00006A000000}"/>
    <cellStyle name="%_NRA_model_for_NEMO2 (EMC Update) v0.19_NRA_model_for_NEMO2 (EMC Update) v0.21_NRA_model_for_NEMO2 (EMC Update) v0.22_NRA_model_for_NEMO2 (EMC Update) v0.29_NRA_model_for_NEMO2 (EMC Update) v0.29.4_NRA_model_for_NEMO2 (EMC Update) v0.29.5" xfId="193" xr:uid="{00000000-0005-0000-0000-00006B000000}"/>
    <cellStyle name="%_NRA_model_for_NEMO2 (EMC Update) v0.19_NRA_model_for_NEMO2 (EMC Update) v0.21_NRA_model_for_NEMO2 (EMC Update) v0.22_NRA_model_for_NEMO2 (EMC Update) v0.29_NRA_model_for_NEMO2 (EMC Update) v0.29.5" xfId="194" xr:uid="{00000000-0005-0000-0000-00006C000000}"/>
    <cellStyle name="%_NRA_model_for_NEMO2 (EMC Update) v0.19_NRA_model_for_NEMO2 (EMC Update) v0.21_NRA_model_for_NEMO2 (EMC Update) v0.22_NRA_model_for_NEMO2 (EMC Update) v0.29_NRA_model_for_NEMO2 (EMC Update) v0.29.5_NRA_model_for_NEMO2 (EMC Update) v0 30 1" xfId="195" xr:uid="{00000000-0005-0000-0000-00006D000000}"/>
    <cellStyle name="%_NRA_model_for_NEMO2 (EMC Update) v0.19_NRA_model_for_NEMO2 (EMC Update) v0.21_NRA_model_for_NEMO2 (EMC Update) v0.25" xfId="196" xr:uid="{00000000-0005-0000-0000-00006E000000}"/>
    <cellStyle name="%_NRA_model_for_NEMO2 (EMC Update) v0.19_NRA_model_for_NEMO2 (EMC Update) v0.21_NRA_model_for_NEMO2 (EMC Update) v0.25_NRA_model_for_NEMO2 (EMC Update) v0 30 1" xfId="197" xr:uid="{00000000-0005-0000-0000-00006F000000}"/>
    <cellStyle name="%_NRA_model_for_NEMO2 (EMC Update) v0.19_NRA_model_for_NEMO2 (EMC Update) v0.21_NRA_model_for_NEMO2 (EMC Update) v0.25_NRA_model_for_NEMO2 (EMC Update) v0.26" xfId="198" xr:uid="{00000000-0005-0000-0000-000070000000}"/>
    <cellStyle name="%_NRA_model_for_NEMO2 (EMC Update) v0.19_NRA_model_for_NEMO2 (EMC Update) v0.21_NRA_model_for_NEMO2 (EMC Update) v0.25_NRA_model_for_NEMO2 (EMC Update) v0.26_NRA_model_for_NEMO2 (EMC Update) v0 30 1" xfId="199" xr:uid="{00000000-0005-0000-0000-000071000000}"/>
    <cellStyle name="%_NRA_model_for_NEMO2 (EMC Update) v0.19_NRA_model_for_NEMO2 (EMC Update) v0.21_NRA_model_for_NEMO2 (EMC Update) v0.25_NRA_model_for_NEMO2 (EMC Update) v0.26_NRA_model_for_NEMO2 (EMC Update) v0.29" xfId="200" xr:uid="{00000000-0005-0000-0000-000072000000}"/>
    <cellStyle name="%_NRA_model_for_NEMO2 (EMC Update) v0.19_NRA_model_for_NEMO2 (EMC Update) v0.21_NRA_model_for_NEMO2 (EMC Update) v0.25_NRA_model_for_NEMO2 (EMC Update) v0.26_NRA_model_for_NEMO2 (EMC Update) v0.29.2" xfId="201" xr:uid="{00000000-0005-0000-0000-000073000000}"/>
    <cellStyle name="%_NRA_model_for_NEMO2 (EMC Update) v0.19_NRA_model_for_NEMO2 (EMC Update) v0.21_NRA_model_for_NEMO2 (EMC Update) v0.25_NRA_model_for_NEMO2 (EMC Update) v0.26_NRA_model_for_NEMO2 (EMC Update) v0.29.2_NRA_model_for_NEMO2 (EMC Update) v0 30 1" xfId="202" xr:uid="{00000000-0005-0000-0000-000074000000}"/>
    <cellStyle name="%_NRA_model_for_NEMO2 (EMC Update) v0.19_NRA_model_for_NEMO2 (EMC Update) v0.21_NRA_model_for_NEMO2 (EMC Update) v0.25_NRA_model_for_NEMO2 (EMC Update) v0.26_NRA_model_for_NEMO2 (EMC Update) v0.29.2_NRA_model_for_NEMO2 (EMC Update) v0.29.3" xfId="203" xr:uid="{00000000-0005-0000-0000-000075000000}"/>
    <cellStyle name="%_NRA_model_for_NEMO2 (EMC Update) v0.19_NRA_model_for_NEMO2 (EMC Update) v0.21_NRA_model_for_NEMO2 (EMC Update) v0.25_NRA_model_for_NEMO2 (EMC Update) v0.26_NRA_model_for_NEMO2 (EMC Update) v0.29.2_NRA_model_for_NEMO2 (EMC Update) v0.29.4" xfId="204" xr:uid="{00000000-0005-0000-0000-000076000000}"/>
    <cellStyle name="%_NRA_model_for_NEMO2 (EMC Update) v0.19_NRA_model_for_NEMO2 (EMC Update) v0.21_NRA_model_for_NEMO2 (EMC Update) v0.25_NRA_model_for_NEMO2 (EMC Update) v0.26_NRA_model_for_NEMO2 (EMC Update) v0.29.2_NRA_model_for_NEMO2 (EMC Update) v0.29.5" xfId="205" xr:uid="{00000000-0005-0000-0000-000077000000}"/>
    <cellStyle name="%_NRA_model_for_NEMO2 (EMC Update) v0.19_NRA_model_for_NEMO2 (EMC Update) v0.21_NRA_model_for_NEMO2 (EMC Update) v0.25_NRA_model_for_NEMO2 (EMC Update) v0.26_NRA_model_for_NEMO2 (EMC Update) v0.29.3" xfId="206" xr:uid="{00000000-0005-0000-0000-000078000000}"/>
    <cellStyle name="%_NRA_model_for_NEMO2 (EMC Update) v0.19_NRA_model_for_NEMO2 (EMC Update) v0.21_NRA_model_for_NEMO2 (EMC Update) v0.25_NRA_model_for_NEMO2 (EMC Update) v0.26_NRA_model_for_NEMO2 (EMC Update) v0.29.3_NRA_model_for_NEMO2 (EMC Update) v0 30 1" xfId="207" xr:uid="{00000000-0005-0000-0000-000079000000}"/>
    <cellStyle name="%_NRA_model_for_NEMO2 (EMC Update) v0.19_NRA_model_for_NEMO2 (EMC Update) v0.21_NRA_model_for_NEMO2 (EMC Update) v0.25_NRA_model_for_NEMO2 (EMC Update) v0.26_NRA_model_for_NEMO2 (EMC Update) v0.29.3_NRA_model_for_NEMO2 (EMC Update) v0.29.5" xfId="208" xr:uid="{00000000-0005-0000-0000-00007A000000}"/>
    <cellStyle name="%_NRA_model_for_NEMO2 (EMC Update) v0.19_NRA_model_for_NEMO2 (EMC Update) v0.21_NRA_model_for_NEMO2 (EMC Update) v0.25_NRA_model_for_NEMO2 (EMC Update) v0.26_NRA_model_for_NEMO2 (EMC Update) v0.29.4" xfId="209" xr:uid="{00000000-0005-0000-0000-00007B000000}"/>
    <cellStyle name="%_NRA_model_for_NEMO2 (EMC Update) v0.19_NRA_model_for_NEMO2 (EMC Update) v0.21_NRA_model_for_NEMO2 (EMC Update) v0.25_NRA_model_for_NEMO2 (EMC Update) v0.26_NRA_model_for_NEMO2 (EMC Update) v0.29.4_NRA_model_for_NEMO2 (EMC Update) v0 30 1" xfId="210" xr:uid="{00000000-0005-0000-0000-00007C000000}"/>
    <cellStyle name="%_NRA_model_for_NEMO2 (EMC Update) v0.19_NRA_model_for_NEMO2 (EMC Update) v0.21_NRA_model_for_NEMO2 (EMC Update) v0.25_NRA_model_for_NEMO2 (EMC Update) v0.26_NRA_model_for_NEMO2 (EMC Update) v0.29.4_NRA_model_for_NEMO2 (EMC Update) v0.29.5" xfId="211" xr:uid="{00000000-0005-0000-0000-00007D000000}"/>
    <cellStyle name="%_NRA_model_for_NEMO2 (EMC Update) v0.19_NRA_model_for_NEMO2 (EMC Update) v0.21_NRA_model_for_NEMO2 (EMC Update) v0.25_NRA_model_for_NEMO2 (EMC Update) v0.26_NRA_model_for_NEMO2 (EMC Update) v0.29.5" xfId="212" xr:uid="{00000000-0005-0000-0000-00007E000000}"/>
    <cellStyle name="%_NRA_model_for_NEMO2 (EMC Update) v0.19_NRA_model_for_NEMO2 (EMC Update) v0.21_NRA_model_for_NEMO2 (EMC Update) v0.25_NRA_model_for_NEMO2 (EMC Update) v0.26_NRA_model_for_NEMO2 (EMC Update) v0.29.5_NRA_model_for_NEMO2 (EMC Update) v0 30 1" xfId="213" xr:uid="{00000000-0005-0000-0000-00007F000000}"/>
    <cellStyle name="%_NRA_model_for_NEMO2 (EMC Update) v0.19_NRA_model_for_NEMO2 (EMC Update) v0.21_NRA_model_for_NEMO2 (EMC Update) v0.25_NRA_model_for_NEMO2 (EMC Update) v0.26_NRA_model_for_NEMO2 (EMC Update) v0.29_NRA_model_for_NEMO2 (EMC Update) v0 30 1" xfId="214" xr:uid="{00000000-0005-0000-0000-000080000000}"/>
    <cellStyle name="%_NRA_model_for_NEMO2 (EMC Update) v0.19_NRA_model_for_NEMO2 (EMC Update) v0.21_NRA_model_for_NEMO2 (EMC Update) v0.25_NRA_model_for_NEMO2 (EMC Update) v0.26_NRA_model_for_NEMO2 (EMC Update) v0.29_NRA_model_for_NEMO2 (EMC Update) v0.29.2" xfId="215" xr:uid="{00000000-0005-0000-0000-000081000000}"/>
    <cellStyle name="%_NRA_model_for_NEMO2 (EMC Update) v0.19_NRA_model_for_NEMO2 (EMC Update) v0.21_NRA_model_for_NEMO2 (EMC Update) v0.25_NRA_model_for_NEMO2 (EMC Update) v0.26_NRA_model_for_NEMO2 (EMC Update) v0.29_NRA_model_for_NEMO2 (EMC Update) v0.29.3" xfId="216" xr:uid="{00000000-0005-0000-0000-000082000000}"/>
    <cellStyle name="%_NRA_model_for_NEMO2 (EMC Update) v0.19_NRA_model_for_NEMO2 (EMC Update) v0.21_NRA_model_for_NEMO2 (EMC Update) v0.25_NRA_model_for_NEMO2 (EMC Update) v0.26_NRA_model_for_NEMO2 (EMC Update) v0.29_NRA_model_for_NEMO2 (EMC Update) v0.29.4" xfId="217" xr:uid="{00000000-0005-0000-0000-000083000000}"/>
    <cellStyle name="%_NRA_model_for_NEMO2 (EMC Update) v0.19_NRA_model_for_NEMO2 (EMC Update) v0.21_NRA_model_for_NEMO2 (EMC Update) v0.25_NRA_model_for_NEMO2 (EMC Update) v0.26_NRA_model_for_NEMO2 (EMC Update) v0.29_NRA_model_for_NEMO2 (EMC Update) v0.29.5" xfId="218" xr:uid="{00000000-0005-0000-0000-000084000000}"/>
    <cellStyle name="%_NRA_model_for_NEMO2 (EMC Update) v0.19_NRA_model_for_NEMO2 (EMC Update) v0.21_NRA_model_for_NEMO2 (EMC Update) v0.25_NRA_model_for_NEMO2 (EMC Update) v0.29" xfId="219" xr:uid="{00000000-0005-0000-0000-000085000000}"/>
    <cellStyle name="%_NRA_model_for_NEMO2 (EMC Update) v0.19_NRA_model_for_NEMO2 (EMC Update) v0.21_NRA_model_for_NEMO2 (EMC Update) v0.25_NRA_model_for_NEMO2 (EMC Update) v0.29.2" xfId="220" xr:uid="{00000000-0005-0000-0000-000086000000}"/>
    <cellStyle name="%_NRA_model_for_NEMO2 (EMC Update) v0.19_NRA_model_for_NEMO2 (EMC Update) v0.21_NRA_model_for_NEMO2 (EMC Update) v0.25_NRA_model_for_NEMO2 (EMC Update) v0.29.2_NRA_model_for_NEMO2 (EMC Update) v0 30 1" xfId="221" xr:uid="{00000000-0005-0000-0000-000087000000}"/>
    <cellStyle name="%_NRA_model_for_NEMO2 (EMC Update) v0.19_NRA_model_for_NEMO2 (EMC Update) v0.21_NRA_model_for_NEMO2 (EMC Update) v0.25_NRA_model_for_NEMO2 (EMC Update) v0.29.2_NRA_model_for_NEMO2 (EMC Update) v0.29.3" xfId="222" xr:uid="{00000000-0005-0000-0000-000088000000}"/>
    <cellStyle name="%_NRA_model_for_NEMO2 (EMC Update) v0.19_NRA_model_for_NEMO2 (EMC Update) v0.21_NRA_model_for_NEMO2 (EMC Update) v0.25_NRA_model_for_NEMO2 (EMC Update) v0.29.2_NRA_model_for_NEMO2 (EMC Update) v0.29.3_NRA_model_for_NEMO2 (EMC Update) v0 30 1" xfId="223" xr:uid="{00000000-0005-0000-0000-000089000000}"/>
    <cellStyle name="%_NRA_model_for_NEMO2 (EMC Update) v0.19_NRA_model_for_NEMO2 (EMC Update) v0.21_NRA_model_for_NEMO2 (EMC Update) v0.25_NRA_model_for_NEMO2 (EMC Update) v0.29.2_NRA_model_for_NEMO2 (EMC Update) v0.29.3_NRA_model_for_NEMO2 (EMC Update) v0.29.5" xfId="224" xr:uid="{00000000-0005-0000-0000-00008A000000}"/>
    <cellStyle name="%_NRA_model_for_NEMO2 (EMC Update) v0.19_NRA_model_for_NEMO2 (EMC Update) v0.21_NRA_model_for_NEMO2 (EMC Update) v0.25_NRA_model_for_NEMO2 (EMC Update) v0.29.2_NRA_model_for_NEMO2 (EMC Update) v0.29.4" xfId="225" xr:uid="{00000000-0005-0000-0000-00008B000000}"/>
    <cellStyle name="%_NRA_model_for_NEMO2 (EMC Update) v0.19_NRA_model_for_NEMO2 (EMC Update) v0.21_NRA_model_for_NEMO2 (EMC Update) v0.25_NRA_model_for_NEMO2 (EMC Update) v0.29.2_NRA_model_for_NEMO2 (EMC Update) v0.29.4_NRA_model_for_NEMO2 (EMC Update) v0 30 1" xfId="226" xr:uid="{00000000-0005-0000-0000-00008C000000}"/>
    <cellStyle name="%_NRA_model_for_NEMO2 (EMC Update) v0.19_NRA_model_for_NEMO2 (EMC Update) v0.21_NRA_model_for_NEMO2 (EMC Update) v0.25_NRA_model_for_NEMO2 (EMC Update) v0.29.2_NRA_model_for_NEMO2 (EMC Update) v0.29.4_NRA_model_for_NEMO2 (EMC Update) v0.29.5" xfId="227" xr:uid="{00000000-0005-0000-0000-00008D000000}"/>
    <cellStyle name="%_NRA_model_for_NEMO2 (EMC Update) v0.19_NRA_model_for_NEMO2 (EMC Update) v0.21_NRA_model_for_NEMO2 (EMC Update) v0.25_NRA_model_for_NEMO2 (EMC Update) v0.29.2_NRA_model_for_NEMO2 (EMC Update) v0.29.5" xfId="228" xr:uid="{00000000-0005-0000-0000-00008E000000}"/>
    <cellStyle name="%_NRA_model_for_NEMO2 (EMC Update) v0.19_NRA_model_for_NEMO2 (EMC Update) v0.21_NRA_model_for_NEMO2 (EMC Update) v0.25_NRA_model_for_NEMO2 (EMC Update) v0.29.2_NRA_model_for_NEMO2 (EMC Update) v0.29.5_NRA_model_for_NEMO2 (EMC Update) v0 30 1" xfId="229" xr:uid="{00000000-0005-0000-0000-00008F000000}"/>
    <cellStyle name="%_NRA_model_for_NEMO2 (EMC Update) v0.19_NRA_model_for_NEMO2 (EMC Update) v0.21_NRA_model_for_NEMO2 (EMC Update) v0.25_NRA_model_for_NEMO2 (EMC Update) v0.29.3" xfId="230" xr:uid="{00000000-0005-0000-0000-000090000000}"/>
    <cellStyle name="%_NRA_model_for_NEMO2 (EMC Update) v0.19_NRA_model_for_NEMO2 (EMC Update) v0.21_NRA_model_for_NEMO2 (EMC Update) v0.25_NRA_model_for_NEMO2 (EMC Update) v0.29.3_NRA_model_for_NEMO2 (EMC Update) v0 30 1" xfId="231" xr:uid="{00000000-0005-0000-0000-000091000000}"/>
    <cellStyle name="%_NRA_model_for_NEMO2 (EMC Update) v0.19_NRA_model_for_NEMO2 (EMC Update) v0.21_NRA_model_for_NEMO2 (EMC Update) v0.25_NRA_model_for_NEMO2 (EMC Update) v0.29.3_NRA_model_for_NEMO2 (EMC Update) v0.29.5" xfId="232" xr:uid="{00000000-0005-0000-0000-000092000000}"/>
    <cellStyle name="%_NRA_model_for_NEMO2 (EMC Update) v0.19_NRA_model_for_NEMO2 (EMC Update) v0.21_NRA_model_for_NEMO2 (EMC Update) v0.25_NRA_model_for_NEMO2 (EMC Update) v0.29.3_NRA_model_for_NEMO2 (EMC Update) v0.29.5_NRA_model_for_NEMO2 (EMC Update) v0 30 1" xfId="233" xr:uid="{00000000-0005-0000-0000-000093000000}"/>
    <cellStyle name="%_NRA_model_for_NEMO2 (EMC Update) v0.19_NRA_model_for_NEMO2 (EMC Update) v0.21_NRA_model_for_NEMO2 (EMC Update) v0.25_NRA_model_for_NEMO2 (EMC Update) v0.29.4" xfId="234" xr:uid="{00000000-0005-0000-0000-000094000000}"/>
    <cellStyle name="%_NRA_model_for_NEMO2 (EMC Update) v0.19_NRA_model_for_NEMO2 (EMC Update) v0.21_NRA_model_for_NEMO2 (EMC Update) v0.25_NRA_model_for_NEMO2 (EMC Update) v0.29.4_NRA_model_for_NEMO2 (EMC Update) v0 30 1" xfId="235" xr:uid="{00000000-0005-0000-0000-000095000000}"/>
    <cellStyle name="%_NRA_model_for_NEMO2 (EMC Update) v0.19_NRA_model_for_NEMO2 (EMC Update) v0.21_NRA_model_for_NEMO2 (EMC Update) v0.25_NRA_model_for_NEMO2 (EMC Update) v0.29.4_NRA_model_for_NEMO2 (EMC Update) v0.29.5" xfId="236" xr:uid="{00000000-0005-0000-0000-000096000000}"/>
    <cellStyle name="%_NRA_model_for_NEMO2 (EMC Update) v0.19_NRA_model_for_NEMO2 (EMC Update) v0.21_NRA_model_for_NEMO2 (EMC Update) v0.25_NRA_model_for_NEMO2 (EMC Update) v0.29.4_NRA_model_for_NEMO2 (EMC Update) v0.29.5_NRA_model_for_NEMO2 (EMC Update) v0 30 1" xfId="237" xr:uid="{00000000-0005-0000-0000-000097000000}"/>
    <cellStyle name="%_NRA_model_for_NEMO2 (EMC Update) v0.19_NRA_model_for_NEMO2 (EMC Update) v0.21_NRA_model_for_NEMO2 (EMC Update) v0.25_NRA_model_for_NEMO2 (EMC Update) v0.29.5" xfId="238" xr:uid="{00000000-0005-0000-0000-000098000000}"/>
    <cellStyle name="%_NRA_model_for_NEMO2 (EMC Update) v0.19_NRA_model_for_NEMO2 (EMC Update) v0.21_NRA_model_for_NEMO2 (EMC Update) v0.25_NRA_model_for_NEMO2 (EMC Update) v0.29.5_NRA_model_for_NEMO2 (EMC Update) v0 30 1" xfId="239" xr:uid="{00000000-0005-0000-0000-000099000000}"/>
    <cellStyle name="%_NRA_model_for_NEMO2 (EMC Update) v0.19_NRA_model_for_NEMO2 (EMC Update) v0.21_NRA_model_for_NEMO2 (EMC Update) v0.25_NRA_model_for_NEMO2 (EMC Update) v0.29_NRA_model_for_NEMO2 (EMC Update) v0 30 1" xfId="240" xr:uid="{00000000-0005-0000-0000-00009A000000}"/>
    <cellStyle name="%_NRA_model_for_NEMO2 (EMC Update) v0.19_NRA_model_for_NEMO2 (EMC Update) v0.21_NRA_model_for_NEMO2 (EMC Update) v0.25_NRA_model_for_NEMO2 (EMC Update) v0.29_NRA_model_for_NEMO2 (EMC Update) v0.29.2" xfId="241" xr:uid="{00000000-0005-0000-0000-00009B000000}"/>
    <cellStyle name="%_NRA_model_for_NEMO2 (EMC Update) v0.19_NRA_model_for_NEMO2 (EMC Update) v0.21_NRA_model_for_NEMO2 (EMC Update) v0.25_NRA_model_for_NEMO2 (EMC Update) v0.29_NRA_model_for_NEMO2 (EMC Update) v0.29.2_NRA_model_for_NEMO2 (EMC Update) v0 30 1" xfId="242" xr:uid="{00000000-0005-0000-0000-00009C000000}"/>
    <cellStyle name="%_NRA_model_for_NEMO2 (EMC Update) v0.19_NRA_model_for_NEMO2 (EMC Update) v0.21_NRA_model_for_NEMO2 (EMC Update) v0.25_NRA_model_for_NEMO2 (EMC Update) v0.29_NRA_model_for_NEMO2 (EMC Update) v0.29.2_NRA_model_for_NEMO2 (EMC Update) v0.29.3" xfId="243" xr:uid="{00000000-0005-0000-0000-00009D000000}"/>
    <cellStyle name="%_NRA_model_for_NEMO2 (EMC Update) v0.19_NRA_model_for_NEMO2 (EMC Update) v0.21_NRA_model_for_NEMO2 (EMC Update) v0.25_NRA_model_for_NEMO2 (EMC Update) v0.29_NRA_model_for_NEMO2 (EMC Update) v0.29.2_NRA_model_for_NEMO2 (EMC Update) v0.29.4" xfId="244" xr:uid="{00000000-0005-0000-0000-00009E000000}"/>
    <cellStyle name="%_NRA_model_for_NEMO2 (EMC Update) v0.19_NRA_model_for_NEMO2 (EMC Update) v0.21_NRA_model_for_NEMO2 (EMC Update) v0.25_NRA_model_for_NEMO2 (EMC Update) v0.29_NRA_model_for_NEMO2 (EMC Update) v0.29.2_NRA_model_for_NEMO2 (EMC Update) v0.29.5" xfId="245" xr:uid="{00000000-0005-0000-0000-00009F000000}"/>
    <cellStyle name="%_NRA_model_for_NEMO2 (EMC Update) v0.19_NRA_model_for_NEMO2 (EMC Update) v0.21_NRA_model_for_NEMO2 (EMC Update) v0.25_NRA_model_for_NEMO2 (EMC Update) v0.29_NRA_model_for_NEMO2 (EMC Update) v0.29.3" xfId="246" xr:uid="{00000000-0005-0000-0000-0000A0000000}"/>
    <cellStyle name="%_NRA_model_for_NEMO2 (EMC Update) v0.19_NRA_model_for_NEMO2 (EMC Update) v0.21_NRA_model_for_NEMO2 (EMC Update) v0.25_NRA_model_for_NEMO2 (EMC Update) v0.29_NRA_model_for_NEMO2 (EMC Update) v0.29.3_NRA_model_for_NEMO2 (EMC Update) v0 30 1" xfId="247" xr:uid="{00000000-0005-0000-0000-0000A1000000}"/>
    <cellStyle name="%_NRA_model_for_NEMO2 (EMC Update) v0.19_NRA_model_for_NEMO2 (EMC Update) v0.21_NRA_model_for_NEMO2 (EMC Update) v0.25_NRA_model_for_NEMO2 (EMC Update) v0.29_NRA_model_for_NEMO2 (EMC Update) v0.29.3_NRA_model_for_NEMO2 (EMC Update) v0.29.5" xfId="248" xr:uid="{00000000-0005-0000-0000-0000A2000000}"/>
    <cellStyle name="%_NRA_model_for_NEMO2 (EMC Update) v0.19_NRA_model_for_NEMO2 (EMC Update) v0.21_NRA_model_for_NEMO2 (EMC Update) v0.25_NRA_model_for_NEMO2 (EMC Update) v0.29_NRA_model_for_NEMO2 (EMC Update) v0.29.4" xfId="249" xr:uid="{00000000-0005-0000-0000-0000A3000000}"/>
    <cellStyle name="%_NRA_model_for_NEMO2 (EMC Update) v0.19_NRA_model_for_NEMO2 (EMC Update) v0.21_NRA_model_for_NEMO2 (EMC Update) v0.25_NRA_model_for_NEMO2 (EMC Update) v0.29_NRA_model_for_NEMO2 (EMC Update) v0.29.4_NRA_model_for_NEMO2 (EMC Update) v0 30 1" xfId="250" xr:uid="{00000000-0005-0000-0000-0000A4000000}"/>
    <cellStyle name="%_NRA_model_for_NEMO2 (EMC Update) v0.19_NRA_model_for_NEMO2 (EMC Update) v0.21_NRA_model_for_NEMO2 (EMC Update) v0.25_NRA_model_for_NEMO2 (EMC Update) v0.29_NRA_model_for_NEMO2 (EMC Update) v0.29.4_NRA_model_for_NEMO2 (EMC Update) v0.29.5" xfId="251" xr:uid="{00000000-0005-0000-0000-0000A5000000}"/>
    <cellStyle name="%_NRA_model_for_NEMO2 (EMC Update) v0.19_NRA_model_for_NEMO2 (EMC Update) v0.21_NRA_model_for_NEMO2 (EMC Update) v0.25_NRA_model_for_NEMO2 (EMC Update) v0.29_NRA_model_for_NEMO2 (EMC Update) v0.29.5" xfId="252" xr:uid="{00000000-0005-0000-0000-0000A6000000}"/>
    <cellStyle name="%_NRA_model_for_NEMO2 (EMC Update) v0.19_NRA_model_for_NEMO2 (EMC Update) v0.21_NRA_model_for_NEMO2 (EMC Update) v0.25_NRA_model_for_NEMO2 (EMC Update) v0.29_NRA_model_for_NEMO2 (EMC Update) v0.29.5_NRA_model_for_NEMO2 (EMC Update) v0 30 1" xfId="253" xr:uid="{00000000-0005-0000-0000-0000A7000000}"/>
    <cellStyle name="%_NRA_model_for_NEMO2 (EMC Update) v0.19_NRA_model_for_NEMO2 (EMC Update) v0.21_NRA_model_for_NEMO2 (EMC Update) v0.26" xfId="254" xr:uid="{00000000-0005-0000-0000-0000A8000000}"/>
    <cellStyle name="%_NRA_model_for_NEMO2 (EMC Update) v0.19_NRA_model_for_NEMO2 (EMC Update) v0.21_NRA_model_for_NEMO2 (EMC Update) v0.26_NRA_model_for_NEMO2 (EMC Update) v0 30 1" xfId="255" xr:uid="{00000000-0005-0000-0000-0000A9000000}"/>
    <cellStyle name="%_NRA_model_for_NEMO2 (EMC Update) v0.19_NRA_model_for_NEMO2 (EMC Update) v0.21_NRA_model_for_NEMO2 (EMC Update) v0.26_NRA_model_for_NEMO2 (EMC Update) v0.29" xfId="256" xr:uid="{00000000-0005-0000-0000-0000AA000000}"/>
    <cellStyle name="%_NRA_model_for_NEMO2 (EMC Update) v0.19_NRA_model_for_NEMO2 (EMC Update) v0.21_NRA_model_for_NEMO2 (EMC Update) v0.26_NRA_model_for_NEMO2 (EMC Update) v0.29.2" xfId="257" xr:uid="{00000000-0005-0000-0000-0000AB000000}"/>
    <cellStyle name="%_NRA_model_for_NEMO2 (EMC Update) v0.19_NRA_model_for_NEMO2 (EMC Update) v0.21_NRA_model_for_NEMO2 (EMC Update) v0.26_NRA_model_for_NEMO2 (EMC Update) v0.29.2_NRA_model_for_NEMO2 (EMC Update) v0 30 1" xfId="258" xr:uid="{00000000-0005-0000-0000-0000AC000000}"/>
    <cellStyle name="%_NRA_model_for_NEMO2 (EMC Update) v0.19_NRA_model_for_NEMO2 (EMC Update) v0.21_NRA_model_for_NEMO2 (EMC Update) v0.26_NRA_model_for_NEMO2 (EMC Update) v0.29.2_NRA_model_for_NEMO2 (EMC Update) v0.29.3" xfId="259" xr:uid="{00000000-0005-0000-0000-0000AD000000}"/>
    <cellStyle name="%_NRA_model_for_NEMO2 (EMC Update) v0.19_NRA_model_for_NEMO2 (EMC Update) v0.21_NRA_model_for_NEMO2 (EMC Update) v0.26_NRA_model_for_NEMO2 (EMC Update) v0.29.2_NRA_model_for_NEMO2 (EMC Update) v0.29.3_NRA_model_for_NEMO2 (EMC Update) v0 30 1" xfId="260" xr:uid="{00000000-0005-0000-0000-0000AE000000}"/>
    <cellStyle name="%_NRA_model_for_NEMO2 (EMC Update) v0.19_NRA_model_for_NEMO2 (EMC Update) v0.21_NRA_model_for_NEMO2 (EMC Update) v0.26_NRA_model_for_NEMO2 (EMC Update) v0.29.2_NRA_model_for_NEMO2 (EMC Update) v0.29.3_NRA_model_for_NEMO2 (EMC Update) v0.29.5" xfId="261" xr:uid="{00000000-0005-0000-0000-0000AF000000}"/>
    <cellStyle name="%_NRA_model_for_NEMO2 (EMC Update) v0.19_NRA_model_for_NEMO2 (EMC Update) v0.21_NRA_model_for_NEMO2 (EMC Update) v0.26_NRA_model_for_NEMO2 (EMC Update) v0.29.2_NRA_model_for_NEMO2 (EMC Update) v0.29.4" xfId="262" xr:uid="{00000000-0005-0000-0000-0000B0000000}"/>
    <cellStyle name="%_NRA_model_for_NEMO2 (EMC Update) v0.19_NRA_model_for_NEMO2 (EMC Update) v0.21_NRA_model_for_NEMO2 (EMC Update) v0.26_NRA_model_for_NEMO2 (EMC Update) v0.29.2_NRA_model_for_NEMO2 (EMC Update) v0.29.4_NRA_model_for_NEMO2 (EMC Update) v0 30 1" xfId="263" xr:uid="{00000000-0005-0000-0000-0000B1000000}"/>
    <cellStyle name="%_NRA_model_for_NEMO2 (EMC Update) v0.19_NRA_model_for_NEMO2 (EMC Update) v0.21_NRA_model_for_NEMO2 (EMC Update) v0.26_NRA_model_for_NEMO2 (EMC Update) v0.29.2_NRA_model_for_NEMO2 (EMC Update) v0.29.4_NRA_model_for_NEMO2 (EMC Update) v0.29.5" xfId="264" xr:uid="{00000000-0005-0000-0000-0000B2000000}"/>
    <cellStyle name="%_NRA_model_for_NEMO2 (EMC Update) v0.19_NRA_model_for_NEMO2 (EMC Update) v0.21_NRA_model_for_NEMO2 (EMC Update) v0.26_NRA_model_for_NEMO2 (EMC Update) v0.29.2_NRA_model_for_NEMO2 (EMC Update) v0.29.5" xfId="265" xr:uid="{00000000-0005-0000-0000-0000B3000000}"/>
    <cellStyle name="%_NRA_model_for_NEMO2 (EMC Update) v0.19_NRA_model_for_NEMO2 (EMC Update) v0.21_NRA_model_for_NEMO2 (EMC Update) v0.26_NRA_model_for_NEMO2 (EMC Update) v0.29.2_NRA_model_for_NEMO2 (EMC Update) v0.29.5_NRA_model_for_NEMO2 (EMC Update) v0 30 1" xfId="266" xr:uid="{00000000-0005-0000-0000-0000B4000000}"/>
    <cellStyle name="%_NRA_model_for_NEMO2 (EMC Update) v0.19_NRA_model_for_NEMO2 (EMC Update) v0.21_NRA_model_for_NEMO2 (EMC Update) v0.26_NRA_model_for_NEMO2 (EMC Update) v0.29.3" xfId="267" xr:uid="{00000000-0005-0000-0000-0000B5000000}"/>
    <cellStyle name="%_NRA_model_for_NEMO2 (EMC Update) v0.19_NRA_model_for_NEMO2 (EMC Update) v0.21_NRA_model_for_NEMO2 (EMC Update) v0.26_NRA_model_for_NEMO2 (EMC Update) v0.29.3_NRA_model_for_NEMO2 (EMC Update) v0 30 1" xfId="268" xr:uid="{00000000-0005-0000-0000-0000B6000000}"/>
    <cellStyle name="%_NRA_model_for_NEMO2 (EMC Update) v0.19_NRA_model_for_NEMO2 (EMC Update) v0.21_NRA_model_for_NEMO2 (EMC Update) v0.26_NRA_model_for_NEMO2 (EMC Update) v0.29.3_NRA_model_for_NEMO2 (EMC Update) v0.29.5" xfId="269" xr:uid="{00000000-0005-0000-0000-0000B7000000}"/>
    <cellStyle name="%_NRA_model_for_NEMO2 (EMC Update) v0.19_NRA_model_for_NEMO2 (EMC Update) v0.21_NRA_model_for_NEMO2 (EMC Update) v0.26_NRA_model_for_NEMO2 (EMC Update) v0.29.3_NRA_model_for_NEMO2 (EMC Update) v0.29.5_NRA_model_for_NEMO2 (EMC Update) v0 30 1" xfId="270" xr:uid="{00000000-0005-0000-0000-0000B8000000}"/>
    <cellStyle name="%_NRA_model_for_NEMO2 (EMC Update) v0.19_NRA_model_for_NEMO2 (EMC Update) v0.21_NRA_model_for_NEMO2 (EMC Update) v0.26_NRA_model_for_NEMO2 (EMC Update) v0.29.4" xfId="271" xr:uid="{00000000-0005-0000-0000-0000B9000000}"/>
    <cellStyle name="%_NRA_model_for_NEMO2 (EMC Update) v0.19_NRA_model_for_NEMO2 (EMC Update) v0.21_NRA_model_for_NEMO2 (EMC Update) v0.26_NRA_model_for_NEMO2 (EMC Update) v0.29.4_NRA_model_for_NEMO2 (EMC Update) v0 30 1" xfId="272" xr:uid="{00000000-0005-0000-0000-0000BA000000}"/>
    <cellStyle name="%_NRA_model_for_NEMO2 (EMC Update) v0.19_NRA_model_for_NEMO2 (EMC Update) v0.21_NRA_model_for_NEMO2 (EMC Update) v0.26_NRA_model_for_NEMO2 (EMC Update) v0.29.4_NRA_model_for_NEMO2 (EMC Update) v0.29.5" xfId="273" xr:uid="{00000000-0005-0000-0000-0000BB000000}"/>
    <cellStyle name="%_NRA_model_for_NEMO2 (EMC Update) v0.19_NRA_model_for_NEMO2 (EMC Update) v0.21_NRA_model_for_NEMO2 (EMC Update) v0.26_NRA_model_for_NEMO2 (EMC Update) v0.29.4_NRA_model_for_NEMO2 (EMC Update) v0.29.5_NRA_model_for_NEMO2 (EMC Update) v0 30 1" xfId="274" xr:uid="{00000000-0005-0000-0000-0000BC000000}"/>
    <cellStyle name="%_NRA_model_for_NEMO2 (EMC Update) v0.19_NRA_model_for_NEMO2 (EMC Update) v0.21_NRA_model_for_NEMO2 (EMC Update) v0.26_NRA_model_for_NEMO2 (EMC Update) v0.29.5" xfId="275" xr:uid="{00000000-0005-0000-0000-0000BD000000}"/>
    <cellStyle name="%_NRA_model_for_NEMO2 (EMC Update) v0.19_NRA_model_for_NEMO2 (EMC Update) v0.21_NRA_model_for_NEMO2 (EMC Update) v0.26_NRA_model_for_NEMO2 (EMC Update) v0.29.5_NRA_model_for_NEMO2 (EMC Update) v0 30 1" xfId="276" xr:uid="{00000000-0005-0000-0000-0000BE000000}"/>
    <cellStyle name="%_NRA_model_for_NEMO2 (EMC Update) v0.19_NRA_model_for_NEMO2 (EMC Update) v0.21_NRA_model_for_NEMO2 (EMC Update) v0.26_NRA_model_for_NEMO2 (EMC Update) v0.29_NRA_model_for_NEMO2 (EMC Update) v0 30 1" xfId="277" xr:uid="{00000000-0005-0000-0000-0000BF000000}"/>
    <cellStyle name="%_NRA_model_for_NEMO2 (EMC Update) v0.19_NRA_model_for_NEMO2 (EMC Update) v0.21_NRA_model_for_NEMO2 (EMC Update) v0.26_NRA_model_for_NEMO2 (EMC Update) v0.29_NRA_model_for_NEMO2 (EMC Update) v0.29.2" xfId="278" xr:uid="{00000000-0005-0000-0000-0000C0000000}"/>
    <cellStyle name="%_NRA_model_for_NEMO2 (EMC Update) v0.19_NRA_model_for_NEMO2 (EMC Update) v0.21_NRA_model_for_NEMO2 (EMC Update) v0.26_NRA_model_for_NEMO2 (EMC Update) v0.29_NRA_model_for_NEMO2 (EMC Update) v0.29.2_NRA_model_for_NEMO2 (EMC Update) v0 30 1" xfId="279" xr:uid="{00000000-0005-0000-0000-0000C1000000}"/>
    <cellStyle name="%_NRA_model_for_NEMO2 (EMC Update) v0.19_NRA_model_for_NEMO2 (EMC Update) v0.21_NRA_model_for_NEMO2 (EMC Update) v0.26_NRA_model_for_NEMO2 (EMC Update) v0.29_NRA_model_for_NEMO2 (EMC Update) v0.29.2_NRA_model_for_NEMO2 (EMC Update) v0.29.3" xfId="280" xr:uid="{00000000-0005-0000-0000-0000C2000000}"/>
    <cellStyle name="%_NRA_model_for_NEMO2 (EMC Update) v0.19_NRA_model_for_NEMO2 (EMC Update) v0.21_NRA_model_for_NEMO2 (EMC Update) v0.26_NRA_model_for_NEMO2 (EMC Update) v0.29_NRA_model_for_NEMO2 (EMC Update) v0.29.2_NRA_model_for_NEMO2 (EMC Update) v0.29.4" xfId="281" xr:uid="{00000000-0005-0000-0000-0000C3000000}"/>
    <cellStyle name="%_NRA_model_for_NEMO2 (EMC Update) v0.19_NRA_model_for_NEMO2 (EMC Update) v0.21_NRA_model_for_NEMO2 (EMC Update) v0.26_NRA_model_for_NEMO2 (EMC Update) v0.29_NRA_model_for_NEMO2 (EMC Update) v0.29.2_NRA_model_for_NEMO2 (EMC Update) v0.29.5" xfId="282" xr:uid="{00000000-0005-0000-0000-0000C4000000}"/>
    <cellStyle name="%_NRA_model_for_NEMO2 (EMC Update) v0.19_NRA_model_for_NEMO2 (EMC Update) v0.21_NRA_model_for_NEMO2 (EMC Update) v0.26_NRA_model_for_NEMO2 (EMC Update) v0.29_NRA_model_for_NEMO2 (EMC Update) v0.29.3" xfId="283" xr:uid="{00000000-0005-0000-0000-0000C5000000}"/>
    <cellStyle name="%_NRA_model_for_NEMO2 (EMC Update) v0.19_NRA_model_for_NEMO2 (EMC Update) v0.21_NRA_model_for_NEMO2 (EMC Update) v0.26_NRA_model_for_NEMO2 (EMC Update) v0.29_NRA_model_for_NEMO2 (EMC Update) v0.29.3_NRA_model_for_NEMO2 (EMC Update) v0 30 1" xfId="284" xr:uid="{00000000-0005-0000-0000-0000C6000000}"/>
    <cellStyle name="%_NRA_model_for_NEMO2 (EMC Update) v0.19_NRA_model_for_NEMO2 (EMC Update) v0.21_NRA_model_for_NEMO2 (EMC Update) v0.26_NRA_model_for_NEMO2 (EMC Update) v0.29_NRA_model_for_NEMO2 (EMC Update) v0.29.3_NRA_model_for_NEMO2 (EMC Update) v0.29.5" xfId="285" xr:uid="{00000000-0005-0000-0000-0000C7000000}"/>
    <cellStyle name="%_NRA_model_for_NEMO2 (EMC Update) v0.19_NRA_model_for_NEMO2 (EMC Update) v0.21_NRA_model_for_NEMO2 (EMC Update) v0.26_NRA_model_for_NEMO2 (EMC Update) v0.29_NRA_model_for_NEMO2 (EMC Update) v0.29.4" xfId="286" xr:uid="{00000000-0005-0000-0000-0000C8000000}"/>
    <cellStyle name="%_NRA_model_for_NEMO2 (EMC Update) v0.19_NRA_model_for_NEMO2 (EMC Update) v0.21_NRA_model_for_NEMO2 (EMC Update) v0.26_NRA_model_for_NEMO2 (EMC Update) v0.29_NRA_model_for_NEMO2 (EMC Update) v0.29.4_NRA_model_for_NEMO2 (EMC Update) v0 30 1" xfId="287" xr:uid="{00000000-0005-0000-0000-0000C9000000}"/>
    <cellStyle name="%_NRA_model_for_NEMO2 (EMC Update) v0.19_NRA_model_for_NEMO2 (EMC Update) v0.21_NRA_model_for_NEMO2 (EMC Update) v0.26_NRA_model_for_NEMO2 (EMC Update) v0.29_NRA_model_for_NEMO2 (EMC Update) v0.29.4_NRA_model_for_NEMO2 (EMC Update) v0.29.5" xfId="288" xr:uid="{00000000-0005-0000-0000-0000CA000000}"/>
    <cellStyle name="%_NRA_model_for_NEMO2 (EMC Update) v0.19_NRA_model_for_NEMO2 (EMC Update) v0.21_NRA_model_for_NEMO2 (EMC Update) v0.26_NRA_model_for_NEMO2 (EMC Update) v0.29_NRA_model_for_NEMO2 (EMC Update) v0.29.5" xfId="289" xr:uid="{00000000-0005-0000-0000-0000CB000000}"/>
    <cellStyle name="%_NRA_model_for_NEMO2 (EMC Update) v0.19_NRA_model_for_NEMO2 (EMC Update) v0.21_NRA_model_for_NEMO2 (EMC Update) v0.26_NRA_model_for_NEMO2 (EMC Update) v0.29_NRA_model_for_NEMO2 (EMC Update) v0.29.5_NRA_model_for_NEMO2 (EMC Update) v0 30 1" xfId="290" xr:uid="{00000000-0005-0000-0000-0000CC000000}"/>
    <cellStyle name="%_NRA_model_for_NEMO2 (EMC Update) v0.19_NRA_model_for_NEMO2 (EMC Update) v0.21_NRA_model_for_NEMO2 (EMC Update) v0.29" xfId="291" xr:uid="{00000000-0005-0000-0000-0000CD000000}"/>
    <cellStyle name="%_NRA_model_for_NEMO2 (EMC Update) v0.19_NRA_model_for_NEMO2 (EMC Update) v0.21_NRA_model_for_NEMO2 (EMC Update) v0.29.2" xfId="292" xr:uid="{00000000-0005-0000-0000-0000CE000000}"/>
    <cellStyle name="%_NRA_model_for_NEMO2 (EMC Update) v0.19_NRA_model_for_NEMO2 (EMC Update) v0.21_NRA_model_for_NEMO2 (EMC Update) v0.29.2_NRA_model_for_NEMO2 (EMC Update) v0 30 1" xfId="293" xr:uid="{00000000-0005-0000-0000-0000CF000000}"/>
    <cellStyle name="%_NRA_model_for_NEMO2 (EMC Update) v0.19_NRA_model_for_NEMO2 (EMC Update) v0.21_NRA_model_for_NEMO2 (EMC Update) v0.29.2_NRA_model_for_NEMO2 (EMC Update) v0.29.3" xfId="294" xr:uid="{00000000-0005-0000-0000-0000D0000000}"/>
    <cellStyle name="%_NRA_model_for_NEMO2 (EMC Update) v0.19_NRA_model_for_NEMO2 (EMC Update) v0.21_NRA_model_for_NEMO2 (EMC Update) v0.29.2_NRA_model_for_NEMO2 (EMC Update) v0.29.3_NRA_model_for_NEMO2 (EMC Update) v0 30 1" xfId="295" xr:uid="{00000000-0005-0000-0000-0000D1000000}"/>
    <cellStyle name="%_NRA_model_for_NEMO2 (EMC Update) v0.19_NRA_model_for_NEMO2 (EMC Update) v0.21_NRA_model_for_NEMO2 (EMC Update) v0.29.2_NRA_model_for_NEMO2 (EMC Update) v0.29.3_NRA_model_for_NEMO2 (EMC Update) v0.29.5" xfId="296" xr:uid="{00000000-0005-0000-0000-0000D2000000}"/>
    <cellStyle name="%_NRA_model_for_NEMO2 (EMC Update) v0.19_NRA_model_for_NEMO2 (EMC Update) v0.21_NRA_model_for_NEMO2 (EMC Update) v0.29.2_NRA_model_for_NEMO2 (EMC Update) v0.29.3_NRA_model_for_NEMO2 (EMC Update) v0.29.5_NRA_model_for_NEMO2 (EMC Update) v0 30 1" xfId="297" xr:uid="{00000000-0005-0000-0000-0000D3000000}"/>
    <cellStyle name="%_NRA_model_for_NEMO2 (EMC Update) v0.19_NRA_model_for_NEMO2 (EMC Update) v0.21_NRA_model_for_NEMO2 (EMC Update) v0.29.2_NRA_model_for_NEMO2 (EMC Update) v0.29.4" xfId="298" xr:uid="{00000000-0005-0000-0000-0000D4000000}"/>
    <cellStyle name="%_NRA_model_for_NEMO2 (EMC Update) v0.19_NRA_model_for_NEMO2 (EMC Update) v0.21_NRA_model_for_NEMO2 (EMC Update) v0.29.2_NRA_model_for_NEMO2 (EMC Update) v0.29.4_NRA_model_for_NEMO2 (EMC Update) v0 30 1" xfId="299" xr:uid="{00000000-0005-0000-0000-0000D5000000}"/>
    <cellStyle name="%_NRA_model_for_NEMO2 (EMC Update) v0.19_NRA_model_for_NEMO2 (EMC Update) v0.21_NRA_model_for_NEMO2 (EMC Update) v0.29.2_NRA_model_for_NEMO2 (EMC Update) v0.29.4_NRA_model_for_NEMO2 (EMC Update) v0.29.5" xfId="300" xr:uid="{00000000-0005-0000-0000-0000D6000000}"/>
    <cellStyle name="%_NRA_model_for_NEMO2 (EMC Update) v0.19_NRA_model_for_NEMO2 (EMC Update) v0.21_NRA_model_for_NEMO2 (EMC Update) v0.29.2_NRA_model_for_NEMO2 (EMC Update) v0.29.4_NRA_model_for_NEMO2 (EMC Update) v0.29.5_NRA_model_for_NEMO2 (EMC Update) v0 30 1" xfId="301" xr:uid="{00000000-0005-0000-0000-0000D7000000}"/>
    <cellStyle name="%_NRA_model_for_NEMO2 (EMC Update) v0.19_NRA_model_for_NEMO2 (EMC Update) v0.21_NRA_model_for_NEMO2 (EMC Update) v0.29.2_NRA_model_for_NEMO2 (EMC Update) v0.29.5" xfId="302" xr:uid="{00000000-0005-0000-0000-0000D8000000}"/>
    <cellStyle name="%_NRA_model_for_NEMO2 (EMC Update) v0.19_NRA_model_for_NEMO2 (EMC Update) v0.21_NRA_model_for_NEMO2 (EMC Update) v0.29.2_NRA_model_for_NEMO2 (EMC Update) v0.29.5_NRA_model_for_NEMO2 (EMC Update) v0 30 1" xfId="303" xr:uid="{00000000-0005-0000-0000-0000D9000000}"/>
    <cellStyle name="%_NRA_model_for_NEMO2 (EMC Update) v0.19_NRA_model_for_NEMO2 (EMC Update) v0.21_NRA_model_for_NEMO2 (EMC Update) v0.29.3" xfId="304" xr:uid="{00000000-0005-0000-0000-0000DA000000}"/>
    <cellStyle name="%_NRA_model_for_NEMO2 (EMC Update) v0.19_NRA_model_for_NEMO2 (EMC Update) v0.21_NRA_model_for_NEMO2 (EMC Update) v0.29.3_NRA_model_for_NEMO2 (EMC Update) v0 30 1" xfId="305" xr:uid="{00000000-0005-0000-0000-0000DB000000}"/>
    <cellStyle name="%_NRA_model_for_NEMO2 (EMC Update) v0.19_NRA_model_for_NEMO2 (EMC Update) v0.21_NRA_model_for_NEMO2 (EMC Update) v0.29.3_NRA_model_for_NEMO2 (EMC Update) v0.29.5" xfId="306" xr:uid="{00000000-0005-0000-0000-0000DC000000}"/>
    <cellStyle name="%_NRA_model_for_NEMO2 (EMC Update) v0.19_NRA_model_for_NEMO2 (EMC Update) v0.21_NRA_model_for_NEMO2 (EMC Update) v0.29.3_NRA_model_for_NEMO2 (EMC Update) v0.29.5_NRA_model_for_NEMO2 (EMC Update) v0 30 1" xfId="307" xr:uid="{00000000-0005-0000-0000-0000DD000000}"/>
    <cellStyle name="%_NRA_model_for_NEMO2 (EMC Update) v0.19_NRA_model_for_NEMO2 (EMC Update) v0.21_NRA_model_for_NEMO2 (EMC Update) v0.29.4" xfId="308" xr:uid="{00000000-0005-0000-0000-0000DE000000}"/>
    <cellStyle name="%_NRA_model_for_NEMO2 (EMC Update) v0.19_NRA_model_for_NEMO2 (EMC Update) v0.21_NRA_model_for_NEMO2 (EMC Update) v0.29.4_NRA_model_for_NEMO2 (EMC Update) v0 30 1" xfId="309" xr:uid="{00000000-0005-0000-0000-0000DF000000}"/>
    <cellStyle name="%_NRA_model_for_NEMO2 (EMC Update) v0.19_NRA_model_for_NEMO2 (EMC Update) v0.21_NRA_model_for_NEMO2 (EMC Update) v0.29.4_NRA_model_for_NEMO2 (EMC Update) v0.29.5" xfId="310" xr:uid="{00000000-0005-0000-0000-0000E0000000}"/>
    <cellStyle name="%_NRA_model_for_NEMO2 (EMC Update) v0.19_NRA_model_for_NEMO2 (EMC Update) v0.21_NRA_model_for_NEMO2 (EMC Update) v0.29.4_NRA_model_for_NEMO2 (EMC Update) v0.29.5_NRA_model_for_NEMO2 (EMC Update) v0 30 1" xfId="311" xr:uid="{00000000-0005-0000-0000-0000E1000000}"/>
    <cellStyle name="%_NRA_model_for_NEMO2 (EMC Update) v0.19_NRA_model_for_NEMO2 (EMC Update) v0.21_NRA_model_for_NEMO2 (EMC Update) v0.29.5" xfId="312" xr:uid="{00000000-0005-0000-0000-0000E2000000}"/>
    <cellStyle name="%_NRA_model_for_NEMO2 (EMC Update) v0.19_NRA_model_for_NEMO2 (EMC Update) v0.21_NRA_model_for_NEMO2 (EMC Update) v0.29.5_NRA_model_for_NEMO2 (EMC Update) v0 30 1" xfId="313" xr:uid="{00000000-0005-0000-0000-0000E3000000}"/>
    <cellStyle name="%_NRA_model_for_NEMO2 (EMC Update) v0.19_NRA_model_for_NEMO2 (EMC Update) v0.21_NRA_model_for_NEMO2 (EMC Update) v0.29_NRA_model_for_NEMO2 (EMC Update) v0 30 1" xfId="314" xr:uid="{00000000-0005-0000-0000-0000E4000000}"/>
    <cellStyle name="%_NRA_model_for_NEMO2 (EMC Update) v0.19_NRA_model_for_NEMO2 (EMC Update) v0.21_NRA_model_for_NEMO2 (EMC Update) v0.29_NRA_model_for_NEMO2 (EMC Update) v0.29.2" xfId="315" xr:uid="{00000000-0005-0000-0000-0000E5000000}"/>
    <cellStyle name="%_NRA_model_for_NEMO2 (EMC Update) v0.19_NRA_model_for_NEMO2 (EMC Update) v0.21_NRA_model_for_NEMO2 (EMC Update) v0.29_NRA_model_for_NEMO2 (EMC Update) v0.29.2_NRA_model_for_NEMO2 (EMC Update) v0 30 1" xfId="316" xr:uid="{00000000-0005-0000-0000-0000E6000000}"/>
    <cellStyle name="%_NRA_model_for_NEMO2 (EMC Update) v0.19_NRA_model_for_NEMO2 (EMC Update) v0.21_NRA_model_for_NEMO2 (EMC Update) v0.29_NRA_model_for_NEMO2 (EMC Update) v0.29.2_NRA_model_for_NEMO2 (EMC Update) v0.29.3" xfId="317" xr:uid="{00000000-0005-0000-0000-0000E7000000}"/>
    <cellStyle name="%_NRA_model_for_NEMO2 (EMC Update) v0.19_NRA_model_for_NEMO2 (EMC Update) v0.21_NRA_model_for_NEMO2 (EMC Update) v0.29_NRA_model_for_NEMO2 (EMC Update) v0.29.2_NRA_model_for_NEMO2 (EMC Update) v0.29.3_NRA_model_for_NEMO2 (EMC Update) v0 30 1" xfId="318" xr:uid="{00000000-0005-0000-0000-0000E8000000}"/>
    <cellStyle name="%_NRA_model_for_NEMO2 (EMC Update) v0.19_NRA_model_for_NEMO2 (EMC Update) v0.21_NRA_model_for_NEMO2 (EMC Update) v0.29_NRA_model_for_NEMO2 (EMC Update) v0.29.2_NRA_model_for_NEMO2 (EMC Update) v0.29.3_NRA_model_for_NEMO2 (EMC Update) v0.29.5" xfId="319" xr:uid="{00000000-0005-0000-0000-0000E9000000}"/>
    <cellStyle name="%_NRA_model_for_NEMO2 (EMC Update) v0.19_NRA_model_for_NEMO2 (EMC Update) v0.21_NRA_model_for_NEMO2 (EMC Update) v0.29_NRA_model_for_NEMO2 (EMC Update) v0.29.2_NRA_model_for_NEMO2 (EMC Update) v0.29.4" xfId="320" xr:uid="{00000000-0005-0000-0000-0000EA000000}"/>
    <cellStyle name="%_NRA_model_for_NEMO2 (EMC Update) v0.19_NRA_model_for_NEMO2 (EMC Update) v0.21_NRA_model_for_NEMO2 (EMC Update) v0.29_NRA_model_for_NEMO2 (EMC Update) v0.29.2_NRA_model_for_NEMO2 (EMC Update) v0.29.4_NRA_model_for_NEMO2 (EMC Update) v0 30 1" xfId="321" xr:uid="{00000000-0005-0000-0000-0000EB000000}"/>
    <cellStyle name="%_NRA_model_for_NEMO2 (EMC Update) v0.19_NRA_model_for_NEMO2 (EMC Update) v0.21_NRA_model_for_NEMO2 (EMC Update) v0.29_NRA_model_for_NEMO2 (EMC Update) v0.29.2_NRA_model_for_NEMO2 (EMC Update) v0.29.4_NRA_model_for_NEMO2 (EMC Update) v0.29.5" xfId="322" xr:uid="{00000000-0005-0000-0000-0000EC000000}"/>
    <cellStyle name="%_NRA_model_for_NEMO2 (EMC Update) v0.19_NRA_model_for_NEMO2 (EMC Update) v0.21_NRA_model_for_NEMO2 (EMC Update) v0.29_NRA_model_for_NEMO2 (EMC Update) v0.29.2_NRA_model_for_NEMO2 (EMC Update) v0.29.5" xfId="323" xr:uid="{00000000-0005-0000-0000-0000ED000000}"/>
    <cellStyle name="%_NRA_model_for_NEMO2 (EMC Update) v0.19_NRA_model_for_NEMO2 (EMC Update) v0.21_NRA_model_for_NEMO2 (EMC Update) v0.29_NRA_model_for_NEMO2 (EMC Update) v0.29.2_NRA_model_for_NEMO2 (EMC Update) v0.29.5_NRA_model_for_NEMO2 (EMC Update) v0 30 1" xfId="324" xr:uid="{00000000-0005-0000-0000-0000EE000000}"/>
    <cellStyle name="%_NRA_model_for_NEMO2 (EMC Update) v0.19_NRA_model_for_NEMO2 (EMC Update) v0.21_NRA_model_for_NEMO2 (EMC Update) v0.29_NRA_model_for_NEMO2 (EMC Update) v0.29.3" xfId="325" xr:uid="{00000000-0005-0000-0000-0000EF000000}"/>
    <cellStyle name="%_NRA_model_for_NEMO2 (EMC Update) v0.19_NRA_model_for_NEMO2 (EMC Update) v0.21_NRA_model_for_NEMO2 (EMC Update) v0.29_NRA_model_for_NEMO2 (EMC Update) v0.29.3_NRA_model_for_NEMO2 (EMC Update) v0 30 1" xfId="326" xr:uid="{00000000-0005-0000-0000-0000F0000000}"/>
    <cellStyle name="%_NRA_model_for_NEMO2 (EMC Update) v0.19_NRA_model_for_NEMO2 (EMC Update) v0.21_NRA_model_for_NEMO2 (EMC Update) v0.29_NRA_model_for_NEMO2 (EMC Update) v0.29.3_NRA_model_for_NEMO2 (EMC Update) v0.29.5" xfId="327" xr:uid="{00000000-0005-0000-0000-0000F1000000}"/>
    <cellStyle name="%_NRA_model_for_NEMO2 (EMC Update) v0.19_NRA_model_for_NEMO2 (EMC Update) v0.21_NRA_model_for_NEMO2 (EMC Update) v0.29_NRA_model_for_NEMO2 (EMC Update) v0.29.3_NRA_model_for_NEMO2 (EMC Update) v0.29.5_NRA_model_for_NEMO2 (EMC Update) v0 30 1" xfId="328" xr:uid="{00000000-0005-0000-0000-0000F2000000}"/>
    <cellStyle name="%_NRA_model_for_NEMO2 (EMC Update) v0.19_NRA_model_for_NEMO2 (EMC Update) v0.21_NRA_model_for_NEMO2 (EMC Update) v0.29_NRA_model_for_NEMO2 (EMC Update) v0.29.4" xfId="329" xr:uid="{00000000-0005-0000-0000-0000F3000000}"/>
    <cellStyle name="%_NRA_model_for_NEMO2 (EMC Update) v0.19_NRA_model_for_NEMO2 (EMC Update) v0.21_NRA_model_for_NEMO2 (EMC Update) v0.29_NRA_model_for_NEMO2 (EMC Update) v0.29.4_NRA_model_for_NEMO2 (EMC Update) v0 30 1" xfId="330" xr:uid="{00000000-0005-0000-0000-0000F4000000}"/>
    <cellStyle name="%_NRA_model_for_NEMO2 (EMC Update) v0.19_NRA_model_for_NEMO2 (EMC Update) v0.21_NRA_model_for_NEMO2 (EMC Update) v0.29_NRA_model_for_NEMO2 (EMC Update) v0.29.4_NRA_model_for_NEMO2 (EMC Update) v0.29.5" xfId="331" xr:uid="{00000000-0005-0000-0000-0000F5000000}"/>
    <cellStyle name="%_NRA_model_for_NEMO2 (EMC Update) v0.19_NRA_model_for_NEMO2 (EMC Update) v0.21_NRA_model_for_NEMO2 (EMC Update) v0.29_NRA_model_for_NEMO2 (EMC Update) v0.29.4_NRA_model_for_NEMO2 (EMC Update) v0.29.5_NRA_model_for_NEMO2 (EMC Update) v0 30 1" xfId="332" xr:uid="{00000000-0005-0000-0000-0000F6000000}"/>
    <cellStyle name="%_NRA_model_for_NEMO2 (EMC Update) v0.19_NRA_model_for_NEMO2 (EMC Update) v0.21_NRA_model_for_NEMO2 (EMC Update) v0.29_NRA_model_for_NEMO2 (EMC Update) v0.29.5" xfId="333" xr:uid="{00000000-0005-0000-0000-0000F7000000}"/>
    <cellStyle name="%_NRA_model_for_NEMO2 (EMC Update) v0.19_NRA_model_for_NEMO2 (EMC Update) v0.21_NRA_model_for_NEMO2 (EMC Update) v0.29_NRA_model_for_NEMO2 (EMC Update) v0.29.5_NRA_model_for_NEMO2 (EMC Update) v0 30 1" xfId="334" xr:uid="{00000000-0005-0000-0000-0000F8000000}"/>
    <cellStyle name="%_NRA_model_for_NEMO2 (EMC Update) v0.19_NRA_model_for_NEMO2 (EMC Update) v0.22" xfId="335" xr:uid="{00000000-0005-0000-0000-0000F9000000}"/>
    <cellStyle name="%_NRA_model_for_NEMO2 (EMC Update) v0.19_NRA_model_for_NEMO2 (EMC Update) v0.22_NRA_model_for_NEMO2 (EMC Update) v0 30 1" xfId="336" xr:uid="{00000000-0005-0000-0000-0000FA000000}"/>
    <cellStyle name="%_NRA_model_for_NEMO2 (EMC Update) v0.19_NRA_model_for_NEMO2 (EMC Update) v0.22_NRA_model_for_NEMO2 (EMC Update) v0.25" xfId="337" xr:uid="{00000000-0005-0000-0000-0000FB000000}"/>
    <cellStyle name="%_NRA_model_for_NEMO2 (EMC Update) v0.19_NRA_model_for_NEMO2 (EMC Update) v0.22_NRA_model_for_NEMO2 (EMC Update) v0.25_NRA_model_for_NEMO2 (EMC Update) v0 30 1" xfId="338" xr:uid="{00000000-0005-0000-0000-0000FC000000}"/>
    <cellStyle name="%_NRA_model_for_NEMO2 (EMC Update) v0.19_NRA_model_for_NEMO2 (EMC Update) v0.22_NRA_model_for_NEMO2 (EMC Update) v0.25_NRA_model_for_NEMO2 (EMC Update) v0.26" xfId="339" xr:uid="{00000000-0005-0000-0000-0000FD000000}"/>
    <cellStyle name="%_NRA_model_for_NEMO2 (EMC Update) v0.19_NRA_model_for_NEMO2 (EMC Update) v0.22_NRA_model_for_NEMO2 (EMC Update) v0.25_NRA_model_for_NEMO2 (EMC Update) v0.26_NRA_model_for_NEMO2 (EMC Update) v0 30 1" xfId="340" xr:uid="{00000000-0005-0000-0000-0000FE000000}"/>
    <cellStyle name="%_NRA_model_for_NEMO2 (EMC Update) v0.19_NRA_model_for_NEMO2 (EMC Update) v0.22_NRA_model_for_NEMO2 (EMC Update) v0.25_NRA_model_for_NEMO2 (EMC Update) v0.26_NRA_model_for_NEMO2 (EMC Update) v0.29" xfId="341" xr:uid="{00000000-0005-0000-0000-0000FF000000}"/>
    <cellStyle name="%_NRA_model_for_NEMO2 (EMC Update) v0.19_NRA_model_for_NEMO2 (EMC Update) v0.22_NRA_model_for_NEMO2 (EMC Update) v0.25_NRA_model_for_NEMO2 (EMC Update) v0.26_NRA_model_for_NEMO2 (EMC Update) v0.29.2" xfId="342" xr:uid="{00000000-0005-0000-0000-000000010000}"/>
    <cellStyle name="%_NRA_model_for_NEMO2 (EMC Update) v0.19_NRA_model_for_NEMO2 (EMC Update) v0.22_NRA_model_for_NEMO2 (EMC Update) v0.25_NRA_model_for_NEMO2 (EMC Update) v0.26_NRA_model_for_NEMO2 (EMC Update) v0.29.2_NRA_model_for_NEMO2 (EMC Update) v0 30 1" xfId="343" xr:uid="{00000000-0005-0000-0000-000001010000}"/>
    <cellStyle name="%_NRA_model_for_NEMO2 (EMC Update) v0.19_NRA_model_for_NEMO2 (EMC Update) v0.22_NRA_model_for_NEMO2 (EMC Update) v0.25_NRA_model_for_NEMO2 (EMC Update) v0.26_NRA_model_for_NEMO2 (EMC Update) v0.29.2_NRA_model_for_NEMO2 (EMC Update) v0.29.3" xfId="344" xr:uid="{00000000-0005-0000-0000-000002010000}"/>
    <cellStyle name="%_NRA_model_for_NEMO2 (EMC Update) v0.19_NRA_model_for_NEMO2 (EMC Update) v0.22_NRA_model_for_NEMO2 (EMC Update) v0.25_NRA_model_for_NEMO2 (EMC Update) v0.26_NRA_model_for_NEMO2 (EMC Update) v0.29.2_NRA_model_for_NEMO2 (EMC Update) v0.29.4" xfId="345" xr:uid="{00000000-0005-0000-0000-000003010000}"/>
    <cellStyle name="%_NRA_model_for_NEMO2 (EMC Update) v0.19_NRA_model_for_NEMO2 (EMC Update) v0.22_NRA_model_for_NEMO2 (EMC Update) v0.25_NRA_model_for_NEMO2 (EMC Update) v0.26_NRA_model_for_NEMO2 (EMC Update) v0.29.2_NRA_model_for_NEMO2 (EMC Update) v0.29.5" xfId="346" xr:uid="{00000000-0005-0000-0000-000004010000}"/>
    <cellStyle name="%_NRA_model_for_NEMO2 (EMC Update) v0.19_NRA_model_for_NEMO2 (EMC Update) v0.22_NRA_model_for_NEMO2 (EMC Update) v0.25_NRA_model_for_NEMO2 (EMC Update) v0.26_NRA_model_for_NEMO2 (EMC Update) v0.29.3" xfId="347" xr:uid="{00000000-0005-0000-0000-000005010000}"/>
    <cellStyle name="%_NRA_model_for_NEMO2 (EMC Update) v0.19_NRA_model_for_NEMO2 (EMC Update) v0.22_NRA_model_for_NEMO2 (EMC Update) v0.25_NRA_model_for_NEMO2 (EMC Update) v0.26_NRA_model_for_NEMO2 (EMC Update) v0.29.3_NRA_model_for_NEMO2 (EMC Update) v0 30 1" xfId="348" xr:uid="{00000000-0005-0000-0000-000006010000}"/>
    <cellStyle name="%_NRA_model_for_NEMO2 (EMC Update) v0.19_NRA_model_for_NEMO2 (EMC Update) v0.22_NRA_model_for_NEMO2 (EMC Update) v0.25_NRA_model_for_NEMO2 (EMC Update) v0.26_NRA_model_for_NEMO2 (EMC Update) v0.29.3_NRA_model_for_NEMO2 (EMC Update) v0.29.5" xfId="349" xr:uid="{00000000-0005-0000-0000-000007010000}"/>
    <cellStyle name="%_NRA_model_for_NEMO2 (EMC Update) v0.19_NRA_model_for_NEMO2 (EMC Update) v0.22_NRA_model_for_NEMO2 (EMC Update) v0.25_NRA_model_for_NEMO2 (EMC Update) v0.26_NRA_model_for_NEMO2 (EMC Update) v0.29.4" xfId="350" xr:uid="{00000000-0005-0000-0000-000008010000}"/>
    <cellStyle name="%_NRA_model_for_NEMO2 (EMC Update) v0.19_NRA_model_for_NEMO2 (EMC Update) v0.22_NRA_model_for_NEMO2 (EMC Update) v0.25_NRA_model_for_NEMO2 (EMC Update) v0.26_NRA_model_for_NEMO2 (EMC Update) v0.29.4_NRA_model_for_NEMO2 (EMC Update) v0 30 1" xfId="351" xr:uid="{00000000-0005-0000-0000-000009010000}"/>
    <cellStyle name="%_NRA_model_for_NEMO2 (EMC Update) v0.19_NRA_model_for_NEMO2 (EMC Update) v0.22_NRA_model_for_NEMO2 (EMC Update) v0.25_NRA_model_for_NEMO2 (EMC Update) v0.26_NRA_model_for_NEMO2 (EMC Update) v0.29.4_NRA_model_for_NEMO2 (EMC Update) v0.29.5" xfId="352" xr:uid="{00000000-0005-0000-0000-00000A010000}"/>
    <cellStyle name="%_NRA_model_for_NEMO2 (EMC Update) v0.19_NRA_model_for_NEMO2 (EMC Update) v0.22_NRA_model_for_NEMO2 (EMC Update) v0.25_NRA_model_for_NEMO2 (EMC Update) v0.26_NRA_model_for_NEMO2 (EMC Update) v0.29.5" xfId="353" xr:uid="{00000000-0005-0000-0000-00000B010000}"/>
    <cellStyle name="%_NRA_model_for_NEMO2 (EMC Update) v0.19_NRA_model_for_NEMO2 (EMC Update) v0.22_NRA_model_for_NEMO2 (EMC Update) v0.25_NRA_model_for_NEMO2 (EMC Update) v0.26_NRA_model_for_NEMO2 (EMC Update) v0.29.5_NRA_model_for_NEMO2 (EMC Update) v0 30 1" xfId="354" xr:uid="{00000000-0005-0000-0000-00000C010000}"/>
    <cellStyle name="%_NRA_model_for_NEMO2 (EMC Update) v0.19_NRA_model_for_NEMO2 (EMC Update) v0.22_NRA_model_for_NEMO2 (EMC Update) v0.25_NRA_model_for_NEMO2 (EMC Update) v0.26_NRA_model_for_NEMO2 (EMC Update) v0.29_NRA_model_for_NEMO2 (EMC Update) v0 30 1" xfId="355" xr:uid="{00000000-0005-0000-0000-00000D010000}"/>
    <cellStyle name="%_NRA_model_for_NEMO2 (EMC Update) v0.19_NRA_model_for_NEMO2 (EMC Update) v0.22_NRA_model_for_NEMO2 (EMC Update) v0.25_NRA_model_for_NEMO2 (EMC Update) v0.26_NRA_model_for_NEMO2 (EMC Update) v0.29_NRA_model_for_NEMO2 (EMC Update) v0.29.2" xfId="356" xr:uid="{00000000-0005-0000-0000-00000E010000}"/>
    <cellStyle name="%_NRA_model_for_NEMO2 (EMC Update) v0.19_NRA_model_for_NEMO2 (EMC Update) v0.22_NRA_model_for_NEMO2 (EMC Update) v0.25_NRA_model_for_NEMO2 (EMC Update) v0.26_NRA_model_for_NEMO2 (EMC Update) v0.29_NRA_model_for_NEMO2 (EMC Update) v0.29.3" xfId="357" xr:uid="{00000000-0005-0000-0000-00000F010000}"/>
    <cellStyle name="%_NRA_model_for_NEMO2 (EMC Update) v0.19_NRA_model_for_NEMO2 (EMC Update) v0.22_NRA_model_for_NEMO2 (EMC Update) v0.25_NRA_model_for_NEMO2 (EMC Update) v0.26_NRA_model_for_NEMO2 (EMC Update) v0.29_NRA_model_for_NEMO2 (EMC Update) v0.29.4" xfId="358" xr:uid="{00000000-0005-0000-0000-000010010000}"/>
    <cellStyle name="%_NRA_model_for_NEMO2 (EMC Update) v0.19_NRA_model_for_NEMO2 (EMC Update) v0.22_NRA_model_for_NEMO2 (EMC Update) v0.25_NRA_model_for_NEMO2 (EMC Update) v0.26_NRA_model_for_NEMO2 (EMC Update) v0.29_NRA_model_for_NEMO2 (EMC Update) v0.29.5" xfId="359" xr:uid="{00000000-0005-0000-0000-000011010000}"/>
    <cellStyle name="%_NRA_model_for_NEMO2 (EMC Update) v0.19_NRA_model_for_NEMO2 (EMC Update) v0.22_NRA_model_for_NEMO2 (EMC Update) v0.25_NRA_model_for_NEMO2 (EMC Update) v0.29" xfId="360" xr:uid="{00000000-0005-0000-0000-000012010000}"/>
    <cellStyle name="%_NRA_model_for_NEMO2 (EMC Update) v0.19_NRA_model_for_NEMO2 (EMC Update) v0.22_NRA_model_for_NEMO2 (EMC Update) v0.25_NRA_model_for_NEMO2 (EMC Update) v0.29.2" xfId="361" xr:uid="{00000000-0005-0000-0000-000013010000}"/>
    <cellStyle name="%_NRA_model_for_NEMO2 (EMC Update) v0.19_NRA_model_for_NEMO2 (EMC Update) v0.22_NRA_model_for_NEMO2 (EMC Update) v0.25_NRA_model_for_NEMO2 (EMC Update) v0.29.2_NRA_model_for_NEMO2 (EMC Update) v0 30 1" xfId="362" xr:uid="{00000000-0005-0000-0000-000014010000}"/>
    <cellStyle name="%_NRA_model_for_NEMO2 (EMC Update) v0.19_NRA_model_for_NEMO2 (EMC Update) v0.22_NRA_model_for_NEMO2 (EMC Update) v0.25_NRA_model_for_NEMO2 (EMC Update) v0.29.2_NRA_model_for_NEMO2 (EMC Update) v0.29.3" xfId="363" xr:uid="{00000000-0005-0000-0000-000015010000}"/>
    <cellStyle name="%_NRA_model_for_NEMO2 (EMC Update) v0.19_NRA_model_for_NEMO2 (EMC Update) v0.22_NRA_model_for_NEMO2 (EMC Update) v0.25_NRA_model_for_NEMO2 (EMC Update) v0.29.2_NRA_model_for_NEMO2 (EMC Update) v0.29.3_NRA_model_for_NEMO2 (EMC Update) v0 30 1" xfId="364" xr:uid="{00000000-0005-0000-0000-000016010000}"/>
    <cellStyle name="%_NRA_model_for_NEMO2 (EMC Update) v0.19_NRA_model_for_NEMO2 (EMC Update) v0.22_NRA_model_for_NEMO2 (EMC Update) v0.25_NRA_model_for_NEMO2 (EMC Update) v0.29.2_NRA_model_for_NEMO2 (EMC Update) v0.29.3_NRA_model_for_NEMO2 (EMC Update) v0.29.5" xfId="365" xr:uid="{00000000-0005-0000-0000-000017010000}"/>
    <cellStyle name="%_NRA_model_for_NEMO2 (EMC Update) v0.19_NRA_model_for_NEMO2 (EMC Update) v0.22_NRA_model_for_NEMO2 (EMC Update) v0.25_NRA_model_for_NEMO2 (EMC Update) v0.29.2_NRA_model_for_NEMO2 (EMC Update) v0.29.4" xfId="366" xr:uid="{00000000-0005-0000-0000-000018010000}"/>
    <cellStyle name="%_NRA_model_for_NEMO2 (EMC Update) v0.19_NRA_model_for_NEMO2 (EMC Update) v0.22_NRA_model_for_NEMO2 (EMC Update) v0.25_NRA_model_for_NEMO2 (EMC Update) v0.29.2_NRA_model_for_NEMO2 (EMC Update) v0.29.4_NRA_model_for_NEMO2 (EMC Update) v0 30 1" xfId="367" xr:uid="{00000000-0005-0000-0000-000019010000}"/>
    <cellStyle name="%_NRA_model_for_NEMO2 (EMC Update) v0.19_NRA_model_for_NEMO2 (EMC Update) v0.22_NRA_model_for_NEMO2 (EMC Update) v0.25_NRA_model_for_NEMO2 (EMC Update) v0.29.2_NRA_model_for_NEMO2 (EMC Update) v0.29.4_NRA_model_for_NEMO2 (EMC Update) v0.29.5" xfId="368" xr:uid="{00000000-0005-0000-0000-00001A010000}"/>
    <cellStyle name="%_NRA_model_for_NEMO2 (EMC Update) v0.19_NRA_model_for_NEMO2 (EMC Update) v0.22_NRA_model_for_NEMO2 (EMC Update) v0.25_NRA_model_for_NEMO2 (EMC Update) v0.29.2_NRA_model_for_NEMO2 (EMC Update) v0.29.5" xfId="369" xr:uid="{00000000-0005-0000-0000-00001B010000}"/>
    <cellStyle name="%_NRA_model_for_NEMO2 (EMC Update) v0.19_NRA_model_for_NEMO2 (EMC Update) v0.22_NRA_model_for_NEMO2 (EMC Update) v0.25_NRA_model_for_NEMO2 (EMC Update) v0.29.2_NRA_model_for_NEMO2 (EMC Update) v0.29.5_NRA_model_for_NEMO2 (EMC Update) v0 30 1" xfId="370" xr:uid="{00000000-0005-0000-0000-00001C010000}"/>
    <cellStyle name="%_NRA_model_for_NEMO2 (EMC Update) v0.19_NRA_model_for_NEMO2 (EMC Update) v0.22_NRA_model_for_NEMO2 (EMC Update) v0.25_NRA_model_for_NEMO2 (EMC Update) v0.29.3" xfId="371" xr:uid="{00000000-0005-0000-0000-00001D010000}"/>
    <cellStyle name="%_NRA_model_for_NEMO2 (EMC Update) v0.19_NRA_model_for_NEMO2 (EMC Update) v0.22_NRA_model_for_NEMO2 (EMC Update) v0.25_NRA_model_for_NEMO2 (EMC Update) v0.29.3_NRA_model_for_NEMO2 (EMC Update) v0 30 1" xfId="372" xr:uid="{00000000-0005-0000-0000-00001E010000}"/>
    <cellStyle name="%_NRA_model_for_NEMO2 (EMC Update) v0.19_NRA_model_for_NEMO2 (EMC Update) v0.22_NRA_model_for_NEMO2 (EMC Update) v0.25_NRA_model_for_NEMO2 (EMC Update) v0.29.3_NRA_model_for_NEMO2 (EMC Update) v0.29.5" xfId="373" xr:uid="{00000000-0005-0000-0000-00001F010000}"/>
    <cellStyle name="%_NRA_model_for_NEMO2 (EMC Update) v0.19_NRA_model_for_NEMO2 (EMC Update) v0.22_NRA_model_for_NEMO2 (EMC Update) v0.25_NRA_model_for_NEMO2 (EMC Update) v0.29.3_NRA_model_for_NEMO2 (EMC Update) v0.29.5_NRA_model_for_NEMO2 (EMC Update) v0 30 1" xfId="374" xr:uid="{00000000-0005-0000-0000-000020010000}"/>
    <cellStyle name="%_NRA_model_for_NEMO2 (EMC Update) v0.19_NRA_model_for_NEMO2 (EMC Update) v0.22_NRA_model_for_NEMO2 (EMC Update) v0.25_NRA_model_for_NEMO2 (EMC Update) v0.29.4" xfId="375" xr:uid="{00000000-0005-0000-0000-000021010000}"/>
    <cellStyle name="%_NRA_model_for_NEMO2 (EMC Update) v0.19_NRA_model_for_NEMO2 (EMC Update) v0.22_NRA_model_for_NEMO2 (EMC Update) v0.25_NRA_model_for_NEMO2 (EMC Update) v0.29.4_NRA_model_for_NEMO2 (EMC Update) v0 30 1" xfId="376" xr:uid="{00000000-0005-0000-0000-000022010000}"/>
    <cellStyle name="%_NRA_model_for_NEMO2 (EMC Update) v0.19_NRA_model_for_NEMO2 (EMC Update) v0.22_NRA_model_for_NEMO2 (EMC Update) v0.25_NRA_model_for_NEMO2 (EMC Update) v0.29.4_NRA_model_for_NEMO2 (EMC Update) v0.29.5" xfId="377" xr:uid="{00000000-0005-0000-0000-000023010000}"/>
    <cellStyle name="%_NRA_model_for_NEMO2 (EMC Update) v0.19_NRA_model_for_NEMO2 (EMC Update) v0.22_NRA_model_for_NEMO2 (EMC Update) v0.25_NRA_model_for_NEMO2 (EMC Update) v0.29.4_NRA_model_for_NEMO2 (EMC Update) v0.29.5_NRA_model_for_NEMO2 (EMC Update) v0 30 1" xfId="378" xr:uid="{00000000-0005-0000-0000-000024010000}"/>
    <cellStyle name="%_NRA_model_for_NEMO2 (EMC Update) v0.19_NRA_model_for_NEMO2 (EMC Update) v0.22_NRA_model_for_NEMO2 (EMC Update) v0.25_NRA_model_for_NEMO2 (EMC Update) v0.29.5" xfId="379" xr:uid="{00000000-0005-0000-0000-000025010000}"/>
    <cellStyle name="%_NRA_model_for_NEMO2 (EMC Update) v0.19_NRA_model_for_NEMO2 (EMC Update) v0.22_NRA_model_for_NEMO2 (EMC Update) v0.25_NRA_model_for_NEMO2 (EMC Update) v0.29.5_NRA_model_for_NEMO2 (EMC Update) v0 30 1" xfId="380" xr:uid="{00000000-0005-0000-0000-000026010000}"/>
    <cellStyle name="%_NRA_model_for_NEMO2 (EMC Update) v0.19_NRA_model_for_NEMO2 (EMC Update) v0.22_NRA_model_for_NEMO2 (EMC Update) v0.25_NRA_model_for_NEMO2 (EMC Update) v0.29_NRA_model_for_NEMO2 (EMC Update) v0 30 1" xfId="381" xr:uid="{00000000-0005-0000-0000-000027010000}"/>
    <cellStyle name="%_NRA_model_for_NEMO2 (EMC Update) v0.19_NRA_model_for_NEMO2 (EMC Update) v0.22_NRA_model_for_NEMO2 (EMC Update) v0.25_NRA_model_for_NEMO2 (EMC Update) v0.29_NRA_model_for_NEMO2 (EMC Update) v0.29.2" xfId="382" xr:uid="{00000000-0005-0000-0000-000028010000}"/>
    <cellStyle name="%_NRA_model_for_NEMO2 (EMC Update) v0.19_NRA_model_for_NEMO2 (EMC Update) v0.22_NRA_model_for_NEMO2 (EMC Update) v0.25_NRA_model_for_NEMO2 (EMC Update) v0.29_NRA_model_for_NEMO2 (EMC Update) v0.29.2_NRA_model_for_NEMO2 (EMC Update) v0 30 1" xfId="383" xr:uid="{00000000-0005-0000-0000-000029010000}"/>
    <cellStyle name="%_NRA_model_for_NEMO2 (EMC Update) v0.19_NRA_model_for_NEMO2 (EMC Update) v0.22_NRA_model_for_NEMO2 (EMC Update) v0.25_NRA_model_for_NEMO2 (EMC Update) v0.29_NRA_model_for_NEMO2 (EMC Update) v0.29.2_NRA_model_for_NEMO2 (EMC Update) v0.29.3" xfId="384" xr:uid="{00000000-0005-0000-0000-00002A010000}"/>
    <cellStyle name="%_NRA_model_for_NEMO2 (EMC Update) v0.19_NRA_model_for_NEMO2 (EMC Update) v0.22_NRA_model_for_NEMO2 (EMC Update) v0.25_NRA_model_for_NEMO2 (EMC Update) v0.29_NRA_model_for_NEMO2 (EMC Update) v0.29.2_NRA_model_for_NEMO2 (EMC Update) v0.29.4" xfId="385" xr:uid="{00000000-0005-0000-0000-00002B010000}"/>
    <cellStyle name="%_NRA_model_for_NEMO2 (EMC Update) v0.19_NRA_model_for_NEMO2 (EMC Update) v0.22_NRA_model_for_NEMO2 (EMC Update) v0.25_NRA_model_for_NEMO2 (EMC Update) v0.29_NRA_model_for_NEMO2 (EMC Update) v0.29.2_NRA_model_for_NEMO2 (EMC Update) v0.29.5" xfId="386" xr:uid="{00000000-0005-0000-0000-00002C010000}"/>
    <cellStyle name="%_NRA_model_for_NEMO2 (EMC Update) v0.19_NRA_model_for_NEMO2 (EMC Update) v0.22_NRA_model_for_NEMO2 (EMC Update) v0.25_NRA_model_for_NEMO2 (EMC Update) v0.29_NRA_model_for_NEMO2 (EMC Update) v0.29.3" xfId="387" xr:uid="{00000000-0005-0000-0000-00002D010000}"/>
    <cellStyle name="%_NRA_model_for_NEMO2 (EMC Update) v0.19_NRA_model_for_NEMO2 (EMC Update) v0.22_NRA_model_for_NEMO2 (EMC Update) v0.25_NRA_model_for_NEMO2 (EMC Update) v0.29_NRA_model_for_NEMO2 (EMC Update) v0.29.3_NRA_model_for_NEMO2 (EMC Update) v0 30 1" xfId="388" xr:uid="{00000000-0005-0000-0000-00002E010000}"/>
    <cellStyle name="%_NRA_model_for_NEMO2 (EMC Update) v0.19_NRA_model_for_NEMO2 (EMC Update) v0.22_NRA_model_for_NEMO2 (EMC Update) v0.25_NRA_model_for_NEMO2 (EMC Update) v0.29_NRA_model_for_NEMO2 (EMC Update) v0.29.3_NRA_model_for_NEMO2 (EMC Update) v0.29.5" xfId="389" xr:uid="{00000000-0005-0000-0000-00002F010000}"/>
    <cellStyle name="%_NRA_model_for_NEMO2 (EMC Update) v0.19_NRA_model_for_NEMO2 (EMC Update) v0.22_NRA_model_for_NEMO2 (EMC Update) v0.25_NRA_model_for_NEMO2 (EMC Update) v0.29_NRA_model_for_NEMO2 (EMC Update) v0.29.4" xfId="390" xr:uid="{00000000-0005-0000-0000-000030010000}"/>
    <cellStyle name="%_NRA_model_for_NEMO2 (EMC Update) v0.19_NRA_model_for_NEMO2 (EMC Update) v0.22_NRA_model_for_NEMO2 (EMC Update) v0.25_NRA_model_for_NEMO2 (EMC Update) v0.29_NRA_model_for_NEMO2 (EMC Update) v0.29.4_NRA_model_for_NEMO2 (EMC Update) v0 30 1" xfId="391" xr:uid="{00000000-0005-0000-0000-000031010000}"/>
    <cellStyle name="%_NRA_model_for_NEMO2 (EMC Update) v0.19_NRA_model_for_NEMO2 (EMC Update) v0.22_NRA_model_for_NEMO2 (EMC Update) v0.25_NRA_model_for_NEMO2 (EMC Update) v0.29_NRA_model_for_NEMO2 (EMC Update) v0.29.4_NRA_model_for_NEMO2 (EMC Update) v0.29.5" xfId="392" xr:uid="{00000000-0005-0000-0000-000032010000}"/>
    <cellStyle name="%_NRA_model_for_NEMO2 (EMC Update) v0.19_NRA_model_for_NEMO2 (EMC Update) v0.22_NRA_model_for_NEMO2 (EMC Update) v0.25_NRA_model_for_NEMO2 (EMC Update) v0.29_NRA_model_for_NEMO2 (EMC Update) v0.29.5" xfId="393" xr:uid="{00000000-0005-0000-0000-000033010000}"/>
    <cellStyle name="%_NRA_model_for_NEMO2 (EMC Update) v0.19_NRA_model_for_NEMO2 (EMC Update) v0.22_NRA_model_for_NEMO2 (EMC Update) v0.25_NRA_model_for_NEMO2 (EMC Update) v0.29_NRA_model_for_NEMO2 (EMC Update) v0.29.5_NRA_model_for_NEMO2 (EMC Update) v0 30 1" xfId="394" xr:uid="{00000000-0005-0000-0000-000034010000}"/>
    <cellStyle name="%_NRA_model_for_NEMO2 (EMC Update) v0.19_NRA_model_for_NEMO2 (EMC Update) v0.22_NRA_model_for_NEMO2 (EMC Update) v0.26" xfId="395" xr:uid="{00000000-0005-0000-0000-000035010000}"/>
    <cellStyle name="%_NRA_model_for_NEMO2 (EMC Update) v0.19_NRA_model_for_NEMO2 (EMC Update) v0.22_NRA_model_for_NEMO2 (EMC Update) v0.26_NRA_model_for_NEMO2 (EMC Update) v0 30 1" xfId="396" xr:uid="{00000000-0005-0000-0000-000036010000}"/>
    <cellStyle name="%_NRA_model_for_NEMO2 (EMC Update) v0.19_NRA_model_for_NEMO2 (EMC Update) v0.22_NRA_model_for_NEMO2 (EMC Update) v0.26_NRA_model_for_NEMO2 (EMC Update) v0.29" xfId="397" xr:uid="{00000000-0005-0000-0000-000037010000}"/>
    <cellStyle name="%_NRA_model_for_NEMO2 (EMC Update) v0.19_NRA_model_for_NEMO2 (EMC Update) v0.22_NRA_model_for_NEMO2 (EMC Update) v0.26_NRA_model_for_NEMO2 (EMC Update) v0.29.2" xfId="398" xr:uid="{00000000-0005-0000-0000-000038010000}"/>
    <cellStyle name="%_NRA_model_for_NEMO2 (EMC Update) v0.19_NRA_model_for_NEMO2 (EMC Update) v0.22_NRA_model_for_NEMO2 (EMC Update) v0.26_NRA_model_for_NEMO2 (EMC Update) v0.29.2_NRA_model_for_NEMO2 (EMC Update) v0 30 1" xfId="399" xr:uid="{00000000-0005-0000-0000-000039010000}"/>
    <cellStyle name="%_NRA_model_for_NEMO2 (EMC Update) v0.19_NRA_model_for_NEMO2 (EMC Update) v0.22_NRA_model_for_NEMO2 (EMC Update) v0.26_NRA_model_for_NEMO2 (EMC Update) v0.29.2_NRA_model_for_NEMO2 (EMC Update) v0.29.3" xfId="400" xr:uid="{00000000-0005-0000-0000-00003A010000}"/>
    <cellStyle name="%_NRA_model_for_NEMO2 (EMC Update) v0.19_NRA_model_for_NEMO2 (EMC Update) v0.22_NRA_model_for_NEMO2 (EMC Update) v0.26_NRA_model_for_NEMO2 (EMC Update) v0.29.2_NRA_model_for_NEMO2 (EMC Update) v0.29.3_NRA_model_for_NEMO2 (EMC Update) v0 30 1" xfId="401" xr:uid="{00000000-0005-0000-0000-00003B010000}"/>
    <cellStyle name="%_NRA_model_for_NEMO2 (EMC Update) v0.19_NRA_model_for_NEMO2 (EMC Update) v0.22_NRA_model_for_NEMO2 (EMC Update) v0.26_NRA_model_for_NEMO2 (EMC Update) v0.29.2_NRA_model_for_NEMO2 (EMC Update) v0.29.3_NRA_model_for_NEMO2 (EMC Update) v0.29.5" xfId="402" xr:uid="{00000000-0005-0000-0000-00003C010000}"/>
    <cellStyle name="%_NRA_model_for_NEMO2 (EMC Update) v0.19_NRA_model_for_NEMO2 (EMC Update) v0.22_NRA_model_for_NEMO2 (EMC Update) v0.26_NRA_model_for_NEMO2 (EMC Update) v0.29.2_NRA_model_for_NEMO2 (EMC Update) v0.29.4" xfId="403" xr:uid="{00000000-0005-0000-0000-00003D010000}"/>
    <cellStyle name="%_NRA_model_for_NEMO2 (EMC Update) v0.19_NRA_model_for_NEMO2 (EMC Update) v0.22_NRA_model_for_NEMO2 (EMC Update) v0.26_NRA_model_for_NEMO2 (EMC Update) v0.29.2_NRA_model_for_NEMO2 (EMC Update) v0.29.4_NRA_model_for_NEMO2 (EMC Update) v0 30 1" xfId="404" xr:uid="{00000000-0005-0000-0000-00003E010000}"/>
    <cellStyle name="%_NRA_model_for_NEMO2 (EMC Update) v0.19_NRA_model_for_NEMO2 (EMC Update) v0.22_NRA_model_for_NEMO2 (EMC Update) v0.26_NRA_model_for_NEMO2 (EMC Update) v0.29.2_NRA_model_for_NEMO2 (EMC Update) v0.29.4_NRA_model_for_NEMO2 (EMC Update) v0.29.5" xfId="405" xr:uid="{00000000-0005-0000-0000-00003F010000}"/>
    <cellStyle name="%_NRA_model_for_NEMO2 (EMC Update) v0.19_NRA_model_for_NEMO2 (EMC Update) v0.22_NRA_model_for_NEMO2 (EMC Update) v0.26_NRA_model_for_NEMO2 (EMC Update) v0.29.2_NRA_model_for_NEMO2 (EMC Update) v0.29.5" xfId="406" xr:uid="{00000000-0005-0000-0000-000040010000}"/>
    <cellStyle name="%_NRA_model_for_NEMO2 (EMC Update) v0.19_NRA_model_for_NEMO2 (EMC Update) v0.22_NRA_model_for_NEMO2 (EMC Update) v0.26_NRA_model_for_NEMO2 (EMC Update) v0.29.2_NRA_model_for_NEMO2 (EMC Update) v0.29.5_NRA_model_for_NEMO2 (EMC Update) v0 30 1" xfId="407" xr:uid="{00000000-0005-0000-0000-000041010000}"/>
    <cellStyle name="%_NRA_model_for_NEMO2 (EMC Update) v0.19_NRA_model_for_NEMO2 (EMC Update) v0.22_NRA_model_for_NEMO2 (EMC Update) v0.26_NRA_model_for_NEMO2 (EMC Update) v0.29.3" xfId="408" xr:uid="{00000000-0005-0000-0000-000042010000}"/>
    <cellStyle name="%_NRA_model_for_NEMO2 (EMC Update) v0.19_NRA_model_for_NEMO2 (EMC Update) v0.22_NRA_model_for_NEMO2 (EMC Update) v0.26_NRA_model_for_NEMO2 (EMC Update) v0.29.3_NRA_model_for_NEMO2 (EMC Update) v0 30 1" xfId="409" xr:uid="{00000000-0005-0000-0000-000043010000}"/>
    <cellStyle name="%_NRA_model_for_NEMO2 (EMC Update) v0.19_NRA_model_for_NEMO2 (EMC Update) v0.22_NRA_model_for_NEMO2 (EMC Update) v0.26_NRA_model_for_NEMO2 (EMC Update) v0.29.3_NRA_model_for_NEMO2 (EMC Update) v0.29.5" xfId="410" xr:uid="{00000000-0005-0000-0000-000044010000}"/>
    <cellStyle name="%_NRA_model_for_NEMO2 (EMC Update) v0.19_NRA_model_for_NEMO2 (EMC Update) v0.22_NRA_model_for_NEMO2 (EMC Update) v0.26_NRA_model_for_NEMO2 (EMC Update) v0.29.3_NRA_model_for_NEMO2 (EMC Update) v0.29.5_NRA_model_for_NEMO2 (EMC Update) v0 30 1" xfId="411" xr:uid="{00000000-0005-0000-0000-000045010000}"/>
    <cellStyle name="%_NRA_model_for_NEMO2 (EMC Update) v0.19_NRA_model_for_NEMO2 (EMC Update) v0.22_NRA_model_for_NEMO2 (EMC Update) v0.26_NRA_model_for_NEMO2 (EMC Update) v0.29.4" xfId="412" xr:uid="{00000000-0005-0000-0000-000046010000}"/>
    <cellStyle name="%_NRA_model_for_NEMO2 (EMC Update) v0.19_NRA_model_for_NEMO2 (EMC Update) v0.22_NRA_model_for_NEMO2 (EMC Update) v0.26_NRA_model_for_NEMO2 (EMC Update) v0.29.4_NRA_model_for_NEMO2 (EMC Update) v0 30 1" xfId="413" xr:uid="{00000000-0005-0000-0000-000047010000}"/>
    <cellStyle name="%_NRA_model_for_NEMO2 (EMC Update) v0.19_NRA_model_for_NEMO2 (EMC Update) v0.22_NRA_model_for_NEMO2 (EMC Update) v0.26_NRA_model_for_NEMO2 (EMC Update) v0.29.4_NRA_model_for_NEMO2 (EMC Update) v0.29.5" xfId="414" xr:uid="{00000000-0005-0000-0000-000048010000}"/>
    <cellStyle name="%_NRA_model_for_NEMO2 (EMC Update) v0.19_NRA_model_for_NEMO2 (EMC Update) v0.22_NRA_model_for_NEMO2 (EMC Update) v0.26_NRA_model_for_NEMO2 (EMC Update) v0.29.4_NRA_model_for_NEMO2 (EMC Update) v0.29.5_NRA_model_for_NEMO2 (EMC Update) v0 30 1" xfId="415" xr:uid="{00000000-0005-0000-0000-000049010000}"/>
    <cellStyle name="%_NRA_model_for_NEMO2 (EMC Update) v0.19_NRA_model_for_NEMO2 (EMC Update) v0.22_NRA_model_for_NEMO2 (EMC Update) v0.26_NRA_model_for_NEMO2 (EMC Update) v0.29.5" xfId="416" xr:uid="{00000000-0005-0000-0000-00004A010000}"/>
    <cellStyle name="%_NRA_model_for_NEMO2 (EMC Update) v0.19_NRA_model_for_NEMO2 (EMC Update) v0.22_NRA_model_for_NEMO2 (EMC Update) v0.26_NRA_model_for_NEMO2 (EMC Update) v0.29.5_NRA_model_for_NEMO2 (EMC Update) v0 30 1" xfId="417" xr:uid="{00000000-0005-0000-0000-00004B010000}"/>
    <cellStyle name="%_NRA_model_for_NEMO2 (EMC Update) v0.19_NRA_model_for_NEMO2 (EMC Update) v0.22_NRA_model_for_NEMO2 (EMC Update) v0.26_NRA_model_for_NEMO2 (EMC Update) v0.29_NRA_model_for_NEMO2 (EMC Update) v0 30 1" xfId="418" xr:uid="{00000000-0005-0000-0000-00004C010000}"/>
    <cellStyle name="%_NRA_model_for_NEMO2 (EMC Update) v0.19_NRA_model_for_NEMO2 (EMC Update) v0.22_NRA_model_for_NEMO2 (EMC Update) v0.26_NRA_model_for_NEMO2 (EMC Update) v0.29_NRA_model_for_NEMO2 (EMC Update) v0.29.2" xfId="419" xr:uid="{00000000-0005-0000-0000-00004D010000}"/>
    <cellStyle name="%_NRA_model_for_NEMO2 (EMC Update) v0.19_NRA_model_for_NEMO2 (EMC Update) v0.22_NRA_model_for_NEMO2 (EMC Update) v0.26_NRA_model_for_NEMO2 (EMC Update) v0.29_NRA_model_for_NEMO2 (EMC Update) v0.29.2_NRA_model_for_NEMO2 (EMC Update) v0 30 1" xfId="420" xr:uid="{00000000-0005-0000-0000-00004E010000}"/>
    <cellStyle name="%_NRA_model_for_NEMO2 (EMC Update) v0.19_NRA_model_for_NEMO2 (EMC Update) v0.22_NRA_model_for_NEMO2 (EMC Update) v0.26_NRA_model_for_NEMO2 (EMC Update) v0.29_NRA_model_for_NEMO2 (EMC Update) v0.29.2_NRA_model_for_NEMO2 (EMC Update) v0.29.3" xfId="421" xr:uid="{00000000-0005-0000-0000-00004F010000}"/>
    <cellStyle name="%_NRA_model_for_NEMO2 (EMC Update) v0.19_NRA_model_for_NEMO2 (EMC Update) v0.22_NRA_model_for_NEMO2 (EMC Update) v0.26_NRA_model_for_NEMO2 (EMC Update) v0.29_NRA_model_for_NEMO2 (EMC Update) v0.29.2_NRA_model_for_NEMO2 (EMC Update) v0.29.4" xfId="422" xr:uid="{00000000-0005-0000-0000-000050010000}"/>
    <cellStyle name="%_NRA_model_for_NEMO2 (EMC Update) v0.19_NRA_model_for_NEMO2 (EMC Update) v0.22_NRA_model_for_NEMO2 (EMC Update) v0.26_NRA_model_for_NEMO2 (EMC Update) v0.29_NRA_model_for_NEMO2 (EMC Update) v0.29.2_NRA_model_for_NEMO2 (EMC Update) v0.29.5" xfId="423" xr:uid="{00000000-0005-0000-0000-000051010000}"/>
    <cellStyle name="%_NRA_model_for_NEMO2 (EMC Update) v0.19_NRA_model_for_NEMO2 (EMC Update) v0.22_NRA_model_for_NEMO2 (EMC Update) v0.26_NRA_model_for_NEMO2 (EMC Update) v0.29_NRA_model_for_NEMO2 (EMC Update) v0.29.3" xfId="424" xr:uid="{00000000-0005-0000-0000-000052010000}"/>
    <cellStyle name="%_NRA_model_for_NEMO2 (EMC Update) v0.19_NRA_model_for_NEMO2 (EMC Update) v0.22_NRA_model_for_NEMO2 (EMC Update) v0.26_NRA_model_for_NEMO2 (EMC Update) v0.29_NRA_model_for_NEMO2 (EMC Update) v0.29.3_NRA_model_for_NEMO2 (EMC Update) v0 30 1" xfId="425" xr:uid="{00000000-0005-0000-0000-000053010000}"/>
    <cellStyle name="%_NRA_model_for_NEMO2 (EMC Update) v0.19_NRA_model_for_NEMO2 (EMC Update) v0.22_NRA_model_for_NEMO2 (EMC Update) v0.26_NRA_model_for_NEMO2 (EMC Update) v0.29_NRA_model_for_NEMO2 (EMC Update) v0.29.3_NRA_model_for_NEMO2 (EMC Update) v0.29.5" xfId="426" xr:uid="{00000000-0005-0000-0000-000054010000}"/>
    <cellStyle name="%_NRA_model_for_NEMO2 (EMC Update) v0.19_NRA_model_for_NEMO2 (EMC Update) v0.22_NRA_model_for_NEMO2 (EMC Update) v0.26_NRA_model_for_NEMO2 (EMC Update) v0.29_NRA_model_for_NEMO2 (EMC Update) v0.29.4" xfId="427" xr:uid="{00000000-0005-0000-0000-000055010000}"/>
    <cellStyle name="%_NRA_model_for_NEMO2 (EMC Update) v0.19_NRA_model_for_NEMO2 (EMC Update) v0.22_NRA_model_for_NEMO2 (EMC Update) v0.26_NRA_model_for_NEMO2 (EMC Update) v0.29_NRA_model_for_NEMO2 (EMC Update) v0.29.4_NRA_model_for_NEMO2 (EMC Update) v0 30 1" xfId="428" xr:uid="{00000000-0005-0000-0000-000056010000}"/>
    <cellStyle name="%_NRA_model_for_NEMO2 (EMC Update) v0.19_NRA_model_for_NEMO2 (EMC Update) v0.22_NRA_model_for_NEMO2 (EMC Update) v0.26_NRA_model_for_NEMO2 (EMC Update) v0.29_NRA_model_for_NEMO2 (EMC Update) v0.29.4_NRA_model_for_NEMO2 (EMC Update) v0.29.5" xfId="429" xr:uid="{00000000-0005-0000-0000-000057010000}"/>
    <cellStyle name="%_NRA_model_for_NEMO2 (EMC Update) v0.19_NRA_model_for_NEMO2 (EMC Update) v0.22_NRA_model_for_NEMO2 (EMC Update) v0.26_NRA_model_for_NEMO2 (EMC Update) v0.29_NRA_model_for_NEMO2 (EMC Update) v0.29.5" xfId="430" xr:uid="{00000000-0005-0000-0000-000058010000}"/>
    <cellStyle name="%_NRA_model_for_NEMO2 (EMC Update) v0.19_NRA_model_for_NEMO2 (EMC Update) v0.22_NRA_model_for_NEMO2 (EMC Update) v0.26_NRA_model_for_NEMO2 (EMC Update) v0.29_NRA_model_for_NEMO2 (EMC Update) v0.29.5_NRA_model_for_NEMO2 (EMC Update) v0 30 1" xfId="431" xr:uid="{00000000-0005-0000-0000-000059010000}"/>
    <cellStyle name="%_NRA_model_for_NEMO2 (EMC Update) v0.19_NRA_model_for_NEMO2 (EMC Update) v0.22_NRA_model_for_NEMO2 (EMC Update) v0.29" xfId="432" xr:uid="{00000000-0005-0000-0000-00005A010000}"/>
    <cellStyle name="%_NRA_model_for_NEMO2 (EMC Update) v0.19_NRA_model_for_NEMO2 (EMC Update) v0.22_NRA_model_for_NEMO2 (EMC Update) v0.29.2" xfId="433" xr:uid="{00000000-0005-0000-0000-00005B010000}"/>
    <cellStyle name="%_NRA_model_for_NEMO2 (EMC Update) v0.19_NRA_model_for_NEMO2 (EMC Update) v0.22_NRA_model_for_NEMO2 (EMC Update) v0.29.2_NRA_model_for_NEMO2 (EMC Update) v0 30 1" xfId="434" xr:uid="{00000000-0005-0000-0000-00005C010000}"/>
    <cellStyle name="%_NRA_model_for_NEMO2 (EMC Update) v0.19_NRA_model_for_NEMO2 (EMC Update) v0.22_NRA_model_for_NEMO2 (EMC Update) v0.29.2_NRA_model_for_NEMO2 (EMC Update) v0.29.3" xfId="435" xr:uid="{00000000-0005-0000-0000-00005D010000}"/>
    <cellStyle name="%_NRA_model_for_NEMO2 (EMC Update) v0.19_NRA_model_for_NEMO2 (EMC Update) v0.22_NRA_model_for_NEMO2 (EMC Update) v0.29.2_NRA_model_for_NEMO2 (EMC Update) v0.29.3_NRA_model_for_NEMO2 (EMC Update) v0 30 1" xfId="436" xr:uid="{00000000-0005-0000-0000-00005E010000}"/>
    <cellStyle name="%_NRA_model_for_NEMO2 (EMC Update) v0.19_NRA_model_for_NEMO2 (EMC Update) v0.22_NRA_model_for_NEMO2 (EMC Update) v0.29.2_NRA_model_for_NEMO2 (EMC Update) v0.29.3_NRA_model_for_NEMO2 (EMC Update) v0.29.5" xfId="437" xr:uid="{00000000-0005-0000-0000-00005F010000}"/>
    <cellStyle name="%_NRA_model_for_NEMO2 (EMC Update) v0.19_NRA_model_for_NEMO2 (EMC Update) v0.22_NRA_model_for_NEMO2 (EMC Update) v0.29.2_NRA_model_for_NEMO2 (EMC Update) v0.29.3_NRA_model_for_NEMO2 (EMC Update) v0.29.5_NRA_model_for_NEMO2 (EMC Update) v0 30 1" xfId="438" xr:uid="{00000000-0005-0000-0000-000060010000}"/>
    <cellStyle name="%_NRA_model_for_NEMO2 (EMC Update) v0.19_NRA_model_for_NEMO2 (EMC Update) v0.22_NRA_model_for_NEMO2 (EMC Update) v0.29.2_NRA_model_for_NEMO2 (EMC Update) v0.29.4" xfId="439" xr:uid="{00000000-0005-0000-0000-000061010000}"/>
    <cellStyle name="%_NRA_model_for_NEMO2 (EMC Update) v0.19_NRA_model_for_NEMO2 (EMC Update) v0.22_NRA_model_for_NEMO2 (EMC Update) v0.29.2_NRA_model_for_NEMO2 (EMC Update) v0.29.4_NRA_model_for_NEMO2 (EMC Update) v0 30 1" xfId="440" xr:uid="{00000000-0005-0000-0000-000062010000}"/>
    <cellStyle name="%_NRA_model_for_NEMO2 (EMC Update) v0.19_NRA_model_for_NEMO2 (EMC Update) v0.22_NRA_model_for_NEMO2 (EMC Update) v0.29.2_NRA_model_for_NEMO2 (EMC Update) v0.29.4_NRA_model_for_NEMO2 (EMC Update) v0.29.5" xfId="441" xr:uid="{00000000-0005-0000-0000-000063010000}"/>
    <cellStyle name="%_NRA_model_for_NEMO2 (EMC Update) v0.19_NRA_model_for_NEMO2 (EMC Update) v0.22_NRA_model_for_NEMO2 (EMC Update) v0.29.2_NRA_model_for_NEMO2 (EMC Update) v0.29.4_NRA_model_for_NEMO2 (EMC Update) v0.29.5_NRA_model_for_NEMO2 (EMC Update) v0 30 1" xfId="442" xr:uid="{00000000-0005-0000-0000-000064010000}"/>
    <cellStyle name="%_NRA_model_for_NEMO2 (EMC Update) v0.19_NRA_model_for_NEMO2 (EMC Update) v0.22_NRA_model_for_NEMO2 (EMC Update) v0.29.2_NRA_model_for_NEMO2 (EMC Update) v0.29.5" xfId="443" xr:uid="{00000000-0005-0000-0000-000065010000}"/>
    <cellStyle name="%_NRA_model_for_NEMO2 (EMC Update) v0.19_NRA_model_for_NEMO2 (EMC Update) v0.22_NRA_model_for_NEMO2 (EMC Update) v0.29.2_NRA_model_for_NEMO2 (EMC Update) v0.29.5_NRA_model_for_NEMO2 (EMC Update) v0 30 1" xfId="444" xr:uid="{00000000-0005-0000-0000-000066010000}"/>
    <cellStyle name="%_NRA_model_for_NEMO2 (EMC Update) v0.19_NRA_model_for_NEMO2 (EMC Update) v0.22_NRA_model_for_NEMO2 (EMC Update) v0.29.3" xfId="445" xr:uid="{00000000-0005-0000-0000-000067010000}"/>
    <cellStyle name="%_NRA_model_for_NEMO2 (EMC Update) v0.19_NRA_model_for_NEMO2 (EMC Update) v0.22_NRA_model_for_NEMO2 (EMC Update) v0.29.3_NRA_model_for_NEMO2 (EMC Update) v0 30 1" xfId="446" xr:uid="{00000000-0005-0000-0000-000068010000}"/>
    <cellStyle name="%_NRA_model_for_NEMO2 (EMC Update) v0.19_NRA_model_for_NEMO2 (EMC Update) v0.22_NRA_model_for_NEMO2 (EMC Update) v0.29.3_NRA_model_for_NEMO2 (EMC Update) v0.29.5" xfId="447" xr:uid="{00000000-0005-0000-0000-000069010000}"/>
    <cellStyle name="%_NRA_model_for_NEMO2 (EMC Update) v0.19_NRA_model_for_NEMO2 (EMC Update) v0.22_NRA_model_for_NEMO2 (EMC Update) v0.29.3_NRA_model_for_NEMO2 (EMC Update) v0.29.5_NRA_model_for_NEMO2 (EMC Update) v0 30 1" xfId="448" xr:uid="{00000000-0005-0000-0000-00006A010000}"/>
    <cellStyle name="%_NRA_model_for_NEMO2 (EMC Update) v0.19_NRA_model_for_NEMO2 (EMC Update) v0.22_NRA_model_for_NEMO2 (EMC Update) v0.29.4" xfId="449" xr:uid="{00000000-0005-0000-0000-00006B010000}"/>
    <cellStyle name="%_NRA_model_for_NEMO2 (EMC Update) v0.19_NRA_model_for_NEMO2 (EMC Update) v0.22_NRA_model_for_NEMO2 (EMC Update) v0.29.4_NRA_model_for_NEMO2 (EMC Update) v0 30 1" xfId="450" xr:uid="{00000000-0005-0000-0000-00006C010000}"/>
    <cellStyle name="%_NRA_model_for_NEMO2 (EMC Update) v0.19_NRA_model_for_NEMO2 (EMC Update) v0.22_NRA_model_for_NEMO2 (EMC Update) v0.29.4_NRA_model_for_NEMO2 (EMC Update) v0.29.5" xfId="451" xr:uid="{00000000-0005-0000-0000-00006D010000}"/>
    <cellStyle name="%_NRA_model_for_NEMO2 (EMC Update) v0.19_NRA_model_for_NEMO2 (EMC Update) v0.22_NRA_model_for_NEMO2 (EMC Update) v0.29.4_NRA_model_for_NEMO2 (EMC Update) v0.29.5_NRA_model_for_NEMO2 (EMC Update) v0 30 1" xfId="452" xr:uid="{00000000-0005-0000-0000-00006E010000}"/>
    <cellStyle name="%_NRA_model_for_NEMO2 (EMC Update) v0.19_NRA_model_for_NEMO2 (EMC Update) v0.22_NRA_model_for_NEMO2 (EMC Update) v0.29.5" xfId="453" xr:uid="{00000000-0005-0000-0000-00006F010000}"/>
    <cellStyle name="%_NRA_model_for_NEMO2 (EMC Update) v0.19_NRA_model_for_NEMO2 (EMC Update) v0.22_NRA_model_for_NEMO2 (EMC Update) v0.29.5_NRA_model_for_NEMO2 (EMC Update) v0 30 1" xfId="454" xr:uid="{00000000-0005-0000-0000-000070010000}"/>
    <cellStyle name="%_NRA_model_for_NEMO2 (EMC Update) v0.19_NRA_model_for_NEMO2 (EMC Update) v0.22_NRA_model_for_NEMO2 (EMC Update) v0.29_NRA_model_for_NEMO2 (EMC Update) v0 30 1" xfId="455" xr:uid="{00000000-0005-0000-0000-000071010000}"/>
    <cellStyle name="%_NRA_model_for_NEMO2 (EMC Update) v0.19_NRA_model_for_NEMO2 (EMC Update) v0.22_NRA_model_for_NEMO2 (EMC Update) v0.29_NRA_model_for_NEMO2 (EMC Update) v0.29.2" xfId="456" xr:uid="{00000000-0005-0000-0000-000072010000}"/>
    <cellStyle name="%_NRA_model_for_NEMO2 (EMC Update) v0.19_NRA_model_for_NEMO2 (EMC Update) v0.22_NRA_model_for_NEMO2 (EMC Update) v0.29_NRA_model_for_NEMO2 (EMC Update) v0.29.2_NRA_model_for_NEMO2 (EMC Update) v0 30 1" xfId="457" xr:uid="{00000000-0005-0000-0000-000073010000}"/>
    <cellStyle name="%_NRA_model_for_NEMO2 (EMC Update) v0.19_NRA_model_for_NEMO2 (EMC Update) v0.22_NRA_model_for_NEMO2 (EMC Update) v0.29_NRA_model_for_NEMO2 (EMC Update) v0.29.2_NRA_model_for_NEMO2 (EMC Update) v0.29.3" xfId="458" xr:uid="{00000000-0005-0000-0000-000074010000}"/>
    <cellStyle name="%_NRA_model_for_NEMO2 (EMC Update) v0.19_NRA_model_for_NEMO2 (EMC Update) v0.22_NRA_model_for_NEMO2 (EMC Update) v0.29_NRA_model_for_NEMO2 (EMC Update) v0.29.2_NRA_model_for_NEMO2 (EMC Update) v0.29.3_NRA_model_for_NEMO2 (EMC Update) v0 30 1" xfId="459" xr:uid="{00000000-0005-0000-0000-000075010000}"/>
    <cellStyle name="%_NRA_model_for_NEMO2 (EMC Update) v0.19_NRA_model_for_NEMO2 (EMC Update) v0.22_NRA_model_for_NEMO2 (EMC Update) v0.29_NRA_model_for_NEMO2 (EMC Update) v0.29.2_NRA_model_for_NEMO2 (EMC Update) v0.29.3_NRA_model_for_NEMO2 (EMC Update) v0.29.5" xfId="460" xr:uid="{00000000-0005-0000-0000-000076010000}"/>
    <cellStyle name="%_NRA_model_for_NEMO2 (EMC Update) v0.19_NRA_model_for_NEMO2 (EMC Update) v0.22_NRA_model_for_NEMO2 (EMC Update) v0.29_NRA_model_for_NEMO2 (EMC Update) v0.29.2_NRA_model_for_NEMO2 (EMC Update) v0.29.4" xfId="461" xr:uid="{00000000-0005-0000-0000-000077010000}"/>
    <cellStyle name="%_NRA_model_for_NEMO2 (EMC Update) v0.19_NRA_model_for_NEMO2 (EMC Update) v0.22_NRA_model_for_NEMO2 (EMC Update) v0.29_NRA_model_for_NEMO2 (EMC Update) v0.29.2_NRA_model_for_NEMO2 (EMC Update) v0.29.4_NRA_model_for_NEMO2 (EMC Update) v0 30 1" xfId="462" xr:uid="{00000000-0005-0000-0000-000078010000}"/>
    <cellStyle name="%_NRA_model_for_NEMO2 (EMC Update) v0.19_NRA_model_for_NEMO2 (EMC Update) v0.22_NRA_model_for_NEMO2 (EMC Update) v0.29_NRA_model_for_NEMO2 (EMC Update) v0.29.2_NRA_model_for_NEMO2 (EMC Update) v0.29.4_NRA_model_for_NEMO2 (EMC Update) v0.29.5" xfId="463" xr:uid="{00000000-0005-0000-0000-000079010000}"/>
    <cellStyle name="%_NRA_model_for_NEMO2 (EMC Update) v0.19_NRA_model_for_NEMO2 (EMC Update) v0.22_NRA_model_for_NEMO2 (EMC Update) v0.29_NRA_model_for_NEMO2 (EMC Update) v0.29.2_NRA_model_for_NEMO2 (EMC Update) v0.29.5" xfId="464" xr:uid="{00000000-0005-0000-0000-00007A010000}"/>
    <cellStyle name="%_NRA_model_for_NEMO2 (EMC Update) v0.19_NRA_model_for_NEMO2 (EMC Update) v0.22_NRA_model_for_NEMO2 (EMC Update) v0.29_NRA_model_for_NEMO2 (EMC Update) v0.29.2_NRA_model_for_NEMO2 (EMC Update) v0.29.5_NRA_model_for_NEMO2 (EMC Update) v0 30 1" xfId="465" xr:uid="{00000000-0005-0000-0000-00007B010000}"/>
    <cellStyle name="%_NRA_model_for_NEMO2 (EMC Update) v0.19_NRA_model_for_NEMO2 (EMC Update) v0.22_NRA_model_for_NEMO2 (EMC Update) v0.29_NRA_model_for_NEMO2 (EMC Update) v0.29.3" xfId="466" xr:uid="{00000000-0005-0000-0000-00007C010000}"/>
    <cellStyle name="%_NRA_model_for_NEMO2 (EMC Update) v0.19_NRA_model_for_NEMO2 (EMC Update) v0.22_NRA_model_for_NEMO2 (EMC Update) v0.29_NRA_model_for_NEMO2 (EMC Update) v0.29.3_NRA_model_for_NEMO2 (EMC Update) v0 30 1" xfId="467" xr:uid="{00000000-0005-0000-0000-00007D010000}"/>
    <cellStyle name="%_NRA_model_for_NEMO2 (EMC Update) v0.19_NRA_model_for_NEMO2 (EMC Update) v0.22_NRA_model_for_NEMO2 (EMC Update) v0.29_NRA_model_for_NEMO2 (EMC Update) v0.29.3_NRA_model_for_NEMO2 (EMC Update) v0.29.5" xfId="468" xr:uid="{00000000-0005-0000-0000-00007E010000}"/>
    <cellStyle name="%_NRA_model_for_NEMO2 (EMC Update) v0.19_NRA_model_for_NEMO2 (EMC Update) v0.22_NRA_model_for_NEMO2 (EMC Update) v0.29_NRA_model_for_NEMO2 (EMC Update) v0.29.3_NRA_model_for_NEMO2 (EMC Update) v0.29.5_NRA_model_for_NEMO2 (EMC Update) v0 30 1" xfId="469" xr:uid="{00000000-0005-0000-0000-00007F010000}"/>
    <cellStyle name="%_NRA_model_for_NEMO2 (EMC Update) v0.19_NRA_model_for_NEMO2 (EMC Update) v0.22_NRA_model_for_NEMO2 (EMC Update) v0.29_NRA_model_for_NEMO2 (EMC Update) v0.29.4" xfId="470" xr:uid="{00000000-0005-0000-0000-000080010000}"/>
    <cellStyle name="%_NRA_model_for_NEMO2 (EMC Update) v0.19_NRA_model_for_NEMO2 (EMC Update) v0.22_NRA_model_for_NEMO2 (EMC Update) v0.29_NRA_model_for_NEMO2 (EMC Update) v0.29.4_NRA_model_for_NEMO2 (EMC Update) v0 30 1" xfId="471" xr:uid="{00000000-0005-0000-0000-000081010000}"/>
    <cellStyle name="%_NRA_model_for_NEMO2 (EMC Update) v0.19_NRA_model_for_NEMO2 (EMC Update) v0.22_NRA_model_for_NEMO2 (EMC Update) v0.29_NRA_model_for_NEMO2 (EMC Update) v0.29.4_NRA_model_for_NEMO2 (EMC Update) v0.29.5" xfId="472" xr:uid="{00000000-0005-0000-0000-000082010000}"/>
    <cellStyle name="%_NRA_model_for_NEMO2 (EMC Update) v0.19_NRA_model_for_NEMO2 (EMC Update) v0.22_NRA_model_for_NEMO2 (EMC Update) v0.29_NRA_model_for_NEMO2 (EMC Update) v0.29.4_NRA_model_for_NEMO2 (EMC Update) v0.29.5_NRA_model_for_NEMO2 (EMC Update) v0 30 1" xfId="473" xr:uid="{00000000-0005-0000-0000-000083010000}"/>
    <cellStyle name="%_NRA_model_for_NEMO2 (EMC Update) v0.19_NRA_model_for_NEMO2 (EMC Update) v0.22_NRA_model_for_NEMO2 (EMC Update) v0.29_NRA_model_for_NEMO2 (EMC Update) v0.29.5" xfId="474" xr:uid="{00000000-0005-0000-0000-000084010000}"/>
    <cellStyle name="%_NRA_model_for_NEMO2 (EMC Update) v0.19_NRA_model_for_NEMO2 (EMC Update) v0.22_NRA_model_for_NEMO2 (EMC Update) v0.29_NRA_model_for_NEMO2 (EMC Update) v0.29.5_NRA_model_for_NEMO2 (EMC Update) v0 30 1" xfId="475" xr:uid="{00000000-0005-0000-0000-000085010000}"/>
    <cellStyle name="%_NRA_model_for_NEMO2 (EMC Update) v0.19_NRA_model_for_NEMO2 (EMC Update) v0.25" xfId="476" xr:uid="{00000000-0005-0000-0000-000086010000}"/>
    <cellStyle name="%_NRA_model_for_NEMO2 (EMC Update) v0.19_NRA_model_for_NEMO2 (EMC Update) v0.25_NRA_model_for_NEMO2 (EMC Update) v0 30 1" xfId="477" xr:uid="{00000000-0005-0000-0000-000087010000}"/>
    <cellStyle name="%_NRA_model_for_NEMO2 (EMC Update) v0.19_NRA_model_for_NEMO2 (EMC Update) v0.25_NRA_model_for_NEMO2 (EMC Update) v0.26" xfId="478" xr:uid="{00000000-0005-0000-0000-000088010000}"/>
    <cellStyle name="%_NRA_model_for_NEMO2 (EMC Update) v0.19_NRA_model_for_NEMO2 (EMC Update) v0.25_NRA_model_for_NEMO2 (EMC Update) v0.26_NRA_model_for_NEMO2 (EMC Update) v0 30 1" xfId="479" xr:uid="{00000000-0005-0000-0000-000089010000}"/>
    <cellStyle name="%_NRA_model_for_NEMO2 (EMC Update) v0.19_NRA_model_for_NEMO2 (EMC Update) v0.25_NRA_model_for_NEMO2 (EMC Update) v0.26_NRA_model_for_NEMO2 (EMC Update) v0.29" xfId="480" xr:uid="{00000000-0005-0000-0000-00008A010000}"/>
    <cellStyle name="%_NRA_model_for_NEMO2 (EMC Update) v0.19_NRA_model_for_NEMO2 (EMC Update) v0.25_NRA_model_for_NEMO2 (EMC Update) v0.26_NRA_model_for_NEMO2 (EMC Update) v0.29.2" xfId="481" xr:uid="{00000000-0005-0000-0000-00008B010000}"/>
    <cellStyle name="%_NRA_model_for_NEMO2 (EMC Update) v0.19_NRA_model_for_NEMO2 (EMC Update) v0.25_NRA_model_for_NEMO2 (EMC Update) v0.26_NRA_model_for_NEMO2 (EMC Update) v0.29.2_NRA_model_for_NEMO2 (EMC Update) v0 30 1" xfId="482" xr:uid="{00000000-0005-0000-0000-00008C010000}"/>
    <cellStyle name="%_NRA_model_for_NEMO2 (EMC Update) v0.19_NRA_model_for_NEMO2 (EMC Update) v0.25_NRA_model_for_NEMO2 (EMC Update) v0.26_NRA_model_for_NEMO2 (EMC Update) v0.29.2_NRA_model_for_NEMO2 (EMC Update) v0.29.3" xfId="483" xr:uid="{00000000-0005-0000-0000-00008D010000}"/>
    <cellStyle name="%_NRA_model_for_NEMO2 (EMC Update) v0.19_NRA_model_for_NEMO2 (EMC Update) v0.25_NRA_model_for_NEMO2 (EMC Update) v0.26_NRA_model_for_NEMO2 (EMC Update) v0.29.2_NRA_model_for_NEMO2 (EMC Update) v0.29.3_NRA_model_for_NEMO2 (EMC Update) v0 30 1" xfId="484" xr:uid="{00000000-0005-0000-0000-00008E010000}"/>
    <cellStyle name="%_NRA_model_for_NEMO2 (EMC Update) v0.19_NRA_model_for_NEMO2 (EMC Update) v0.25_NRA_model_for_NEMO2 (EMC Update) v0.26_NRA_model_for_NEMO2 (EMC Update) v0.29.2_NRA_model_for_NEMO2 (EMC Update) v0.29.3_NRA_model_for_NEMO2 (EMC Update) v0.29.5" xfId="485" xr:uid="{00000000-0005-0000-0000-00008F010000}"/>
    <cellStyle name="%_NRA_model_for_NEMO2 (EMC Update) v0.19_NRA_model_for_NEMO2 (EMC Update) v0.25_NRA_model_for_NEMO2 (EMC Update) v0.26_NRA_model_for_NEMO2 (EMC Update) v0.29.2_NRA_model_for_NEMO2 (EMC Update) v0.29.4" xfId="486" xr:uid="{00000000-0005-0000-0000-000090010000}"/>
    <cellStyle name="%_NRA_model_for_NEMO2 (EMC Update) v0.19_NRA_model_for_NEMO2 (EMC Update) v0.25_NRA_model_for_NEMO2 (EMC Update) v0.26_NRA_model_for_NEMO2 (EMC Update) v0.29.2_NRA_model_for_NEMO2 (EMC Update) v0.29.4_NRA_model_for_NEMO2 (EMC Update) v0 30 1" xfId="487" xr:uid="{00000000-0005-0000-0000-000091010000}"/>
    <cellStyle name="%_NRA_model_for_NEMO2 (EMC Update) v0.19_NRA_model_for_NEMO2 (EMC Update) v0.25_NRA_model_for_NEMO2 (EMC Update) v0.26_NRA_model_for_NEMO2 (EMC Update) v0.29.2_NRA_model_for_NEMO2 (EMC Update) v0.29.4_NRA_model_for_NEMO2 (EMC Update) v0.29.5" xfId="488" xr:uid="{00000000-0005-0000-0000-000092010000}"/>
    <cellStyle name="%_NRA_model_for_NEMO2 (EMC Update) v0.19_NRA_model_for_NEMO2 (EMC Update) v0.25_NRA_model_for_NEMO2 (EMC Update) v0.26_NRA_model_for_NEMO2 (EMC Update) v0.29.2_NRA_model_for_NEMO2 (EMC Update) v0.29.5" xfId="489" xr:uid="{00000000-0005-0000-0000-000093010000}"/>
    <cellStyle name="%_NRA_model_for_NEMO2 (EMC Update) v0.19_NRA_model_for_NEMO2 (EMC Update) v0.25_NRA_model_for_NEMO2 (EMC Update) v0.26_NRA_model_for_NEMO2 (EMC Update) v0.29.2_NRA_model_for_NEMO2 (EMC Update) v0.29.5_NRA_model_for_NEMO2 (EMC Update) v0 30 1" xfId="490" xr:uid="{00000000-0005-0000-0000-000094010000}"/>
    <cellStyle name="%_NRA_model_for_NEMO2 (EMC Update) v0.19_NRA_model_for_NEMO2 (EMC Update) v0.25_NRA_model_for_NEMO2 (EMC Update) v0.26_NRA_model_for_NEMO2 (EMC Update) v0.29.3" xfId="491" xr:uid="{00000000-0005-0000-0000-000095010000}"/>
    <cellStyle name="%_NRA_model_for_NEMO2 (EMC Update) v0.19_NRA_model_for_NEMO2 (EMC Update) v0.25_NRA_model_for_NEMO2 (EMC Update) v0.26_NRA_model_for_NEMO2 (EMC Update) v0.29.3_NRA_model_for_NEMO2 (EMC Update) v0 30 1" xfId="492" xr:uid="{00000000-0005-0000-0000-000096010000}"/>
    <cellStyle name="%_NRA_model_for_NEMO2 (EMC Update) v0.19_NRA_model_for_NEMO2 (EMC Update) v0.25_NRA_model_for_NEMO2 (EMC Update) v0.26_NRA_model_for_NEMO2 (EMC Update) v0.29.3_NRA_model_for_NEMO2 (EMC Update) v0.29.5" xfId="493" xr:uid="{00000000-0005-0000-0000-000097010000}"/>
    <cellStyle name="%_NRA_model_for_NEMO2 (EMC Update) v0.19_NRA_model_for_NEMO2 (EMC Update) v0.25_NRA_model_for_NEMO2 (EMC Update) v0.26_NRA_model_for_NEMO2 (EMC Update) v0.29.3_NRA_model_for_NEMO2 (EMC Update) v0.29.5_NRA_model_for_NEMO2 (EMC Update) v0 30 1" xfId="494" xr:uid="{00000000-0005-0000-0000-000098010000}"/>
    <cellStyle name="%_NRA_model_for_NEMO2 (EMC Update) v0.19_NRA_model_for_NEMO2 (EMC Update) v0.25_NRA_model_for_NEMO2 (EMC Update) v0.26_NRA_model_for_NEMO2 (EMC Update) v0.29.4" xfId="495" xr:uid="{00000000-0005-0000-0000-000099010000}"/>
    <cellStyle name="%_NRA_model_for_NEMO2 (EMC Update) v0.19_NRA_model_for_NEMO2 (EMC Update) v0.25_NRA_model_for_NEMO2 (EMC Update) v0.26_NRA_model_for_NEMO2 (EMC Update) v0.29.4_NRA_model_for_NEMO2 (EMC Update) v0 30 1" xfId="496" xr:uid="{00000000-0005-0000-0000-00009A010000}"/>
    <cellStyle name="%_NRA_model_for_NEMO2 (EMC Update) v0.19_NRA_model_for_NEMO2 (EMC Update) v0.25_NRA_model_for_NEMO2 (EMC Update) v0.26_NRA_model_for_NEMO2 (EMC Update) v0.29.4_NRA_model_for_NEMO2 (EMC Update) v0.29.5" xfId="497" xr:uid="{00000000-0005-0000-0000-00009B010000}"/>
    <cellStyle name="%_NRA_model_for_NEMO2 (EMC Update) v0.19_NRA_model_for_NEMO2 (EMC Update) v0.25_NRA_model_for_NEMO2 (EMC Update) v0.26_NRA_model_for_NEMO2 (EMC Update) v0.29.4_NRA_model_for_NEMO2 (EMC Update) v0.29.5_NRA_model_for_NEMO2 (EMC Update) v0 30 1" xfId="498" xr:uid="{00000000-0005-0000-0000-00009C010000}"/>
    <cellStyle name="%_NRA_model_for_NEMO2 (EMC Update) v0.19_NRA_model_for_NEMO2 (EMC Update) v0.25_NRA_model_for_NEMO2 (EMC Update) v0.26_NRA_model_for_NEMO2 (EMC Update) v0.29.5" xfId="499" xr:uid="{00000000-0005-0000-0000-00009D010000}"/>
    <cellStyle name="%_NRA_model_for_NEMO2 (EMC Update) v0.19_NRA_model_for_NEMO2 (EMC Update) v0.25_NRA_model_for_NEMO2 (EMC Update) v0.26_NRA_model_for_NEMO2 (EMC Update) v0.29.5_NRA_model_for_NEMO2 (EMC Update) v0 30 1" xfId="500" xr:uid="{00000000-0005-0000-0000-00009E010000}"/>
    <cellStyle name="%_NRA_model_for_NEMO2 (EMC Update) v0.19_NRA_model_for_NEMO2 (EMC Update) v0.25_NRA_model_for_NEMO2 (EMC Update) v0.26_NRA_model_for_NEMO2 (EMC Update) v0.29_NRA_model_for_NEMO2 (EMC Update) v0 30 1" xfId="501" xr:uid="{00000000-0005-0000-0000-00009F010000}"/>
    <cellStyle name="%_NRA_model_for_NEMO2 (EMC Update) v0.19_NRA_model_for_NEMO2 (EMC Update) v0.25_NRA_model_for_NEMO2 (EMC Update) v0.26_NRA_model_for_NEMO2 (EMC Update) v0.29_NRA_model_for_NEMO2 (EMC Update) v0.29.2" xfId="502" xr:uid="{00000000-0005-0000-0000-0000A0010000}"/>
    <cellStyle name="%_NRA_model_for_NEMO2 (EMC Update) v0.19_NRA_model_for_NEMO2 (EMC Update) v0.25_NRA_model_for_NEMO2 (EMC Update) v0.26_NRA_model_for_NEMO2 (EMC Update) v0.29_NRA_model_for_NEMO2 (EMC Update) v0.29.2_NRA_model_for_NEMO2 (EMC Update) v0 30 1" xfId="503" xr:uid="{00000000-0005-0000-0000-0000A1010000}"/>
    <cellStyle name="%_NRA_model_for_NEMO2 (EMC Update) v0.19_NRA_model_for_NEMO2 (EMC Update) v0.25_NRA_model_for_NEMO2 (EMC Update) v0.26_NRA_model_for_NEMO2 (EMC Update) v0.29_NRA_model_for_NEMO2 (EMC Update) v0.29.2_NRA_model_for_NEMO2 (EMC Update) v0.29.3" xfId="504" xr:uid="{00000000-0005-0000-0000-0000A2010000}"/>
    <cellStyle name="%_NRA_model_for_NEMO2 (EMC Update) v0.19_NRA_model_for_NEMO2 (EMC Update) v0.25_NRA_model_for_NEMO2 (EMC Update) v0.26_NRA_model_for_NEMO2 (EMC Update) v0.29_NRA_model_for_NEMO2 (EMC Update) v0.29.2_NRA_model_for_NEMO2 (EMC Update) v0.29.4" xfId="505" xr:uid="{00000000-0005-0000-0000-0000A3010000}"/>
    <cellStyle name="%_NRA_model_for_NEMO2 (EMC Update) v0.19_NRA_model_for_NEMO2 (EMC Update) v0.25_NRA_model_for_NEMO2 (EMC Update) v0.26_NRA_model_for_NEMO2 (EMC Update) v0.29_NRA_model_for_NEMO2 (EMC Update) v0.29.2_NRA_model_for_NEMO2 (EMC Update) v0.29.5" xfId="506" xr:uid="{00000000-0005-0000-0000-0000A4010000}"/>
    <cellStyle name="%_NRA_model_for_NEMO2 (EMC Update) v0.19_NRA_model_for_NEMO2 (EMC Update) v0.25_NRA_model_for_NEMO2 (EMC Update) v0.26_NRA_model_for_NEMO2 (EMC Update) v0.29_NRA_model_for_NEMO2 (EMC Update) v0.29.3" xfId="507" xr:uid="{00000000-0005-0000-0000-0000A5010000}"/>
    <cellStyle name="%_NRA_model_for_NEMO2 (EMC Update) v0.19_NRA_model_for_NEMO2 (EMC Update) v0.25_NRA_model_for_NEMO2 (EMC Update) v0.26_NRA_model_for_NEMO2 (EMC Update) v0.29_NRA_model_for_NEMO2 (EMC Update) v0.29.3_NRA_model_for_NEMO2 (EMC Update) v0 30 1" xfId="508" xr:uid="{00000000-0005-0000-0000-0000A6010000}"/>
    <cellStyle name="%_NRA_model_for_NEMO2 (EMC Update) v0.19_NRA_model_for_NEMO2 (EMC Update) v0.25_NRA_model_for_NEMO2 (EMC Update) v0.26_NRA_model_for_NEMO2 (EMC Update) v0.29_NRA_model_for_NEMO2 (EMC Update) v0.29.3_NRA_model_for_NEMO2 (EMC Update) v0.29.5" xfId="509" xr:uid="{00000000-0005-0000-0000-0000A7010000}"/>
    <cellStyle name="%_NRA_model_for_NEMO2 (EMC Update) v0.19_NRA_model_for_NEMO2 (EMC Update) v0.25_NRA_model_for_NEMO2 (EMC Update) v0.26_NRA_model_for_NEMO2 (EMC Update) v0.29_NRA_model_for_NEMO2 (EMC Update) v0.29.4" xfId="510" xr:uid="{00000000-0005-0000-0000-0000A8010000}"/>
    <cellStyle name="%_NRA_model_for_NEMO2 (EMC Update) v0.19_NRA_model_for_NEMO2 (EMC Update) v0.25_NRA_model_for_NEMO2 (EMC Update) v0.26_NRA_model_for_NEMO2 (EMC Update) v0.29_NRA_model_for_NEMO2 (EMC Update) v0.29.4_NRA_model_for_NEMO2 (EMC Update) v0 30 1" xfId="511" xr:uid="{00000000-0005-0000-0000-0000A9010000}"/>
    <cellStyle name="%_NRA_model_for_NEMO2 (EMC Update) v0.19_NRA_model_for_NEMO2 (EMC Update) v0.25_NRA_model_for_NEMO2 (EMC Update) v0.26_NRA_model_for_NEMO2 (EMC Update) v0.29_NRA_model_for_NEMO2 (EMC Update) v0.29.4_NRA_model_for_NEMO2 (EMC Update) v0.29.5" xfId="512" xr:uid="{00000000-0005-0000-0000-0000AA010000}"/>
    <cellStyle name="%_NRA_model_for_NEMO2 (EMC Update) v0.19_NRA_model_for_NEMO2 (EMC Update) v0.25_NRA_model_for_NEMO2 (EMC Update) v0.26_NRA_model_for_NEMO2 (EMC Update) v0.29_NRA_model_for_NEMO2 (EMC Update) v0.29.5" xfId="513" xr:uid="{00000000-0005-0000-0000-0000AB010000}"/>
    <cellStyle name="%_NRA_model_for_NEMO2 (EMC Update) v0.19_NRA_model_for_NEMO2 (EMC Update) v0.25_NRA_model_for_NEMO2 (EMC Update) v0.26_NRA_model_for_NEMO2 (EMC Update) v0.29_NRA_model_for_NEMO2 (EMC Update) v0.29.5_NRA_model_for_NEMO2 (EMC Update) v0 30 1" xfId="514" xr:uid="{00000000-0005-0000-0000-0000AC010000}"/>
    <cellStyle name="%_NRA_model_for_NEMO2 (EMC Update) v0.19_NRA_model_for_NEMO2 (EMC Update) v0.25_NRA_model_for_NEMO2 (EMC Update) v0.29" xfId="515" xr:uid="{00000000-0005-0000-0000-0000AD010000}"/>
    <cellStyle name="%_NRA_model_for_NEMO2 (EMC Update) v0.19_NRA_model_for_NEMO2 (EMC Update) v0.25_NRA_model_for_NEMO2 (EMC Update) v0.29.2" xfId="516" xr:uid="{00000000-0005-0000-0000-0000AE010000}"/>
    <cellStyle name="%_NRA_model_for_NEMO2 (EMC Update) v0.19_NRA_model_for_NEMO2 (EMC Update) v0.25_NRA_model_for_NEMO2 (EMC Update) v0.29.2_NRA_model_for_NEMO2 (EMC Update) v0 30 1" xfId="517" xr:uid="{00000000-0005-0000-0000-0000AF010000}"/>
    <cellStyle name="%_NRA_model_for_NEMO2 (EMC Update) v0.19_NRA_model_for_NEMO2 (EMC Update) v0.25_NRA_model_for_NEMO2 (EMC Update) v0.29.2_NRA_model_for_NEMO2 (EMC Update) v0.29.3" xfId="518" xr:uid="{00000000-0005-0000-0000-0000B0010000}"/>
    <cellStyle name="%_NRA_model_for_NEMO2 (EMC Update) v0.19_NRA_model_for_NEMO2 (EMC Update) v0.25_NRA_model_for_NEMO2 (EMC Update) v0.29.2_NRA_model_for_NEMO2 (EMC Update) v0.29.3_NRA_model_for_NEMO2 (EMC Update) v0 30 1" xfId="519" xr:uid="{00000000-0005-0000-0000-0000B1010000}"/>
    <cellStyle name="%_NRA_model_for_NEMO2 (EMC Update) v0.19_NRA_model_for_NEMO2 (EMC Update) v0.25_NRA_model_for_NEMO2 (EMC Update) v0.29.2_NRA_model_for_NEMO2 (EMC Update) v0.29.3_NRA_model_for_NEMO2 (EMC Update) v0.29.5" xfId="520" xr:uid="{00000000-0005-0000-0000-0000B2010000}"/>
    <cellStyle name="%_NRA_model_for_NEMO2 (EMC Update) v0.19_NRA_model_for_NEMO2 (EMC Update) v0.25_NRA_model_for_NEMO2 (EMC Update) v0.29.2_NRA_model_for_NEMO2 (EMC Update) v0.29.3_NRA_model_for_NEMO2 (EMC Update) v0.29.5_NRA_model_for_NEMO2 (EMC Update) v0 30 1" xfId="521" xr:uid="{00000000-0005-0000-0000-0000B3010000}"/>
    <cellStyle name="%_NRA_model_for_NEMO2 (EMC Update) v0.19_NRA_model_for_NEMO2 (EMC Update) v0.25_NRA_model_for_NEMO2 (EMC Update) v0.29.2_NRA_model_for_NEMO2 (EMC Update) v0.29.4" xfId="522" xr:uid="{00000000-0005-0000-0000-0000B4010000}"/>
    <cellStyle name="%_NRA_model_for_NEMO2 (EMC Update) v0.19_NRA_model_for_NEMO2 (EMC Update) v0.25_NRA_model_for_NEMO2 (EMC Update) v0.29.2_NRA_model_for_NEMO2 (EMC Update) v0.29.4_NRA_model_for_NEMO2 (EMC Update) v0 30 1" xfId="523" xr:uid="{00000000-0005-0000-0000-0000B5010000}"/>
    <cellStyle name="%_NRA_model_for_NEMO2 (EMC Update) v0.19_NRA_model_for_NEMO2 (EMC Update) v0.25_NRA_model_for_NEMO2 (EMC Update) v0.29.2_NRA_model_for_NEMO2 (EMC Update) v0.29.4_NRA_model_for_NEMO2 (EMC Update) v0.29.5" xfId="524" xr:uid="{00000000-0005-0000-0000-0000B6010000}"/>
    <cellStyle name="%_NRA_model_for_NEMO2 (EMC Update) v0.19_NRA_model_for_NEMO2 (EMC Update) v0.25_NRA_model_for_NEMO2 (EMC Update) v0.29.2_NRA_model_for_NEMO2 (EMC Update) v0.29.4_NRA_model_for_NEMO2 (EMC Update) v0.29.5_NRA_model_for_NEMO2 (EMC Update) v0 30 1" xfId="525" xr:uid="{00000000-0005-0000-0000-0000B7010000}"/>
    <cellStyle name="%_NRA_model_for_NEMO2 (EMC Update) v0.19_NRA_model_for_NEMO2 (EMC Update) v0.25_NRA_model_for_NEMO2 (EMC Update) v0.29.2_NRA_model_for_NEMO2 (EMC Update) v0.29.5" xfId="526" xr:uid="{00000000-0005-0000-0000-0000B8010000}"/>
    <cellStyle name="%_NRA_model_for_NEMO2 (EMC Update) v0.19_NRA_model_for_NEMO2 (EMC Update) v0.25_NRA_model_for_NEMO2 (EMC Update) v0.29.2_NRA_model_for_NEMO2 (EMC Update) v0.29.5_NRA_model_for_NEMO2 (EMC Update) v0 30 1" xfId="527" xr:uid="{00000000-0005-0000-0000-0000B9010000}"/>
    <cellStyle name="%_NRA_model_for_NEMO2 (EMC Update) v0.19_NRA_model_for_NEMO2 (EMC Update) v0.25_NRA_model_for_NEMO2 (EMC Update) v0.29.3" xfId="528" xr:uid="{00000000-0005-0000-0000-0000BA010000}"/>
    <cellStyle name="%_NRA_model_for_NEMO2 (EMC Update) v0.19_NRA_model_for_NEMO2 (EMC Update) v0.25_NRA_model_for_NEMO2 (EMC Update) v0.29.3_NRA_model_for_NEMO2 (EMC Update) v0 30 1" xfId="529" xr:uid="{00000000-0005-0000-0000-0000BB010000}"/>
    <cellStyle name="%_NRA_model_for_NEMO2 (EMC Update) v0.19_NRA_model_for_NEMO2 (EMC Update) v0.25_NRA_model_for_NEMO2 (EMC Update) v0.29.3_NRA_model_for_NEMO2 (EMC Update) v0.29.5" xfId="530" xr:uid="{00000000-0005-0000-0000-0000BC010000}"/>
    <cellStyle name="%_NRA_model_for_NEMO2 (EMC Update) v0.19_NRA_model_for_NEMO2 (EMC Update) v0.25_NRA_model_for_NEMO2 (EMC Update) v0.29.3_NRA_model_for_NEMO2 (EMC Update) v0.29.5_NRA_model_for_NEMO2 (EMC Update) v0 30 1" xfId="531" xr:uid="{00000000-0005-0000-0000-0000BD010000}"/>
    <cellStyle name="%_NRA_model_for_NEMO2 (EMC Update) v0.19_NRA_model_for_NEMO2 (EMC Update) v0.25_NRA_model_for_NEMO2 (EMC Update) v0.29.4" xfId="532" xr:uid="{00000000-0005-0000-0000-0000BE010000}"/>
    <cellStyle name="%_NRA_model_for_NEMO2 (EMC Update) v0.19_NRA_model_for_NEMO2 (EMC Update) v0.25_NRA_model_for_NEMO2 (EMC Update) v0.29.4_NRA_model_for_NEMO2 (EMC Update) v0 30 1" xfId="533" xr:uid="{00000000-0005-0000-0000-0000BF010000}"/>
    <cellStyle name="%_NRA_model_for_NEMO2 (EMC Update) v0.19_NRA_model_for_NEMO2 (EMC Update) v0.25_NRA_model_for_NEMO2 (EMC Update) v0.29.4_NRA_model_for_NEMO2 (EMC Update) v0.29.5" xfId="534" xr:uid="{00000000-0005-0000-0000-0000C0010000}"/>
    <cellStyle name="%_NRA_model_for_NEMO2 (EMC Update) v0.19_NRA_model_for_NEMO2 (EMC Update) v0.25_NRA_model_for_NEMO2 (EMC Update) v0.29.4_NRA_model_for_NEMO2 (EMC Update) v0.29.5_NRA_model_for_NEMO2 (EMC Update) v0 30 1" xfId="535" xr:uid="{00000000-0005-0000-0000-0000C1010000}"/>
    <cellStyle name="%_NRA_model_for_NEMO2 (EMC Update) v0.19_NRA_model_for_NEMO2 (EMC Update) v0.25_NRA_model_for_NEMO2 (EMC Update) v0.29.5" xfId="536" xr:uid="{00000000-0005-0000-0000-0000C2010000}"/>
    <cellStyle name="%_NRA_model_for_NEMO2 (EMC Update) v0.19_NRA_model_for_NEMO2 (EMC Update) v0.25_NRA_model_for_NEMO2 (EMC Update) v0.29.5_NRA_model_for_NEMO2 (EMC Update) v0 30 1" xfId="537" xr:uid="{00000000-0005-0000-0000-0000C3010000}"/>
    <cellStyle name="%_NRA_model_for_NEMO2 (EMC Update) v0.19_NRA_model_for_NEMO2 (EMC Update) v0.25_NRA_model_for_NEMO2 (EMC Update) v0.29_NRA_model_for_NEMO2 (EMC Update) v0 30 1" xfId="538" xr:uid="{00000000-0005-0000-0000-0000C4010000}"/>
    <cellStyle name="%_NRA_model_for_NEMO2 (EMC Update) v0.19_NRA_model_for_NEMO2 (EMC Update) v0.25_NRA_model_for_NEMO2 (EMC Update) v0.29_NRA_model_for_NEMO2 (EMC Update) v0.29.2" xfId="539" xr:uid="{00000000-0005-0000-0000-0000C5010000}"/>
    <cellStyle name="%_NRA_model_for_NEMO2 (EMC Update) v0.19_NRA_model_for_NEMO2 (EMC Update) v0.25_NRA_model_for_NEMO2 (EMC Update) v0.29_NRA_model_for_NEMO2 (EMC Update) v0.29.2_NRA_model_for_NEMO2 (EMC Update) v0 30 1" xfId="540" xr:uid="{00000000-0005-0000-0000-0000C6010000}"/>
    <cellStyle name="%_NRA_model_for_NEMO2 (EMC Update) v0.19_NRA_model_for_NEMO2 (EMC Update) v0.25_NRA_model_for_NEMO2 (EMC Update) v0.29_NRA_model_for_NEMO2 (EMC Update) v0.29.2_NRA_model_for_NEMO2 (EMC Update) v0.29.3" xfId="541" xr:uid="{00000000-0005-0000-0000-0000C7010000}"/>
    <cellStyle name="%_NRA_model_for_NEMO2 (EMC Update) v0.19_NRA_model_for_NEMO2 (EMC Update) v0.25_NRA_model_for_NEMO2 (EMC Update) v0.29_NRA_model_for_NEMO2 (EMC Update) v0.29.2_NRA_model_for_NEMO2 (EMC Update) v0.29.3_NRA_model_for_NEMO2 (EMC Update) v0 30 1" xfId="542" xr:uid="{00000000-0005-0000-0000-0000C8010000}"/>
    <cellStyle name="%_NRA_model_for_NEMO2 (EMC Update) v0.19_NRA_model_for_NEMO2 (EMC Update) v0.25_NRA_model_for_NEMO2 (EMC Update) v0.29_NRA_model_for_NEMO2 (EMC Update) v0.29.2_NRA_model_for_NEMO2 (EMC Update) v0.29.3_NRA_model_for_NEMO2 (EMC Update) v0.29.5" xfId="543" xr:uid="{00000000-0005-0000-0000-0000C9010000}"/>
    <cellStyle name="%_NRA_model_for_NEMO2 (EMC Update) v0.19_NRA_model_for_NEMO2 (EMC Update) v0.25_NRA_model_for_NEMO2 (EMC Update) v0.29_NRA_model_for_NEMO2 (EMC Update) v0.29.2_NRA_model_for_NEMO2 (EMC Update) v0.29.4" xfId="544" xr:uid="{00000000-0005-0000-0000-0000CA010000}"/>
    <cellStyle name="%_NRA_model_for_NEMO2 (EMC Update) v0.19_NRA_model_for_NEMO2 (EMC Update) v0.25_NRA_model_for_NEMO2 (EMC Update) v0.29_NRA_model_for_NEMO2 (EMC Update) v0.29.2_NRA_model_for_NEMO2 (EMC Update) v0.29.4_NRA_model_for_NEMO2 (EMC Update) v0 30 1" xfId="545" xr:uid="{00000000-0005-0000-0000-0000CB010000}"/>
    <cellStyle name="%_NRA_model_for_NEMO2 (EMC Update) v0.19_NRA_model_for_NEMO2 (EMC Update) v0.25_NRA_model_for_NEMO2 (EMC Update) v0.29_NRA_model_for_NEMO2 (EMC Update) v0.29.2_NRA_model_for_NEMO2 (EMC Update) v0.29.4_NRA_model_for_NEMO2 (EMC Update) v0.29.5" xfId="546" xr:uid="{00000000-0005-0000-0000-0000CC010000}"/>
    <cellStyle name="%_NRA_model_for_NEMO2 (EMC Update) v0.19_NRA_model_for_NEMO2 (EMC Update) v0.25_NRA_model_for_NEMO2 (EMC Update) v0.29_NRA_model_for_NEMO2 (EMC Update) v0.29.2_NRA_model_for_NEMO2 (EMC Update) v0.29.5" xfId="547" xr:uid="{00000000-0005-0000-0000-0000CD010000}"/>
    <cellStyle name="%_NRA_model_for_NEMO2 (EMC Update) v0.19_NRA_model_for_NEMO2 (EMC Update) v0.25_NRA_model_for_NEMO2 (EMC Update) v0.29_NRA_model_for_NEMO2 (EMC Update) v0.29.2_NRA_model_for_NEMO2 (EMC Update) v0.29.5_NRA_model_for_NEMO2 (EMC Update) v0 30 1" xfId="548" xr:uid="{00000000-0005-0000-0000-0000CE010000}"/>
    <cellStyle name="%_NRA_model_for_NEMO2 (EMC Update) v0.19_NRA_model_for_NEMO2 (EMC Update) v0.25_NRA_model_for_NEMO2 (EMC Update) v0.29_NRA_model_for_NEMO2 (EMC Update) v0.29.3" xfId="549" xr:uid="{00000000-0005-0000-0000-0000CF010000}"/>
    <cellStyle name="%_NRA_model_for_NEMO2 (EMC Update) v0.19_NRA_model_for_NEMO2 (EMC Update) v0.25_NRA_model_for_NEMO2 (EMC Update) v0.29_NRA_model_for_NEMO2 (EMC Update) v0.29.3_NRA_model_for_NEMO2 (EMC Update) v0 30 1" xfId="550" xr:uid="{00000000-0005-0000-0000-0000D0010000}"/>
    <cellStyle name="%_NRA_model_for_NEMO2 (EMC Update) v0.19_NRA_model_for_NEMO2 (EMC Update) v0.25_NRA_model_for_NEMO2 (EMC Update) v0.29_NRA_model_for_NEMO2 (EMC Update) v0.29.3_NRA_model_for_NEMO2 (EMC Update) v0.29.5" xfId="551" xr:uid="{00000000-0005-0000-0000-0000D1010000}"/>
    <cellStyle name="%_NRA_model_for_NEMO2 (EMC Update) v0.19_NRA_model_for_NEMO2 (EMC Update) v0.25_NRA_model_for_NEMO2 (EMC Update) v0.29_NRA_model_for_NEMO2 (EMC Update) v0.29.3_NRA_model_for_NEMO2 (EMC Update) v0.29.5_NRA_model_for_NEMO2 (EMC Update) v0 30 1" xfId="552" xr:uid="{00000000-0005-0000-0000-0000D2010000}"/>
    <cellStyle name="%_NRA_model_for_NEMO2 (EMC Update) v0.19_NRA_model_for_NEMO2 (EMC Update) v0.25_NRA_model_for_NEMO2 (EMC Update) v0.29_NRA_model_for_NEMO2 (EMC Update) v0.29.4" xfId="553" xr:uid="{00000000-0005-0000-0000-0000D3010000}"/>
    <cellStyle name="%_NRA_model_for_NEMO2 (EMC Update) v0.19_NRA_model_for_NEMO2 (EMC Update) v0.25_NRA_model_for_NEMO2 (EMC Update) v0.29_NRA_model_for_NEMO2 (EMC Update) v0.29.4_NRA_model_for_NEMO2 (EMC Update) v0 30 1" xfId="554" xr:uid="{00000000-0005-0000-0000-0000D4010000}"/>
    <cellStyle name="%_NRA_model_for_NEMO2 (EMC Update) v0.19_NRA_model_for_NEMO2 (EMC Update) v0.25_NRA_model_for_NEMO2 (EMC Update) v0.29_NRA_model_for_NEMO2 (EMC Update) v0.29.4_NRA_model_for_NEMO2 (EMC Update) v0.29.5" xfId="555" xr:uid="{00000000-0005-0000-0000-0000D5010000}"/>
    <cellStyle name="%_NRA_model_for_NEMO2 (EMC Update) v0.19_NRA_model_for_NEMO2 (EMC Update) v0.25_NRA_model_for_NEMO2 (EMC Update) v0.29_NRA_model_for_NEMO2 (EMC Update) v0.29.4_NRA_model_for_NEMO2 (EMC Update) v0.29.5_NRA_model_for_NEMO2 (EMC Update) v0 30 1" xfId="556" xr:uid="{00000000-0005-0000-0000-0000D6010000}"/>
    <cellStyle name="%_NRA_model_for_NEMO2 (EMC Update) v0.19_NRA_model_for_NEMO2 (EMC Update) v0.25_NRA_model_for_NEMO2 (EMC Update) v0.29_NRA_model_for_NEMO2 (EMC Update) v0.29.5" xfId="557" xr:uid="{00000000-0005-0000-0000-0000D7010000}"/>
    <cellStyle name="%_NRA_model_for_NEMO2 (EMC Update) v0.19_NRA_model_for_NEMO2 (EMC Update) v0.25_NRA_model_for_NEMO2 (EMC Update) v0.29_NRA_model_for_NEMO2 (EMC Update) v0.29.5_NRA_model_for_NEMO2 (EMC Update) v0 30 1" xfId="558" xr:uid="{00000000-0005-0000-0000-0000D8010000}"/>
    <cellStyle name="%_NRA_model_for_NEMO2 (EMC Update) v0.19_NRA_model_for_NEMO2 (EMC Update) v0.26" xfId="559" xr:uid="{00000000-0005-0000-0000-0000D9010000}"/>
    <cellStyle name="%_NRA_model_for_NEMO2 (EMC Update) v0.19_NRA_model_for_NEMO2 (EMC Update) v0.26_NRA_model_for_NEMO2 (EMC Update) v0 30 1" xfId="560" xr:uid="{00000000-0005-0000-0000-0000DA010000}"/>
    <cellStyle name="%_NRA_model_for_NEMO2 (EMC Update) v0.19_NRA_model_for_NEMO2 (EMC Update) v0.26_NRA_model_for_NEMO2 (EMC Update) v0.29" xfId="561" xr:uid="{00000000-0005-0000-0000-0000DB010000}"/>
    <cellStyle name="%_NRA_model_for_NEMO2 (EMC Update) v0.19_NRA_model_for_NEMO2 (EMC Update) v0.26_NRA_model_for_NEMO2 (EMC Update) v0.29.2" xfId="562" xr:uid="{00000000-0005-0000-0000-0000DC010000}"/>
    <cellStyle name="%_NRA_model_for_NEMO2 (EMC Update) v0.19_NRA_model_for_NEMO2 (EMC Update) v0.26_NRA_model_for_NEMO2 (EMC Update) v0.29.2_NRA_model_for_NEMO2 (EMC Update) v0 30 1" xfId="563" xr:uid="{00000000-0005-0000-0000-0000DD010000}"/>
    <cellStyle name="%_NRA_model_for_NEMO2 (EMC Update) v0.19_NRA_model_for_NEMO2 (EMC Update) v0.26_NRA_model_for_NEMO2 (EMC Update) v0.29.2_NRA_model_for_NEMO2 (EMC Update) v0.29.3" xfId="564" xr:uid="{00000000-0005-0000-0000-0000DE010000}"/>
    <cellStyle name="%_NRA_model_for_NEMO2 (EMC Update) v0.19_NRA_model_for_NEMO2 (EMC Update) v0.26_NRA_model_for_NEMO2 (EMC Update) v0.29.2_NRA_model_for_NEMO2 (EMC Update) v0.29.3_NRA_model_for_NEMO2 (EMC Update) v0 30 1" xfId="565" xr:uid="{00000000-0005-0000-0000-0000DF010000}"/>
    <cellStyle name="%_NRA_model_for_NEMO2 (EMC Update) v0.19_NRA_model_for_NEMO2 (EMC Update) v0.26_NRA_model_for_NEMO2 (EMC Update) v0.29.2_NRA_model_for_NEMO2 (EMC Update) v0.29.3_NRA_model_for_NEMO2 (EMC Update) v0.29.5" xfId="566" xr:uid="{00000000-0005-0000-0000-0000E0010000}"/>
    <cellStyle name="%_NRA_model_for_NEMO2 (EMC Update) v0.19_NRA_model_for_NEMO2 (EMC Update) v0.26_NRA_model_for_NEMO2 (EMC Update) v0.29.2_NRA_model_for_NEMO2 (EMC Update) v0.29.3_NRA_model_for_NEMO2 (EMC Update) v0.29.5_NRA_model_for_NEMO2 (EMC Update) v0 30 1" xfId="567" xr:uid="{00000000-0005-0000-0000-0000E1010000}"/>
    <cellStyle name="%_NRA_model_for_NEMO2 (EMC Update) v0.19_NRA_model_for_NEMO2 (EMC Update) v0.26_NRA_model_for_NEMO2 (EMC Update) v0.29.2_NRA_model_for_NEMO2 (EMC Update) v0.29.4" xfId="568" xr:uid="{00000000-0005-0000-0000-0000E2010000}"/>
    <cellStyle name="%_NRA_model_for_NEMO2 (EMC Update) v0.19_NRA_model_for_NEMO2 (EMC Update) v0.26_NRA_model_for_NEMO2 (EMC Update) v0.29.2_NRA_model_for_NEMO2 (EMC Update) v0.29.4_NRA_model_for_NEMO2 (EMC Update) v0 30 1" xfId="569" xr:uid="{00000000-0005-0000-0000-0000E3010000}"/>
    <cellStyle name="%_NRA_model_for_NEMO2 (EMC Update) v0.19_NRA_model_for_NEMO2 (EMC Update) v0.26_NRA_model_for_NEMO2 (EMC Update) v0.29.2_NRA_model_for_NEMO2 (EMC Update) v0.29.4_NRA_model_for_NEMO2 (EMC Update) v0.29.5" xfId="570" xr:uid="{00000000-0005-0000-0000-0000E4010000}"/>
    <cellStyle name="%_NRA_model_for_NEMO2 (EMC Update) v0.19_NRA_model_for_NEMO2 (EMC Update) v0.26_NRA_model_for_NEMO2 (EMC Update) v0.29.2_NRA_model_for_NEMO2 (EMC Update) v0.29.4_NRA_model_for_NEMO2 (EMC Update) v0.29.5_NRA_model_for_NEMO2 (EMC Update) v0 30 1" xfId="571" xr:uid="{00000000-0005-0000-0000-0000E5010000}"/>
    <cellStyle name="%_NRA_model_for_NEMO2 (EMC Update) v0.19_NRA_model_for_NEMO2 (EMC Update) v0.26_NRA_model_for_NEMO2 (EMC Update) v0.29.2_NRA_model_for_NEMO2 (EMC Update) v0.29.5" xfId="572" xr:uid="{00000000-0005-0000-0000-0000E6010000}"/>
    <cellStyle name="%_NRA_model_for_NEMO2 (EMC Update) v0.19_NRA_model_for_NEMO2 (EMC Update) v0.26_NRA_model_for_NEMO2 (EMC Update) v0.29.2_NRA_model_for_NEMO2 (EMC Update) v0.29.5_NRA_model_for_NEMO2 (EMC Update) v0 30 1" xfId="573" xr:uid="{00000000-0005-0000-0000-0000E7010000}"/>
    <cellStyle name="%_NRA_model_for_NEMO2 (EMC Update) v0.19_NRA_model_for_NEMO2 (EMC Update) v0.26_NRA_model_for_NEMO2 (EMC Update) v0.29.3" xfId="574" xr:uid="{00000000-0005-0000-0000-0000E8010000}"/>
    <cellStyle name="%_NRA_model_for_NEMO2 (EMC Update) v0.19_NRA_model_for_NEMO2 (EMC Update) v0.26_NRA_model_for_NEMO2 (EMC Update) v0.29.3_NRA_model_for_NEMO2 (EMC Update) v0 30 1" xfId="575" xr:uid="{00000000-0005-0000-0000-0000E9010000}"/>
    <cellStyle name="%_NRA_model_for_NEMO2 (EMC Update) v0.19_NRA_model_for_NEMO2 (EMC Update) v0.26_NRA_model_for_NEMO2 (EMC Update) v0.29.3_NRA_model_for_NEMO2 (EMC Update) v0.29.5" xfId="576" xr:uid="{00000000-0005-0000-0000-0000EA010000}"/>
    <cellStyle name="%_NRA_model_for_NEMO2 (EMC Update) v0.19_NRA_model_for_NEMO2 (EMC Update) v0.26_NRA_model_for_NEMO2 (EMC Update) v0.29.3_NRA_model_for_NEMO2 (EMC Update) v0.29.5_NRA_model_for_NEMO2 (EMC Update) v0 30 1" xfId="577" xr:uid="{00000000-0005-0000-0000-0000EB010000}"/>
    <cellStyle name="%_NRA_model_for_NEMO2 (EMC Update) v0.19_NRA_model_for_NEMO2 (EMC Update) v0.26_NRA_model_for_NEMO2 (EMC Update) v0.29.4" xfId="578" xr:uid="{00000000-0005-0000-0000-0000EC010000}"/>
    <cellStyle name="%_NRA_model_for_NEMO2 (EMC Update) v0.19_NRA_model_for_NEMO2 (EMC Update) v0.26_NRA_model_for_NEMO2 (EMC Update) v0.29.4_NRA_model_for_NEMO2 (EMC Update) v0 30 1" xfId="579" xr:uid="{00000000-0005-0000-0000-0000ED010000}"/>
    <cellStyle name="%_NRA_model_for_NEMO2 (EMC Update) v0.19_NRA_model_for_NEMO2 (EMC Update) v0.26_NRA_model_for_NEMO2 (EMC Update) v0.29.4_NRA_model_for_NEMO2 (EMC Update) v0.29.5" xfId="580" xr:uid="{00000000-0005-0000-0000-0000EE010000}"/>
    <cellStyle name="%_NRA_model_for_NEMO2 (EMC Update) v0.19_NRA_model_for_NEMO2 (EMC Update) v0.26_NRA_model_for_NEMO2 (EMC Update) v0.29.4_NRA_model_for_NEMO2 (EMC Update) v0.29.5_NRA_model_for_NEMO2 (EMC Update) v0 30 1" xfId="581" xr:uid="{00000000-0005-0000-0000-0000EF010000}"/>
    <cellStyle name="%_NRA_model_for_NEMO2 (EMC Update) v0.19_NRA_model_for_NEMO2 (EMC Update) v0.26_NRA_model_for_NEMO2 (EMC Update) v0.29.5" xfId="582" xr:uid="{00000000-0005-0000-0000-0000F0010000}"/>
    <cellStyle name="%_NRA_model_for_NEMO2 (EMC Update) v0.19_NRA_model_for_NEMO2 (EMC Update) v0.26_NRA_model_for_NEMO2 (EMC Update) v0.29.5_NRA_model_for_NEMO2 (EMC Update) v0 30 1" xfId="583" xr:uid="{00000000-0005-0000-0000-0000F1010000}"/>
    <cellStyle name="%_NRA_model_for_NEMO2 (EMC Update) v0.19_NRA_model_for_NEMO2 (EMC Update) v0.26_NRA_model_for_NEMO2 (EMC Update) v0.29_NRA_model_for_NEMO2 (EMC Update) v0 30 1" xfId="584" xr:uid="{00000000-0005-0000-0000-0000F2010000}"/>
    <cellStyle name="%_NRA_model_for_NEMO2 (EMC Update) v0.19_NRA_model_for_NEMO2 (EMC Update) v0.26_NRA_model_for_NEMO2 (EMC Update) v0.29_NRA_model_for_NEMO2 (EMC Update) v0.29.2" xfId="585" xr:uid="{00000000-0005-0000-0000-0000F3010000}"/>
    <cellStyle name="%_NRA_model_for_NEMO2 (EMC Update) v0.19_NRA_model_for_NEMO2 (EMC Update) v0.26_NRA_model_for_NEMO2 (EMC Update) v0.29_NRA_model_for_NEMO2 (EMC Update) v0.29.2_NRA_model_for_NEMO2 (EMC Update) v0 30 1" xfId="586" xr:uid="{00000000-0005-0000-0000-0000F4010000}"/>
    <cellStyle name="%_NRA_model_for_NEMO2 (EMC Update) v0.19_NRA_model_for_NEMO2 (EMC Update) v0.26_NRA_model_for_NEMO2 (EMC Update) v0.29_NRA_model_for_NEMO2 (EMC Update) v0.29.2_NRA_model_for_NEMO2 (EMC Update) v0.29.3" xfId="587" xr:uid="{00000000-0005-0000-0000-0000F5010000}"/>
    <cellStyle name="%_NRA_model_for_NEMO2 (EMC Update) v0.19_NRA_model_for_NEMO2 (EMC Update) v0.26_NRA_model_for_NEMO2 (EMC Update) v0.29_NRA_model_for_NEMO2 (EMC Update) v0.29.2_NRA_model_for_NEMO2 (EMC Update) v0.29.3_NRA_model_for_NEMO2 (EMC Update) v0 30 1" xfId="588" xr:uid="{00000000-0005-0000-0000-0000F6010000}"/>
    <cellStyle name="%_NRA_model_for_NEMO2 (EMC Update) v0.19_NRA_model_for_NEMO2 (EMC Update) v0.26_NRA_model_for_NEMO2 (EMC Update) v0.29_NRA_model_for_NEMO2 (EMC Update) v0.29.2_NRA_model_for_NEMO2 (EMC Update) v0.29.3_NRA_model_for_NEMO2 (EMC Update) v0.29.5" xfId="589" xr:uid="{00000000-0005-0000-0000-0000F7010000}"/>
    <cellStyle name="%_NRA_model_for_NEMO2 (EMC Update) v0.19_NRA_model_for_NEMO2 (EMC Update) v0.26_NRA_model_for_NEMO2 (EMC Update) v0.29_NRA_model_for_NEMO2 (EMC Update) v0.29.2_NRA_model_for_NEMO2 (EMC Update) v0.29.4" xfId="590" xr:uid="{00000000-0005-0000-0000-0000F8010000}"/>
    <cellStyle name="%_NRA_model_for_NEMO2 (EMC Update) v0.19_NRA_model_for_NEMO2 (EMC Update) v0.26_NRA_model_for_NEMO2 (EMC Update) v0.29_NRA_model_for_NEMO2 (EMC Update) v0.29.2_NRA_model_for_NEMO2 (EMC Update) v0.29.4_NRA_model_for_NEMO2 (EMC Update) v0 30 1" xfId="591" xr:uid="{00000000-0005-0000-0000-0000F9010000}"/>
    <cellStyle name="%_NRA_model_for_NEMO2 (EMC Update) v0.19_NRA_model_for_NEMO2 (EMC Update) v0.26_NRA_model_for_NEMO2 (EMC Update) v0.29_NRA_model_for_NEMO2 (EMC Update) v0.29.2_NRA_model_for_NEMO2 (EMC Update) v0.29.4_NRA_model_for_NEMO2 (EMC Update) v0.29.5" xfId="592" xr:uid="{00000000-0005-0000-0000-0000FA010000}"/>
    <cellStyle name="%_NRA_model_for_NEMO2 (EMC Update) v0.19_NRA_model_for_NEMO2 (EMC Update) v0.26_NRA_model_for_NEMO2 (EMC Update) v0.29_NRA_model_for_NEMO2 (EMC Update) v0.29.2_NRA_model_for_NEMO2 (EMC Update) v0.29.5" xfId="593" xr:uid="{00000000-0005-0000-0000-0000FB010000}"/>
    <cellStyle name="%_NRA_model_for_NEMO2 (EMC Update) v0.19_NRA_model_for_NEMO2 (EMC Update) v0.26_NRA_model_for_NEMO2 (EMC Update) v0.29_NRA_model_for_NEMO2 (EMC Update) v0.29.2_NRA_model_for_NEMO2 (EMC Update) v0.29.5_NRA_model_for_NEMO2 (EMC Update) v0 30 1" xfId="594" xr:uid="{00000000-0005-0000-0000-0000FC010000}"/>
    <cellStyle name="%_NRA_model_for_NEMO2 (EMC Update) v0.19_NRA_model_for_NEMO2 (EMC Update) v0.26_NRA_model_for_NEMO2 (EMC Update) v0.29_NRA_model_for_NEMO2 (EMC Update) v0.29.3" xfId="595" xr:uid="{00000000-0005-0000-0000-0000FD010000}"/>
    <cellStyle name="%_NRA_model_for_NEMO2 (EMC Update) v0.19_NRA_model_for_NEMO2 (EMC Update) v0.26_NRA_model_for_NEMO2 (EMC Update) v0.29_NRA_model_for_NEMO2 (EMC Update) v0.29.3_NRA_model_for_NEMO2 (EMC Update) v0 30 1" xfId="596" xr:uid="{00000000-0005-0000-0000-0000FE010000}"/>
    <cellStyle name="%_NRA_model_for_NEMO2 (EMC Update) v0.19_NRA_model_for_NEMO2 (EMC Update) v0.26_NRA_model_for_NEMO2 (EMC Update) v0.29_NRA_model_for_NEMO2 (EMC Update) v0.29.3_NRA_model_for_NEMO2 (EMC Update) v0.29.5" xfId="597" xr:uid="{00000000-0005-0000-0000-0000FF010000}"/>
    <cellStyle name="%_NRA_model_for_NEMO2 (EMC Update) v0.19_NRA_model_for_NEMO2 (EMC Update) v0.26_NRA_model_for_NEMO2 (EMC Update) v0.29_NRA_model_for_NEMO2 (EMC Update) v0.29.3_NRA_model_for_NEMO2 (EMC Update) v0.29.5_NRA_model_for_NEMO2 (EMC Update) v0 30 1" xfId="598" xr:uid="{00000000-0005-0000-0000-000000020000}"/>
    <cellStyle name="%_NRA_model_for_NEMO2 (EMC Update) v0.19_NRA_model_for_NEMO2 (EMC Update) v0.26_NRA_model_for_NEMO2 (EMC Update) v0.29_NRA_model_for_NEMO2 (EMC Update) v0.29.4" xfId="599" xr:uid="{00000000-0005-0000-0000-000001020000}"/>
    <cellStyle name="%_NRA_model_for_NEMO2 (EMC Update) v0.19_NRA_model_for_NEMO2 (EMC Update) v0.26_NRA_model_for_NEMO2 (EMC Update) v0.29_NRA_model_for_NEMO2 (EMC Update) v0.29.4_NRA_model_for_NEMO2 (EMC Update) v0 30 1" xfId="600" xr:uid="{00000000-0005-0000-0000-000002020000}"/>
    <cellStyle name="%_NRA_model_for_NEMO2 (EMC Update) v0.19_NRA_model_for_NEMO2 (EMC Update) v0.26_NRA_model_for_NEMO2 (EMC Update) v0.29_NRA_model_for_NEMO2 (EMC Update) v0.29.4_NRA_model_for_NEMO2 (EMC Update) v0.29.5" xfId="601" xr:uid="{00000000-0005-0000-0000-000003020000}"/>
    <cellStyle name="%_NRA_model_for_NEMO2 (EMC Update) v0.19_NRA_model_for_NEMO2 (EMC Update) v0.26_NRA_model_for_NEMO2 (EMC Update) v0.29_NRA_model_for_NEMO2 (EMC Update) v0.29.4_NRA_model_for_NEMO2 (EMC Update) v0.29.5_NRA_model_for_NEMO2 (EMC Update) v0 30 1" xfId="602" xr:uid="{00000000-0005-0000-0000-000004020000}"/>
    <cellStyle name="%_NRA_model_for_NEMO2 (EMC Update) v0.19_NRA_model_for_NEMO2 (EMC Update) v0.26_NRA_model_for_NEMO2 (EMC Update) v0.29_NRA_model_for_NEMO2 (EMC Update) v0.29.5" xfId="603" xr:uid="{00000000-0005-0000-0000-000005020000}"/>
    <cellStyle name="%_NRA_model_for_NEMO2 (EMC Update) v0.19_NRA_model_for_NEMO2 (EMC Update) v0.26_NRA_model_for_NEMO2 (EMC Update) v0.29_NRA_model_for_NEMO2 (EMC Update) v0.29.5_NRA_model_for_NEMO2 (EMC Update) v0 30 1" xfId="604" xr:uid="{00000000-0005-0000-0000-000006020000}"/>
    <cellStyle name="%_NRA_model_for_NEMO2 (EMC Update) v0.19_NRA_model_for_NEMO2 (EMC Update) v0.29" xfId="605" xr:uid="{00000000-0005-0000-0000-000007020000}"/>
    <cellStyle name="%_NRA_model_for_NEMO2 (EMC Update) v0.19_NRA_model_for_NEMO2 (EMC Update) v0.29.2" xfId="606" xr:uid="{00000000-0005-0000-0000-000008020000}"/>
    <cellStyle name="%_NRA_model_for_NEMO2 (EMC Update) v0.19_NRA_model_for_NEMO2 (EMC Update) v0.29.2_NRA_model_for_NEMO2 (EMC Update) v0 30 1" xfId="607" xr:uid="{00000000-0005-0000-0000-000009020000}"/>
    <cellStyle name="%_NRA_model_for_NEMO2 (EMC Update) v0.19_NRA_model_for_NEMO2 (EMC Update) v0.29.2_NRA_model_for_NEMO2 (EMC Update) v0.29.3" xfId="608" xr:uid="{00000000-0005-0000-0000-00000A020000}"/>
    <cellStyle name="%_NRA_model_for_NEMO2 (EMC Update) v0.19_NRA_model_for_NEMO2 (EMC Update) v0.29.2_NRA_model_for_NEMO2 (EMC Update) v0.29.3_NRA_model_for_NEMO2 (EMC Update) v0 30 1" xfId="609" xr:uid="{00000000-0005-0000-0000-00000B020000}"/>
    <cellStyle name="%_NRA_model_for_NEMO2 (EMC Update) v0.19_NRA_model_for_NEMO2 (EMC Update) v0.29.2_NRA_model_for_NEMO2 (EMC Update) v0.29.3_NRA_model_for_NEMO2 (EMC Update) v0.29.5" xfId="610" xr:uid="{00000000-0005-0000-0000-00000C020000}"/>
    <cellStyle name="%_NRA_model_for_NEMO2 (EMC Update) v0.19_NRA_model_for_NEMO2 (EMC Update) v0.29.2_NRA_model_for_NEMO2 (EMC Update) v0.29.3_NRA_model_for_NEMO2 (EMC Update) v0.29.5_NRA_model_for_NEMO2 (EMC Update) v0 30 1" xfId="611" xr:uid="{00000000-0005-0000-0000-00000D020000}"/>
    <cellStyle name="%_NRA_model_for_NEMO2 (EMC Update) v0.19_NRA_model_for_NEMO2 (EMC Update) v0.29.2_NRA_model_for_NEMO2 (EMC Update) v0.29.4" xfId="612" xr:uid="{00000000-0005-0000-0000-00000E020000}"/>
    <cellStyle name="%_NRA_model_for_NEMO2 (EMC Update) v0.19_NRA_model_for_NEMO2 (EMC Update) v0.29.2_NRA_model_for_NEMO2 (EMC Update) v0.29.4_NRA_model_for_NEMO2 (EMC Update) v0 30 1" xfId="613" xr:uid="{00000000-0005-0000-0000-00000F020000}"/>
    <cellStyle name="%_NRA_model_for_NEMO2 (EMC Update) v0.19_NRA_model_for_NEMO2 (EMC Update) v0.29.2_NRA_model_for_NEMO2 (EMC Update) v0.29.4_NRA_model_for_NEMO2 (EMC Update) v0.29.5" xfId="614" xr:uid="{00000000-0005-0000-0000-000010020000}"/>
    <cellStyle name="%_NRA_model_for_NEMO2 (EMC Update) v0.19_NRA_model_for_NEMO2 (EMC Update) v0.29.2_NRA_model_for_NEMO2 (EMC Update) v0.29.4_NRA_model_for_NEMO2 (EMC Update) v0.29.5_NRA_model_for_NEMO2 (EMC Update) v0 30 1" xfId="615" xr:uid="{00000000-0005-0000-0000-000011020000}"/>
    <cellStyle name="%_NRA_model_for_NEMO2 (EMC Update) v0.19_NRA_model_for_NEMO2 (EMC Update) v0.29.2_NRA_model_for_NEMO2 (EMC Update) v0.29.5" xfId="616" xr:uid="{00000000-0005-0000-0000-000012020000}"/>
    <cellStyle name="%_NRA_model_for_NEMO2 (EMC Update) v0.19_NRA_model_for_NEMO2 (EMC Update) v0.29.2_NRA_model_for_NEMO2 (EMC Update) v0.29.5_NRA_model_for_NEMO2 (EMC Update) v0 30 1" xfId="617" xr:uid="{00000000-0005-0000-0000-000013020000}"/>
    <cellStyle name="%_NRA_model_for_NEMO2 (EMC Update) v0.19_NRA_model_for_NEMO2 (EMC Update) v0.29.3" xfId="618" xr:uid="{00000000-0005-0000-0000-000014020000}"/>
    <cellStyle name="%_NRA_model_for_NEMO2 (EMC Update) v0.19_NRA_model_for_NEMO2 (EMC Update) v0.29.3_NRA_model_for_NEMO2 (EMC Update) v0 30 1" xfId="619" xr:uid="{00000000-0005-0000-0000-000015020000}"/>
    <cellStyle name="%_NRA_model_for_NEMO2 (EMC Update) v0.19_NRA_model_for_NEMO2 (EMC Update) v0.29.3_NRA_model_for_NEMO2 (EMC Update) v0.29.5" xfId="620" xr:uid="{00000000-0005-0000-0000-000016020000}"/>
    <cellStyle name="%_NRA_model_for_NEMO2 (EMC Update) v0.19_NRA_model_for_NEMO2 (EMC Update) v0.29.3_NRA_model_for_NEMO2 (EMC Update) v0.29.5_NRA_model_for_NEMO2 (EMC Update) v0 30 1" xfId="621" xr:uid="{00000000-0005-0000-0000-000017020000}"/>
    <cellStyle name="%_NRA_model_for_NEMO2 (EMC Update) v0.19_NRA_model_for_NEMO2 (EMC Update) v0.29.4" xfId="622" xr:uid="{00000000-0005-0000-0000-000018020000}"/>
    <cellStyle name="%_NRA_model_for_NEMO2 (EMC Update) v0.19_NRA_model_for_NEMO2 (EMC Update) v0.29.4_NRA_model_for_NEMO2 (EMC Update) v0 30 1" xfId="623" xr:uid="{00000000-0005-0000-0000-000019020000}"/>
    <cellStyle name="%_NRA_model_for_NEMO2 (EMC Update) v0.19_NRA_model_for_NEMO2 (EMC Update) v0.29.4_NRA_model_for_NEMO2 (EMC Update) v0.29.5" xfId="624" xr:uid="{00000000-0005-0000-0000-00001A020000}"/>
    <cellStyle name="%_NRA_model_for_NEMO2 (EMC Update) v0.19_NRA_model_for_NEMO2 (EMC Update) v0.29.4_NRA_model_for_NEMO2 (EMC Update) v0.29.5_NRA_model_for_NEMO2 (EMC Update) v0 30 1" xfId="625" xr:uid="{00000000-0005-0000-0000-00001B020000}"/>
    <cellStyle name="%_NRA_model_for_NEMO2 (EMC Update) v0.19_NRA_model_for_NEMO2 (EMC Update) v0.29.5" xfId="626" xr:uid="{00000000-0005-0000-0000-00001C020000}"/>
    <cellStyle name="%_NRA_model_for_NEMO2 (EMC Update) v0.19_NRA_model_for_NEMO2 (EMC Update) v0.29.5_NRA_model_for_NEMO2 (EMC Update) v0 30 1" xfId="627" xr:uid="{00000000-0005-0000-0000-00001D020000}"/>
    <cellStyle name="%_NRA_model_for_NEMO2 (EMC Update) v0.19_NRA_model_for_NEMO2 (EMC Update) v0.29_NRA_model_for_NEMO2 (EMC Update) v0 30 1" xfId="628" xr:uid="{00000000-0005-0000-0000-00001E020000}"/>
    <cellStyle name="%_NRA_model_for_NEMO2 (EMC Update) v0.19_NRA_model_for_NEMO2 (EMC Update) v0.29_NRA_model_for_NEMO2 (EMC Update) v0.29.2" xfId="629" xr:uid="{00000000-0005-0000-0000-00001F020000}"/>
    <cellStyle name="%_NRA_model_for_NEMO2 (EMC Update) v0.19_NRA_model_for_NEMO2 (EMC Update) v0.29_NRA_model_for_NEMO2 (EMC Update) v0.29.2_NRA_model_for_NEMO2 (EMC Update) v0 30 1" xfId="630" xr:uid="{00000000-0005-0000-0000-000020020000}"/>
    <cellStyle name="%_NRA_model_for_NEMO2 (EMC Update) v0.19_NRA_model_for_NEMO2 (EMC Update) v0.29_NRA_model_for_NEMO2 (EMC Update) v0.29.2_NRA_model_for_NEMO2 (EMC Update) v0.29.3" xfId="631" xr:uid="{00000000-0005-0000-0000-000021020000}"/>
    <cellStyle name="%_NRA_model_for_NEMO2 (EMC Update) v0.19_NRA_model_for_NEMO2 (EMC Update) v0.29_NRA_model_for_NEMO2 (EMC Update) v0.29.2_NRA_model_for_NEMO2 (EMC Update) v0.29.3_NRA_model_for_NEMO2 (EMC Update) v0 30 1" xfId="632" xr:uid="{00000000-0005-0000-0000-000022020000}"/>
    <cellStyle name="%_NRA_model_for_NEMO2 (EMC Update) v0.19_NRA_model_for_NEMO2 (EMC Update) v0.29_NRA_model_for_NEMO2 (EMC Update) v0.29.2_NRA_model_for_NEMO2 (EMC Update) v0.29.3_NRA_model_for_NEMO2 (EMC Update) v0.29.5" xfId="633" xr:uid="{00000000-0005-0000-0000-000023020000}"/>
    <cellStyle name="%_NRA_model_for_NEMO2 (EMC Update) v0.19_NRA_model_for_NEMO2 (EMC Update) v0.29_NRA_model_for_NEMO2 (EMC Update) v0.29.2_NRA_model_for_NEMO2 (EMC Update) v0.29.3_NRA_model_for_NEMO2 (EMC Update) v0.29.5_NRA_model_for_NEMO2 (EMC Update) v0 30 1" xfId="634" xr:uid="{00000000-0005-0000-0000-000024020000}"/>
    <cellStyle name="%_NRA_model_for_NEMO2 (EMC Update) v0.19_NRA_model_for_NEMO2 (EMC Update) v0.29_NRA_model_for_NEMO2 (EMC Update) v0.29.2_NRA_model_for_NEMO2 (EMC Update) v0.29.4" xfId="635" xr:uid="{00000000-0005-0000-0000-000025020000}"/>
    <cellStyle name="%_NRA_model_for_NEMO2 (EMC Update) v0.19_NRA_model_for_NEMO2 (EMC Update) v0.29_NRA_model_for_NEMO2 (EMC Update) v0.29.2_NRA_model_for_NEMO2 (EMC Update) v0.29.4_NRA_model_for_NEMO2 (EMC Update) v0 30 1" xfId="636" xr:uid="{00000000-0005-0000-0000-000026020000}"/>
    <cellStyle name="%_NRA_model_for_NEMO2 (EMC Update) v0.19_NRA_model_for_NEMO2 (EMC Update) v0.29_NRA_model_for_NEMO2 (EMC Update) v0.29.2_NRA_model_for_NEMO2 (EMC Update) v0.29.4_NRA_model_for_NEMO2 (EMC Update) v0.29.5" xfId="637" xr:uid="{00000000-0005-0000-0000-000027020000}"/>
    <cellStyle name="%_NRA_model_for_NEMO2 (EMC Update) v0.19_NRA_model_for_NEMO2 (EMC Update) v0.29_NRA_model_for_NEMO2 (EMC Update) v0.29.2_NRA_model_for_NEMO2 (EMC Update) v0.29.4_NRA_model_for_NEMO2 (EMC Update) v0.29.5_NRA_model_for_NEMO2 (EMC Update) v0 30 1" xfId="638" xr:uid="{00000000-0005-0000-0000-000028020000}"/>
    <cellStyle name="%_NRA_model_for_NEMO2 (EMC Update) v0.19_NRA_model_for_NEMO2 (EMC Update) v0.29_NRA_model_for_NEMO2 (EMC Update) v0.29.2_NRA_model_for_NEMO2 (EMC Update) v0.29.5" xfId="639" xr:uid="{00000000-0005-0000-0000-000029020000}"/>
    <cellStyle name="%_NRA_model_for_NEMO2 (EMC Update) v0.19_NRA_model_for_NEMO2 (EMC Update) v0.29_NRA_model_for_NEMO2 (EMC Update) v0.29.2_NRA_model_for_NEMO2 (EMC Update) v0.29.5_NRA_model_for_NEMO2 (EMC Update) v0 30 1" xfId="640" xr:uid="{00000000-0005-0000-0000-00002A020000}"/>
    <cellStyle name="%_NRA_model_for_NEMO2 (EMC Update) v0.19_NRA_model_for_NEMO2 (EMC Update) v0.29_NRA_model_for_NEMO2 (EMC Update) v0.29.3" xfId="641" xr:uid="{00000000-0005-0000-0000-00002B020000}"/>
    <cellStyle name="%_NRA_model_for_NEMO2 (EMC Update) v0.19_NRA_model_for_NEMO2 (EMC Update) v0.29_NRA_model_for_NEMO2 (EMC Update) v0.29.3_NRA_model_for_NEMO2 (EMC Update) v0 30 1" xfId="642" xr:uid="{00000000-0005-0000-0000-00002C020000}"/>
    <cellStyle name="%_NRA_model_for_NEMO2 (EMC Update) v0.19_NRA_model_for_NEMO2 (EMC Update) v0.29_NRA_model_for_NEMO2 (EMC Update) v0.29.3_NRA_model_for_NEMO2 (EMC Update) v0.29.5" xfId="643" xr:uid="{00000000-0005-0000-0000-00002D020000}"/>
    <cellStyle name="%_NRA_model_for_NEMO2 (EMC Update) v0.19_NRA_model_for_NEMO2 (EMC Update) v0.29_NRA_model_for_NEMO2 (EMC Update) v0.29.3_NRA_model_for_NEMO2 (EMC Update) v0.29.5_NRA_model_for_NEMO2 (EMC Update) v0 30 1" xfId="644" xr:uid="{00000000-0005-0000-0000-00002E020000}"/>
    <cellStyle name="%_NRA_model_for_NEMO2 (EMC Update) v0.19_NRA_model_for_NEMO2 (EMC Update) v0.29_NRA_model_for_NEMO2 (EMC Update) v0.29.4" xfId="645" xr:uid="{00000000-0005-0000-0000-00002F020000}"/>
    <cellStyle name="%_NRA_model_for_NEMO2 (EMC Update) v0.19_NRA_model_for_NEMO2 (EMC Update) v0.29_NRA_model_for_NEMO2 (EMC Update) v0.29.4_NRA_model_for_NEMO2 (EMC Update) v0 30 1" xfId="646" xr:uid="{00000000-0005-0000-0000-000030020000}"/>
    <cellStyle name="%_NRA_model_for_NEMO2 (EMC Update) v0.19_NRA_model_for_NEMO2 (EMC Update) v0.29_NRA_model_for_NEMO2 (EMC Update) v0.29.4_NRA_model_for_NEMO2 (EMC Update) v0.29.5" xfId="647" xr:uid="{00000000-0005-0000-0000-000031020000}"/>
    <cellStyle name="%_NRA_model_for_NEMO2 (EMC Update) v0.19_NRA_model_for_NEMO2 (EMC Update) v0.29_NRA_model_for_NEMO2 (EMC Update) v0.29.4_NRA_model_for_NEMO2 (EMC Update) v0.29.5_NRA_model_for_NEMO2 (EMC Update) v0 30 1" xfId="648" xr:uid="{00000000-0005-0000-0000-000032020000}"/>
    <cellStyle name="%_NRA_model_for_NEMO2 (EMC Update) v0.19_NRA_model_for_NEMO2 (EMC Update) v0.29_NRA_model_for_NEMO2 (EMC Update) v0.29.5" xfId="649" xr:uid="{00000000-0005-0000-0000-000033020000}"/>
    <cellStyle name="%_NRA_model_for_NEMO2 (EMC Update) v0.19_NRA_model_for_NEMO2 (EMC Update) v0.29_NRA_model_for_NEMO2 (EMC Update) v0.29.5_NRA_model_for_NEMO2 (EMC Update) v0 30 1" xfId="650" xr:uid="{00000000-0005-0000-0000-000034020000}"/>
    <cellStyle name="%_NRA_model_for_NEMO2 (EMC Update) v0.20" xfId="651" xr:uid="{00000000-0005-0000-0000-000035020000}"/>
    <cellStyle name="%_NRA_model_for_NEMO2 (EMC Update) v0.20_NRA_model_for_NEMO2 (EMC Update) v0 30 1" xfId="652" xr:uid="{00000000-0005-0000-0000-000036020000}"/>
    <cellStyle name="%_NRA_model_for_NEMO2 (EMC Update) v0.20_NRA_model_for_NEMO2 (EMC Update) v0.21" xfId="653" xr:uid="{00000000-0005-0000-0000-000037020000}"/>
    <cellStyle name="%_NRA_model_for_NEMO2 (EMC Update) v0.20_NRA_model_for_NEMO2 (EMC Update) v0.21_NRA_model_for_NEMO2 (EMC Update) v0 30 1" xfId="654" xr:uid="{00000000-0005-0000-0000-000038020000}"/>
    <cellStyle name="%_NRA_model_for_NEMO2 (EMC Update) v0.20_NRA_model_for_NEMO2 (EMC Update) v0.21_NRA_model_for_NEMO2 (EMC Update) v0.22" xfId="655" xr:uid="{00000000-0005-0000-0000-000039020000}"/>
    <cellStyle name="%_NRA_model_for_NEMO2 (EMC Update) v0.20_NRA_model_for_NEMO2 (EMC Update) v0.21_NRA_model_for_NEMO2 (EMC Update) v0.22_NRA_model_for_NEMO2 (EMC Update) v0 30 1" xfId="656" xr:uid="{00000000-0005-0000-0000-00003A020000}"/>
    <cellStyle name="%_NRA_model_for_NEMO2 (EMC Update) v0.20_NRA_model_for_NEMO2 (EMC Update) v0.21_NRA_model_for_NEMO2 (EMC Update) v0.22_NRA_model_for_NEMO2 (EMC Update) v0.25" xfId="657" xr:uid="{00000000-0005-0000-0000-00003B020000}"/>
    <cellStyle name="%_NRA_model_for_NEMO2 (EMC Update) v0.20_NRA_model_for_NEMO2 (EMC Update) v0.21_NRA_model_for_NEMO2 (EMC Update) v0.22_NRA_model_for_NEMO2 (EMC Update) v0.25_NRA_model_for_NEMO2 (EMC Update) v0 30 1" xfId="658" xr:uid="{00000000-0005-0000-0000-00003C020000}"/>
    <cellStyle name="%_NRA_model_for_NEMO2 (EMC Update) v0.20_NRA_model_for_NEMO2 (EMC Update) v0.21_NRA_model_for_NEMO2 (EMC Update) v0.22_NRA_model_for_NEMO2 (EMC Update) v0.25_NRA_model_for_NEMO2 (EMC Update) v0.26" xfId="659" xr:uid="{00000000-0005-0000-0000-00003D020000}"/>
    <cellStyle name="%_NRA_model_for_NEMO2 (EMC Update) v0.20_NRA_model_for_NEMO2 (EMC Update) v0.21_NRA_model_for_NEMO2 (EMC Update) v0.22_NRA_model_for_NEMO2 (EMC Update) v0.25_NRA_model_for_NEMO2 (EMC Update) v0.26_NRA_model_for_NEMO2 (EMC Update) v0 30 1" xfId="660" xr:uid="{00000000-0005-0000-0000-00003E020000}"/>
    <cellStyle name="%_NRA_model_for_NEMO2 (EMC Update) v0.20_NRA_model_for_NEMO2 (EMC Update) v0.21_NRA_model_for_NEMO2 (EMC Update) v0.22_NRA_model_for_NEMO2 (EMC Update) v0.25_NRA_model_for_NEMO2 (EMC Update) v0.26_NRA_model_for_NEMO2 (EMC Update) v0.29" xfId="661" xr:uid="{00000000-0005-0000-0000-00003F020000}"/>
    <cellStyle name="%_NRA_model_for_NEMO2 (EMC Update) v0.20_NRA_model_for_NEMO2 (EMC Update) v0.21_NRA_model_for_NEMO2 (EMC Update) v0.22_NRA_model_for_NEMO2 (EMC Update) v0.25_NRA_model_for_NEMO2 (EMC Update) v0.26_NRA_model_for_NEMO2 (EMC Update) v0.29.2" xfId="662" xr:uid="{00000000-0005-0000-0000-000040020000}"/>
    <cellStyle name="%_NRA_model_for_NEMO2 (EMC Update) v0.20_NRA_model_for_NEMO2 (EMC Update) v0.21_NRA_model_for_NEMO2 (EMC Update) v0.22_NRA_model_for_NEMO2 (EMC Update) v0.25_NRA_model_for_NEMO2 (EMC Update) v0.26_NRA_model_for_NEMO2 (EMC Update) v0.29.3" xfId="663" xr:uid="{00000000-0005-0000-0000-000041020000}"/>
    <cellStyle name="%_NRA_model_for_NEMO2 (EMC Update) v0.20_NRA_model_for_NEMO2 (EMC Update) v0.21_NRA_model_for_NEMO2 (EMC Update) v0.22_NRA_model_for_NEMO2 (EMC Update) v0.25_NRA_model_for_NEMO2 (EMC Update) v0.26_NRA_model_for_NEMO2 (EMC Update) v0.29.4" xfId="664" xr:uid="{00000000-0005-0000-0000-000042020000}"/>
    <cellStyle name="%_NRA_model_for_NEMO2 (EMC Update) v0.20_NRA_model_for_NEMO2 (EMC Update) v0.21_NRA_model_for_NEMO2 (EMC Update) v0.22_NRA_model_for_NEMO2 (EMC Update) v0.25_NRA_model_for_NEMO2 (EMC Update) v0.26_NRA_model_for_NEMO2 (EMC Update) v0.29.5" xfId="665" xr:uid="{00000000-0005-0000-0000-000043020000}"/>
    <cellStyle name="%_NRA_model_for_NEMO2 (EMC Update) v0.20_NRA_model_for_NEMO2 (EMC Update) v0.21_NRA_model_for_NEMO2 (EMC Update) v0.22_NRA_model_for_NEMO2 (EMC Update) v0.25_NRA_model_for_NEMO2 (EMC Update) v0.29" xfId="666" xr:uid="{00000000-0005-0000-0000-000044020000}"/>
    <cellStyle name="%_NRA_model_for_NEMO2 (EMC Update) v0.20_NRA_model_for_NEMO2 (EMC Update) v0.21_NRA_model_for_NEMO2 (EMC Update) v0.22_NRA_model_for_NEMO2 (EMC Update) v0.25_NRA_model_for_NEMO2 (EMC Update) v0.29.2" xfId="667" xr:uid="{00000000-0005-0000-0000-000045020000}"/>
    <cellStyle name="%_NRA_model_for_NEMO2 (EMC Update) v0.20_NRA_model_for_NEMO2 (EMC Update) v0.21_NRA_model_for_NEMO2 (EMC Update) v0.22_NRA_model_for_NEMO2 (EMC Update) v0.25_NRA_model_for_NEMO2 (EMC Update) v0.29.2_NRA_model_for_NEMO2 (EMC Update) v0 30 1" xfId="668" xr:uid="{00000000-0005-0000-0000-000046020000}"/>
    <cellStyle name="%_NRA_model_for_NEMO2 (EMC Update) v0.20_NRA_model_for_NEMO2 (EMC Update) v0.21_NRA_model_for_NEMO2 (EMC Update) v0.22_NRA_model_for_NEMO2 (EMC Update) v0.25_NRA_model_for_NEMO2 (EMC Update) v0.29.2_NRA_model_for_NEMO2 (EMC Update) v0.29.3" xfId="669" xr:uid="{00000000-0005-0000-0000-000047020000}"/>
    <cellStyle name="%_NRA_model_for_NEMO2 (EMC Update) v0.20_NRA_model_for_NEMO2 (EMC Update) v0.21_NRA_model_for_NEMO2 (EMC Update) v0.22_NRA_model_for_NEMO2 (EMC Update) v0.25_NRA_model_for_NEMO2 (EMC Update) v0.29.2_NRA_model_for_NEMO2 (EMC Update) v0.29.4" xfId="670" xr:uid="{00000000-0005-0000-0000-000048020000}"/>
    <cellStyle name="%_NRA_model_for_NEMO2 (EMC Update) v0.20_NRA_model_for_NEMO2 (EMC Update) v0.21_NRA_model_for_NEMO2 (EMC Update) v0.22_NRA_model_for_NEMO2 (EMC Update) v0.25_NRA_model_for_NEMO2 (EMC Update) v0.29.2_NRA_model_for_NEMO2 (EMC Update) v0.29.5" xfId="671" xr:uid="{00000000-0005-0000-0000-000049020000}"/>
    <cellStyle name="%_NRA_model_for_NEMO2 (EMC Update) v0.20_NRA_model_for_NEMO2 (EMC Update) v0.21_NRA_model_for_NEMO2 (EMC Update) v0.22_NRA_model_for_NEMO2 (EMC Update) v0.25_NRA_model_for_NEMO2 (EMC Update) v0.29.3" xfId="672" xr:uid="{00000000-0005-0000-0000-00004A020000}"/>
    <cellStyle name="%_NRA_model_for_NEMO2 (EMC Update) v0.20_NRA_model_for_NEMO2 (EMC Update) v0.21_NRA_model_for_NEMO2 (EMC Update) v0.22_NRA_model_for_NEMO2 (EMC Update) v0.25_NRA_model_for_NEMO2 (EMC Update) v0.29.3_NRA_model_for_NEMO2 (EMC Update) v0 30 1" xfId="673" xr:uid="{00000000-0005-0000-0000-00004B020000}"/>
    <cellStyle name="%_NRA_model_for_NEMO2 (EMC Update) v0.20_NRA_model_for_NEMO2 (EMC Update) v0.21_NRA_model_for_NEMO2 (EMC Update) v0.22_NRA_model_for_NEMO2 (EMC Update) v0.25_NRA_model_for_NEMO2 (EMC Update) v0.29.3_NRA_model_for_NEMO2 (EMC Update) v0.29.5" xfId="674" xr:uid="{00000000-0005-0000-0000-00004C020000}"/>
    <cellStyle name="%_NRA_model_for_NEMO2 (EMC Update) v0.20_NRA_model_for_NEMO2 (EMC Update) v0.21_NRA_model_for_NEMO2 (EMC Update) v0.22_NRA_model_for_NEMO2 (EMC Update) v0.25_NRA_model_for_NEMO2 (EMC Update) v0.29.4" xfId="675" xr:uid="{00000000-0005-0000-0000-00004D020000}"/>
    <cellStyle name="%_NRA_model_for_NEMO2 (EMC Update) v0.20_NRA_model_for_NEMO2 (EMC Update) v0.21_NRA_model_for_NEMO2 (EMC Update) v0.22_NRA_model_for_NEMO2 (EMC Update) v0.25_NRA_model_for_NEMO2 (EMC Update) v0.29.4_NRA_model_for_NEMO2 (EMC Update) v0 30 1" xfId="676" xr:uid="{00000000-0005-0000-0000-00004E020000}"/>
    <cellStyle name="%_NRA_model_for_NEMO2 (EMC Update) v0.20_NRA_model_for_NEMO2 (EMC Update) v0.21_NRA_model_for_NEMO2 (EMC Update) v0.22_NRA_model_for_NEMO2 (EMC Update) v0.25_NRA_model_for_NEMO2 (EMC Update) v0.29.4_NRA_model_for_NEMO2 (EMC Update) v0.29.5" xfId="677" xr:uid="{00000000-0005-0000-0000-00004F020000}"/>
    <cellStyle name="%_NRA_model_for_NEMO2 (EMC Update) v0.20_NRA_model_for_NEMO2 (EMC Update) v0.21_NRA_model_for_NEMO2 (EMC Update) v0.22_NRA_model_for_NEMO2 (EMC Update) v0.25_NRA_model_for_NEMO2 (EMC Update) v0.29.5" xfId="678" xr:uid="{00000000-0005-0000-0000-000050020000}"/>
    <cellStyle name="%_NRA_model_for_NEMO2 (EMC Update) v0.20_NRA_model_for_NEMO2 (EMC Update) v0.21_NRA_model_for_NEMO2 (EMC Update) v0.22_NRA_model_for_NEMO2 (EMC Update) v0.25_NRA_model_for_NEMO2 (EMC Update) v0.29.5_NRA_model_for_NEMO2 (EMC Update) v0 30 1" xfId="679" xr:uid="{00000000-0005-0000-0000-000051020000}"/>
    <cellStyle name="%_NRA_model_for_NEMO2 (EMC Update) v0.20_NRA_model_for_NEMO2 (EMC Update) v0.21_NRA_model_for_NEMO2 (EMC Update) v0.22_NRA_model_for_NEMO2 (EMC Update) v0.25_NRA_model_for_NEMO2 (EMC Update) v0.29_NRA_model_for_NEMO2 (EMC Update) v0 30 1" xfId="680" xr:uid="{00000000-0005-0000-0000-000052020000}"/>
    <cellStyle name="%_NRA_model_for_NEMO2 (EMC Update) v0.20_NRA_model_for_NEMO2 (EMC Update) v0.21_NRA_model_for_NEMO2 (EMC Update) v0.22_NRA_model_for_NEMO2 (EMC Update) v0.25_NRA_model_for_NEMO2 (EMC Update) v0.29_NRA_model_for_NEMO2 (EMC Update) v0.29.2" xfId="681" xr:uid="{00000000-0005-0000-0000-000053020000}"/>
    <cellStyle name="%_NRA_model_for_NEMO2 (EMC Update) v0.20_NRA_model_for_NEMO2 (EMC Update) v0.21_NRA_model_for_NEMO2 (EMC Update) v0.22_NRA_model_for_NEMO2 (EMC Update) v0.25_NRA_model_for_NEMO2 (EMC Update) v0.29_NRA_model_for_NEMO2 (EMC Update) v0.29.3" xfId="682" xr:uid="{00000000-0005-0000-0000-000054020000}"/>
    <cellStyle name="%_NRA_model_for_NEMO2 (EMC Update) v0.20_NRA_model_for_NEMO2 (EMC Update) v0.21_NRA_model_for_NEMO2 (EMC Update) v0.22_NRA_model_for_NEMO2 (EMC Update) v0.25_NRA_model_for_NEMO2 (EMC Update) v0.29_NRA_model_for_NEMO2 (EMC Update) v0.29.4" xfId="683" xr:uid="{00000000-0005-0000-0000-000055020000}"/>
    <cellStyle name="%_NRA_model_for_NEMO2 (EMC Update) v0.20_NRA_model_for_NEMO2 (EMC Update) v0.21_NRA_model_for_NEMO2 (EMC Update) v0.22_NRA_model_for_NEMO2 (EMC Update) v0.25_NRA_model_for_NEMO2 (EMC Update) v0.29_NRA_model_for_NEMO2 (EMC Update) v0.29.5" xfId="684" xr:uid="{00000000-0005-0000-0000-000056020000}"/>
    <cellStyle name="%_NRA_model_for_NEMO2 (EMC Update) v0.20_NRA_model_for_NEMO2 (EMC Update) v0.21_NRA_model_for_NEMO2 (EMC Update) v0.22_NRA_model_for_NEMO2 (EMC Update) v0.26" xfId="685" xr:uid="{00000000-0005-0000-0000-000057020000}"/>
    <cellStyle name="%_NRA_model_for_NEMO2 (EMC Update) v0.20_NRA_model_for_NEMO2 (EMC Update) v0.21_NRA_model_for_NEMO2 (EMC Update) v0.22_NRA_model_for_NEMO2 (EMC Update) v0.26_NRA_model_for_NEMO2 (EMC Update) v0 30 1" xfId="686" xr:uid="{00000000-0005-0000-0000-000058020000}"/>
    <cellStyle name="%_NRA_model_for_NEMO2 (EMC Update) v0.20_NRA_model_for_NEMO2 (EMC Update) v0.21_NRA_model_for_NEMO2 (EMC Update) v0.22_NRA_model_for_NEMO2 (EMC Update) v0.26_NRA_model_for_NEMO2 (EMC Update) v0.29" xfId="687" xr:uid="{00000000-0005-0000-0000-000059020000}"/>
    <cellStyle name="%_NRA_model_for_NEMO2 (EMC Update) v0.20_NRA_model_for_NEMO2 (EMC Update) v0.21_NRA_model_for_NEMO2 (EMC Update) v0.22_NRA_model_for_NEMO2 (EMC Update) v0.26_NRA_model_for_NEMO2 (EMC Update) v0.29.2" xfId="688" xr:uid="{00000000-0005-0000-0000-00005A020000}"/>
    <cellStyle name="%_NRA_model_for_NEMO2 (EMC Update) v0.20_NRA_model_for_NEMO2 (EMC Update) v0.21_NRA_model_for_NEMO2 (EMC Update) v0.22_NRA_model_for_NEMO2 (EMC Update) v0.26_NRA_model_for_NEMO2 (EMC Update) v0.29.2_NRA_model_for_NEMO2 (EMC Update) v0 30 1" xfId="689" xr:uid="{00000000-0005-0000-0000-00005B020000}"/>
    <cellStyle name="%_NRA_model_for_NEMO2 (EMC Update) v0.20_NRA_model_for_NEMO2 (EMC Update) v0.21_NRA_model_for_NEMO2 (EMC Update) v0.22_NRA_model_for_NEMO2 (EMC Update) v0.26_NRA_model_for_NEMO2 (EMC Update) v0.29.2_NRA_model_for_NEMO2 (EMC Update) v0.29.3" xfId="690" xr:uid="{00000000-0005-0000-0000-00005C020000}"/>
    <cellStyle name="%_NRA_model_for_NEMO2 (EMC Update) v0.20_NRA_model_for_NEMO2 (EMC Update) v0.21_NRA_model_for_NEMO2 (EMC Update) v0.22_NRA_model_for_NEMO2 (EMC Update) v0.26_NRA_model_for_NEMO2 (EMC Update) v0.29.2_NRA_model_for_NEMO2 (EMC Update) v0.29.4" xfId="691" xr:uid="{00000000-0005-0000-0000-00005D020000}"/>
    <cellStyle name="%_NRA_model_for_NEMO2 (EMC Update) v0.20_NRA_model_for_NEMO2 (EMC Update) v0.21_NRA_model_for_NEMO2 (EMC Update) v0.22_NRA_model_for_NEMO2 (EMC Update) v0.26_NRA_model_for_NEMO2 (EMC Update) v0.29.2_NRA_model_for_NEMO2 (EMC Update) v0.29.5" xfId="692" xr:uid="{00000000-0005-0000-0000-00005E020000}"/>
    <cellStyle name="%_NRA_model_for_NEMO2 (EMC Update) v0.20_NRA_model_for_NEMO2 (EMC Update) v0.21_NRA_model_for_NEMO2 (EMC Update) v0.22_NRA_model_for_NEMO2 (EMC Update) v0.26_NRA_model_for_NEMO2 (EMC Update) v0.29.3" xfId="693" xr:uid="{00000000-0005-0000-0000-00005F020000}"/>
    <cellStyle name="%_NRA_model_for_NEMO2 (EMC Update) v0.20_NRA_model_for_NEMO2 (EMC Update) v0.21_NRA_model_for_NEMO2 (EMC Update) v0.22_NRA_model_for_NEMO2 (EMC Update) v0.26_NRA_model_for_NEMO2 (EMC Update) v0.29.3_NRA_model_for_NEMO2 (EMC Update) v0 30 1" xfId="694" xr:uid="{00000000-0005-0000-0000-000060020000}"/>
    <cellStyle name="%_NRA_model_for_NEMO2 (EMC Update) v0.20_NRA_model_for_NEMO2 (EMC Update) v0.21_NRA_model_for_NEMO2 (EMC Update) v0.22_NRA_model_for_NEMO2 (EMC Update) v0.26_NRA_model_for_NEMO2 (EMC Update) v0.29.3_NRA_model_for_NEMO2 (EMC Update) v0.29.5" xfId="695" xr:uid="{00000000-0005-0000-0000-000061020000}"/>
    <cellStyle name="%_NRA_model_for_NEMO2 (EMC Update) v0.20_NRA_model_for_NEMO2 (EMC Update) v0.21_NRA_model_for_NEMO2 (EMC Update) v0.22_NRA_model_for_NEMO2 (EMC Update) v0.26_NRA_model_for_NEMO2 (EMC Update) v0.29.4" xfId="696" xr:uid="{00000000-0005-0000-0000-000062020000}"/>
    <cellStyle name="%_NRA_model_for_NEMO2 (EMC Update) v0.20_NRA_model_for_NEMO2 (EMC Update) v0.21_NRA_model_for_NEMO2 (EMC Update) v0.22_NRA_model_for_NEMO2 (EMC Update) v0.26_NRA_model_for_NEMO2 (EMC Update) v0.29.4_NRA_model_for_NEMO2 (EMC Update) v0 30 1" xfId="697" xr:uid="{00000000-0005-0000-0000-000063020000}"/>
    <cellStyle name="%_NRA_model_for_NEMO2 (EMC Update) v0.20_NRA_model_for_NEMO2 (EMC Update) v0.21_NRA_model_for_NEMO2 (EMC Update) v0.22_NRA_model_for_NEMO2 (EMC Update) v0.26_NRA_model_for_NEMO2 (EMC Update) v0.29.4_NRA_model_for_NEMO2 (EMC Update) v0.29.5" xfId="698" xr:uid="{00000000-0005-0000-0000-000064020000}"/>
    <cellStyle name="%_NRA_model_for_NEMO2 (EMC Update) v0.20_NRA_model_for_NEMO2 (EMC Update) v0.21_NRA_model_for_NEMO2 (EMC Update) v0.22_NRA_model_for_NEMO2 (EMC Update) v0.26_NRA_model_for_NEMO2 (EMC Update) v0.29.5" xfId="699" xr:uid="{00000000-0005-0000-0000-000065020000}"/>
    <cellStyle name="%_NRA_model_for_NEMO2 (EMC Update) v0.20_NRA_model_for_NEMO2 (EMC Update) v0.21_NRA_model_for_NEMO2 (EMC Update) v0.22_NRA_model_for_NEMO2 (EMC Update) v0.26_NRA_model_for_NEMO2 (EMC Update) v0.29.5_NRA_model_for_NEMO2 (EMC Update) v0 30 1" xfId="700" xr:uid="{00000000-0005-0000-0000-000066020000}"/>
    <cellStyle name="%_NRA_model_for_NEMO2 (EMC Update) v0.20_NRA_model_for_NEMO2 (EMC Update) v0.21_NRA_model_for_NEMO2 (EMC Update) v0.22_NRA_model_for_NEMO2 (EMC Update) v0.26_NRA_model_for_NEMO2 (EMC Update) v0.29_NRA_model_for_NEMO2 (EMC Update) v0 30 1" xfId="701" xr:uid="{00000000-0005-0000-0000-000067020000}"/>
    <cellStyle name="%_NRA_model_for_NEMO2 (EMC Update) v0.20_NRA_model_for_NEMO2 (EMC Update) v0.21_NRA_model_for_NEMO2 (EMC Update) v0.22_NRA_model_for_NEMO2 (EMC Update) v0.26_NRA_model_for_NEMO2 (EMC Update) v0.29_NRA_model_for_NEMO2 (EMC Update) v0.29.2" xfId="702" xr:uid="{00000000-0005-0000-0000-000068020000}"/>
    <cellStyle name="%_NRA_model_for_NEMO2 (EMC Update) v0.20_NRA_model_for_NEMO2 (EMC Update) v0.21_NRA_model_for_NEMO2 (EMC Update) v0.22_NRA_model_for_NEMO2 (EMC Update) v0.26_NRA_model_for_NEMO2 (EMC Update) v0.29_NRA_model_for_NEMO2 (EMC Update) v0.29.3" xfId="703" xr:uid="{00000000-0005-0000-0000-000069020000}"/>
    <cellStyle name="%_NRA_model_for_NEMO2 (EMC Update) v0.20_NRA_model_for_NEMO2 (EMC Update) v0.21_NRA_model_for_NEMO2 (EMC Update) v0.22_NRA_model_for_NEMO2 (EMC Update) v0.26_NRA_model_for_NEMO2 (EMC Update) v0.29_NRA_model_for_NEMO2 (EMC Update) v0.29.4" xfId="704" xr:uid="{00000000-0005-0000-0000-00006A020000}"/>
    <cellStyle name="%_NRA_model_for_NEMO2 (EMC Update) v0.20_NRA_model_for_NEMO2 (EMC Update) v0.21_NRA_model_for_NEMO2 (EMC Update) v0.22_NRA_model_for_NEMO2 (EMC Update) v0.26_NRA_model_for_NEMO2 (EMC Update) v0.29_NRA_model_for_NEMO2 (EMC Update) v0.29.5" xfId="705" xr:uid="{00000000-0005-0000-0000-00006B020000}"/>
    <cellStyle name="%_NRA_model_for_NEMO2 (EMC Update) v0.20_NRA_model_for_NEMO2 (EMC Update) v0.21_NRA_model_for_NEMO2 (EMC Update) v0.22_NRA_model_for_NEMO2 (EMC Update) v0.29" xfId="706" xr:uid="{00000000-0005-0000-0000-00006C020000}"/>
    <cellStyle name="%_NRA_model_for_NEMO2 (EMC Update) v0.20_NRA_model_for_NEMO2 (EMC Update) v0.21_NRA_model_for_NEMO2 (EMC Update) v0.22_NRA_model_for_NEMO2 (EMC Update) v0.29.2" xfId="707" xr:uid="{00000000-0005-0000-0000-00006D020000}"/>
    <cellStyle name="%_NRA_model_for_NEMO2 (EMC Update) v0.20_NRA_model_for_NEMO2 (EMC Update) v0.21_NRA_model_for_NEMO2 (EMC Update) v0.22_NRA_model_for_NEMO2 (EMC Update) v0.29.2_NRA_model_for_NEMO2 (EMC Update) v0 30 1" xfId="708" xr:uid="{00000000-0005-0000-0000-00006E020000}"/>
    <cellStyle name="%_NRA_model_for_NEMO2 (EMC Update) v0.20_NRA_model_for_NEMO2 (EMC Update) v0.21_NRA_model_for_NEMO2 (EMC Update) v0.22_NRA_model_for_NEMO2 (EMC Update) v0.29.2_NRA_model_for_NEMO2 (EMC Update) v0.29.3" xfId="709" xr:uid="{00000000-0005-0000-0000-00006F020000}"/>
    <cellStyle name="%_NRA_model_for_NEMO2 (EMC Update) v0.20_NRA_model_for_NEMO2 (EMC Update) v0.21_NRA_model_for_NEMO2 (EMC Update) v0.22_NRA_model_for_NEMO2 (EMC Update) v0.29.2_NRA_model_for_NEMO2 (EMC Update) v0.29.3_NRA_model_for_NEMO2 (EMC Update) v0 30 1" xfId="710" xr:uid="{00000000-0005-0000-0000-000070020000}"/>
    <cellStyle name="%_NRA_model_for_NEMO2 (EMC Update) v0.20_NRA_model_for_NEMO2 (EMC Update) v0.21_NRA_model_for_NEMO2 (EMC Update) v0.22_NRA_model_for_NEMO2 (EMC Update) v0.29.2_NRA_model_for_NEMO2 (EMC Update) v0.29.3_NRA_model_for_NEMO2 (EMC Update) v0.29.5" xfId="711" xr:uid="{00000000-0005-0000-0000-000071020000}"/>
    <cellStyle name="%_NRA_model_for_NEMO2 (EMC Update) v0.20_NRA_model_for_NEMO2 (EMC Update) v0.21_NRA_model_for_NEMO2 (EMC Update) v0.22_NRA_model_for_NEMO2 (EMC Update) v0.29.2_NRA_model_for_NEMO2 (EMC Update) v0.29.4" xfId="712" xr:uid="{00000000-0005-0000-0000-000072020000}"/>
    <cellStyle name="%_NRA_model_for_NEMO2 (EMC Update) v0.20_NRA_model_for_NEMO2 (EMC Update) v0.21_NRA_model_for_NEMO2 (EMC Update) v0.22_NRA_model_for_NEMO2 (EMC Update) v0.29.2_NRA_model_for_NEMO2 (EMC Update) v0.29.4_NRA_model_for_NEMO2 (EMC Update) v0 30 1" xfId="713" xr:uid="{00000000-0005-0000-0000-000073020000}"/>
    <cellStyle name="%_NRA_model_for_NEMO2 (EMC Update) v0.20_NRA_model_for_NEMO2 (EMC Update) v0.21_NRA_model_for_NEMO2 (EMC Update) v0.22_NRA_model_for_NEMO2 (EMC Update) v0.29.2_NRA_model_for_NEMO2 (EMC Update) v0.29.4_NRA_model_for_NEMO2 (EMC Update) v0.29.5" xfId="714" xr:uid="{00000000-0005-0000-0000-000074020000}"/>
    <cellStyle name="%_NRA_model_for_NEMO2 (EMC Update) v0.20_NRA_model_for_NEMO2 (EMC Update) v0.21_NRA_model_for_NEMO2 (EMC Update) v0.22_NRA_model_for_NEMO2 (EMC Update) v0.29.2_NRA_model_for_NEMO2 (EMC Update) v0.29.5" xfId="715" xr:uid="{00000000-0005-0000-0000-000075020000}"/>
    <cellStyle name="%_NRA_model_for_NEMO2 (EMC Update) v0.20_NRA_model_for_NEMO2 (EMC Update) v0.21_NRA_model_for_NEMO2 (EMC Update) v0.22_NRA_model_for_NEMO2 (EMC Update) v0.29.2_NRA_model_for_NEMO2 (EMC Update) v0.29.5_NRA_model_for_NEMO2 (EMC Update) v0 30 1" xfId="716" xr:uid="{00000000-0005-0000-0000-000076020000}"/>
    <cellStyle name="%_NRA_model_for_NEMO2 (EMC Update) v0.20_NRA_model_for_NEMO2 (EMC Update) v0.21_NRA_model_for_NEMO2 (EMC Update) v0.22_NRA_model_for_NEMO2 (EMC Update) v0.29.3" xfId="717" xr:uid="{00000000-0005-0000-0000-000077020000}"/>
    <cellStyle name="%_NRA_model_for_NEMO2 (EMC Update) v0.20_NRA_model_for_NEMO2 (EMC Update) v0.21_NRA_model_for_NEMO2 (EMC Update) v0.22_NRA_model_for_NEMO2 (EMC Update) v0.29.3_NRA_model_for_NEMO2 (EMC Update) v0 30 1" xfId="718" xr:uid="{00000000-0005-0000-0000-000078020000}"/>
    <cellStyle name="%_NRA_model_for_NEMO2 (EMC Update) v0.20_NRA_model_for_NEMO2 (EMC Update) v0.21_NRA_model_for_NEMO2 (EMC Update) v0.22_NRA_model_for_NEMO2 (EMC Update) v0.29.3_NRA_model_for_NEMO2 (EMC Update) v0.29.5" xfId="719" xr:uid="{00000000-0005-0000-0000-000079020000}"/>
    <cellStyle name="%_NRA_model_for_NEMO2 (EMC Update) v0.20_NRA_model_for_NEMO2 (EMC Update) v0.21_NRA_model_for_NEMO2 (EMC Update) v0.22_NRA_model_for_NEMO2 (EMC Update) v0.29.3_NRA_model_for_NEMO2 (EMC Update) v0.29.5_NRA_model_for_NEMO2 (EMC Update) v0 30 1" xfId="720" xr:uid="{00000000-0005-0000-0000-00007A020000}"/>
    <cellStyle name="%_NRA_model_for_NEMO2 (EMC Update) v0.20_NRA_model_for_NEMO2 (EMC Update) v0.21_NRA_model_for_NEMO2 (EMC Update) v0.22_NRA_model_for_NEMO2 (EMC Update) v0.29.4" xfId="721" xr:uid="{00000000-0005-0000-0000-00007B020000}"/>
    <cellStyle name="%_NRA_model_for_NEMO2 (EMC Update) v0.20_NRA_model_for_NEMO2 (EMC Update) v0.21_NRA_model_for_NEMO2 (EMC Update) v0.22_NRA_model_for_NEMO2 (EMC Update) v0.29.4_NRA_model_for_NEMO2 (EMC Update) v0 30 1" xfId="722" xr:uid="{00000000-0005-0000-0000-00007C020000}"/>
    <cellStyle name="%_NRA_model_for_NEMO2 (EMC Update) v0.20_NRA_model_for_NEMO2 (EMC Update) v0.21_NRA_model_for_NEMO2 (EMC Update) v0.22_NRA_model_for_NEMO2 (EMC Update) v0.29.4_NRA_model_for_NEMO2 (EMC Update) v0.29.5" xfId="723" xr:uid="{00000000-0005-0000-0000-00007D020000}"/>
    <cellStyle name="%_NRA_model_for_NEMO2 (EMC Update) v0.20_NRA_model_for_NEMO2 (EMC Update) v0.21_NRA_model_for_NEMO2 (EMC Update) v0.22_NRA_model_for_NEMO2 (EMC Update) v0.29.4_NRA_model_for_NEMO2 (EMC Update) v0.29.5_NRA_model_for_NEMO2 (EMC Update) v0 30 1" xfId="724" xr:uid="{00000000-0005-0000-0000-00007E020000}"/>
    <cellStyle name="%_NRA_model_for_NEMO2 (EMC Update) v0.20_NRA_model_for_NEMO2 (EMC Update) v0.21_NRA_model_for_NEMO2 (EMC Update) v0.22_NRA_model_for_NEMO2 (EMC Update) v0.29.5" xfId="725" xr:uid="{00000000-0005-0000-0000-00007F020000}"/>
    <cellStyle name="%_NRA_model_for_NEMO2 (EMC Update) v0.20_NRA_model_for_NEMO2 (EMC Update) v0.21_NRA_model_for_NEMO2 (EMC Update) v0.22_NRA_model_for_NEMO2 (EMC Update) v0.29.5_NRA_model_for_NEMO2 (EMC Update) v0 30 1" xfId="726" xr:uid="{00000000-0005-0000-0000-000080020000}"/>
    <cellStyle name="%_NRA_model_for_NEMO2 (EMC Update) v0.20_NRA_model_for_NEMO2 (EMC Update) v0.21_NRA_model_for_NEMO2 (EMC Update) v0.22_NRA_model_for_NEMO2 (EMC Update) v0.29_NRA_model_for_NEMO2 (EMC Update) v0 30 1" xfId="727" xr:uid="{00000000-0005-0000-0000-000081020000}"/>
    <cellStyle name="%_NRA_model_for_NEMO2 (EMC Update) v0.20_NRA_model_for_NEMO2 (EMC Update) v0.21_NRA_model_for_NEMO2 (EMC Update) v0.22_NRA_model_for_NEMO2 (EMC Update) v0.29_NRA_model_for_NEMO2 (EMC Update) v0.29.2" xfId="728" xr:uid="{00000000-0005-0000-0000-000082020000}"/>
    <cellStyle name="%_NRA_model_for_NEMO2 (EMC Update) v0.20_NRA_model_for_NEMO2 (EMC Update) v0.21_NRA_model_for_NEMO2 (EMC Update) v0.22_NRA_model_for_NEMO2 (EMC Update) v0.29_NRA_model_for_NEMO2 (EMC Update) v0.29.2_NRA_model_for_NEMO2 (EMC Update) v0 30 1" xfId="729" xr:uid="{00000000-0005-0000-0000-000083020000}"/>
    <cellStyle name="%_NRA_model_for_NEMO2 (EMC Update) v0.20_NRA_model_for_NEMO2 (EMC Update) v0.21_NRA_model_for_NEMO2 (EMC Update) v0.22_NRA_model_for_NEMO2 (EMC Update) v0.29_NRA_model_for_NEMO2 (EMC Update) v0.29.2_NRA_model_for_NEMO2 (EMC Update) v0.29.3" xfId="730" xr:uid="{00000000-0005-0000-0000-000084020000}"/>
    <cellStyle name="%_NRA_model_for_NEMO2 (EMC Update) v0.20_NRA_model_for_NEMO2 (EMC Update) v0.21_NRA_model_for_NEMO2 (EMC Update) v0.22_NRA_model_for_NEMO2 (EMC Update) v0.29_NRA_model_for_NEMO2 (EMC Update) v0.29.2_NRA_model_for_NEMO2 (EMC Update) v0.29.4" xfId="731" xr:uid="{00000000-0005-0000-0000-000085020000}"/>
    <cellStyle name="%_NRA_model_for_NEMO2 (EMC Update) v0.20_NRA_model_for_NEMO2 (EMC Update) v0.21_NRA_model_for_NEMO2 (EMC Update) v0.22_NRA_model_for_NEMO2 (EMC Update) v0.29_NRA_model_for_NEMO2 (EMC Update) v0.29.2_NRA_model_for_NEMO2 (EMC Update) v0.29.5" xfId="732" xr:uid="{00000000-0005-0000-0000-000086020000}"/>
    <cellStyle name="%_NRA_model_for_NEMO2 (EMC Update) v0.20_NRA_model_for_NEMO2 (EMC Update) v0.21_NRA_model_for_NEMO2 (EMC Update) v0.22_NRA_model_for_NEMO2 (EMC Update) v0.29_NRA_model_for_NEMO2 (EMC Update) v0.29.3" xfId="733" xr:uid="{00000000-0005-0000-0000-000087020000}"/>
    <cellStyle name="%_NRA_model_for_NEMO2 (EMC Update) v0.20_NRA_model_for_NEMO2 (EMC Update) v0.21_NRA_model_for_NEMO2 (EMC Update) v0.22_NRA_model_for_NEMO2 (EMC Update) v0.29_NRA_model_for_NEMO2 (EMC Update) v0.29.3_NRA_model_for_NEMO2 (EMC Update) v0 30 1" xfId="734" xr:uid="{00000000-0005-0000-0000-000088020000}"/>
    <cellStyle name="%_NRA_model_for_NEMO2 (EMC Update) v0.20_NRA_model_for_NEMO2 (EMC Update) v0.21_NRA_model_for_NEMO2 (EMC Update) v0.22_NRA_model_for_NEMO2 (EMC Update) v0.29_NRA_model_for_NEMO2 (EMC Update) v0.29.3_NRA_model_for_NEMO2 (EMC Update) v0.29.5" xfId="735" xr:uid="{00000000-0005-0000-0000-000089020000}"/>
    <cellStyle name="%_NRA_model_for_NEMO2 (EMC Update) v0.20_NRA_model_for_NEMO2 (EMC Update) v0.21_NRA_model_for_NEMO2 (EMC Update) v0.22_NRA_model_for_NEMO2 (EMC Update) v0.29_NRA_model_for_NEMO2 (EMC Update) v0.29.4" xfId="736" xr:uid="{00000000-0005-0000-0000-00008A020000}"/>
    <cellStyle name="%_NRA_model_for_NEMO2 (EMC Update) v0.20_NRA_model_for_NEMO2 (EMC Update) v0.21_NRA_model_for_NEMO2 (EMC Update) v0.22_NRA_model_for_NEMO2 (EMC Update) v0.29_NRA_model_for_NEMO2 (EMC Update) v0.29.4_NRA_model_for_NEMO2 (EMC Update) v0 30 1" xfId="737" xr:uid="{00000000-0005-0000-0000-00008B020000}"/>
    <cellStyle name="%_NRA_model_for_NEMO2 (EMC Update) v0.20_NRA_model_for_NEMO2 (EMC Update) v0.21_NRA_model_for_NEMO2 (EMC Update) v0.22_NRA_model_for_NEMO2 (EMC Update) v0.29_NRA_model_for_NEMO2 (EMC Update) v0.29.4_NRA_model_for_NEMO2 (EMC Update) v0.29.5" xfId="738" xr:uid="{00000000-0005-0000-0000-00008C020000}"/>
    <cellStyle name="%_NRA_model_for_NEMO2 (EMC Update) v0.20_NRA_model_for_NEMO2 (EMC Update) v0.21_NRA_model_for_NEMO2 (EMC Update) v0.22_NRA_model_for_NEMO2 (EMC Update) v0.29_NRA_model_for_NEMO2 (EMC Update) v0.29.5" xfId="739" xr:uid="{00000000-0005-0000-0000-00008D020000}"/>
    <cellStyle name="%_NRA_model_for_NEMO2 (EMC Update) v0.20_NRA_model_for_NEMO2 (EMC Update) v0.21_NRA_model_for_NEMO2 (EMC Update) v0.22_NRA_model_for_NEMO2 (EMC Update) v0.29_NRA_model_for_NEMO2 (EMC Update) v0.29.5_NRA_model_for_NEMO2 (EMC Update) v0 30 1" xfId="740" xr:uid="{00000000-0005-0000-0000-00008E020000}"/>
    <cellStyle name="%_NRA_model_for_NEMO2 (EMC Update) v0.20_NRA_model_for_NEMO2 (EMC Update) v0.21_NRA_model_for_NEMO2 (EMC Update) v0.25" xfId="741" xr:uid="{00000000-0005-0000-0000-00008F020000}"/>
    <cellStyle name="%_NRA_model_for_NEMO2 (EMC Update) v0.20_NRA_model_for_NEMO2 (EMC Update) v0.21_NRA_model_for_NEMO2 (EMC Update) v0.25_NRA_model_for_NEMO2 (EMC Update) v0 30 1" xfId="742" xr:uid="{00000000-0005-0000-0000-000090020000}"/>
    <cellStyle name="%_NRA_model_for_NEMO2 (EMC Update) v0.20_NRA_model_for_NEMO2 (EMC Update) v0.21_NRA_model_for_NEMO2 (EMC Update) v0.25_NRA_model_for_NEMO2 (EMC Update) v0.26" xfId="743" xr:uid="{00000000-0005-0000-0000-000091020000}"/>
    <cellStyle name="%_NRA_model_for_NEMO2 (EMC Update) v0.20_NRA_model_for_NEMO2 (EMC Update) v0.21_NRA_model_for_NEMO2 (EMC Update) v0.25_NRA_model_for_NEMO2 (EMC Update) v0.26_NRA_model_for_NEMO2 (EMC Update) v0 30 1" xfId="744" xr:uid="{00000000-0005-0000-0000-000092020000}"/>
    <cellStyle name="%_NRA_model_for_NEMO2 (EMC Update) v0.20_NRA_model_for_NEMO2 (EMC Update) v0.21_NRA_model_for_NEMO2 (EMC Update) v0.25_NRA_model_for_NEMO2 (EMC Update) v0.26_NRA_model_for_NEMO2 (EMC Update) v0.29" xfId="745" xr:uid="{00000000-0005-0000-0000-000093020000}"/>
    <cellStyle name="%_NRA_model_for_NEMO2 (EMC Update) v0.20_NRA_model_for_NEMO2 (EMC Update) v0.21_NRA_model_for_NEMO2 (EMC Update) v0.25_NRA_model_for_NEMO2 (EMC Update) v0.26_NRA_model_for_NEMO2 (EMC Update) v0.29.2" xfId="746" xr:uid="{00000000-0005-0000-0000-000094020000}"/>
    <cellStyle name="%_NRA_model_for_NEMO2 (EMC Update) v0.20_NRA_model_for_NEMO2 (EMC Update) v0.21_NRA_model_for_NEMO2 (EMC Update) v0.25_NRA_model_for_NEMO2 (EMC Update) v0.26_NRA_model_for_NEMO2 (EMC Update) v0.29.2_NRA_model_for_NEMO2 (EMC Update) v0 30 1" xfId="747" xr:uid="{00000000-0005-0000-0000-000095020000}"/>
    <cellStyle name="%_NRA_model_for_NEMO2 (EMC Update) v0.20_NRA_model_for_NEMO2 (EMC Update) v0.21_NRA_model_for_NEMO2 (EMC Update) v0.25_NRA_model_for_NEMO2 (EMC Update) v0.26_NRA_model_for_NEMO2 (EMC Update) v0.29.2_NRA_model_for_NEMO2 (EMC Update) v0.29.3" xfId="748" xr:uid="{00000000-0005-0000-0000-000096020000}"/>
    <cellStyle name="%_NRA_model_for_NEMO2 (EMC Update) v0.20_NRA_model_for_NEMO2 (EMC Update) v0.21_NRA_model_for_NEMO2 (EMC Update) v0.25_NRA_model_for_NEMO2 (EMC Update) v0.26_NRA_model_for_NEMO2 (EMC Update) v0.29.2_NRA_model_for_NEMO2 (EMC Update) v0.29.4" xfId="749" xr:uid="{00000000-0005-0000-0000-000097020000}"/>
    <cellStyle name="%_NRA_model_for_NEMO2 (EMC Update) v0.20_NRA_model_for_NEMO2 (EMC Update) v0.21_NRA_model_for_NEMO2 (EMC Update) v0.25_NRA_model_for_NEMO2 (EMC Update) v0.26_NRA_model_for_NEMO2 (EMC Update) v0.29.2_NRA_model_for_NEMO2 (EMC Update) v0.29.5" xfId="750" xr:uid="{00000000-0005-0000-0000-000098020000}"/>
    <cellStyle name="%_NRA_model_for_NEMO2 (EMC Update) v0.20_NRA_model_for_NEMO2 (EMC Update) v0.21_NRA_model_for_NEMO2 (EMC Update) v0.25_NRA_model_for_NEMO2 (EMC Update) v0.26_NRA_model_for_NEMO2 (EMC Update) v0.29.3" xfId="751" xr:uid="{00000000-0005-0000-0000-000099020000}"/>
    <cellStyle name="%_NRA_model_for_NEMO2 (EMC Update) v0.20_NRA_model_for_NEMO2 (EMC Update) v0.21_NRA_model_for_NEMO2 (EMC Update) v0.25_NRA_model_for_NEMO2 (EMC Update) v0.26_NRA_model_for_NEMO2 (EMC Update) v0.29.3_NRA_model_for_NEMO2 (EMC Update) v0 30 1" xfId="752" xr:uid="{00000000-0005-0000-0000-00009A020000}"/>
    <cellStyle name="%_NRA_model_for_NEMO2 (EMC Update) v0.20_NRA_model_for_NEMO2 (EMC Update) v0.21_NRA_model_for_NEMO2 (EMC Update) v0.25_NRA_model_for_NEMO2 (EMC Update) v0.26_NRA_model_for_NEMO2 (EMC Update) v0.29.3_NRA_model_for_NEMO2 (EMC Update) v0.29.5" xfId="753" xr:uid="{00000000-0005-0000-0000-00009B020000}"/>
    <cellStyle name="%_NRA_model_for_NEMO2 (EMC Update) v0.20_NRA_model_for_NEMO2 (EMC Update) v0.21_NRA_model_for_NEMO2 (EMC Update) v0.25_NRA_model_for_NEMO2 (EMC Update) v0.26_NRA_model_for_NEMO2 (EMC Update) v0.29.4" xfId="754" xr:uid="{00000000-0005-0000-0000-00009C020000}"/>
    <cellStyle name="%_NRA_model_for_NEMO2 (EMC Update) v0.20_NRA_model_for_NEMO2 (EMC Update) v0.21_NRA_model_for_NEMO2 (EMC Update) v0.25_NRA_model_for_NEMO2 (EMC Update) v0.26_NRA_model_for_NEMO2 (EMC Update) v0.29.4_NRA_model_for_NEMO2 (EMC Update) v0 30 1" xfId="755" xr:uid="{00000000-0005-0000-0000-00009D020000}"/>
    <cellStyle name="%_NRA_model_for_NEMO2 (EMC Update) v0.20_NRA_model_for_NEMO2 (EMC Update) v0.21_NRA_model_for_NEMO2 (EMC Update) v0.25_NRA_model_for_NEMO2 (EMC Update) v0.26_NRA_model_for_NEMO2 (EMC Update) v0.29.4_NRA_model_for_NEMO2 (EMC Update) v0.29.5" xfId="756" xr:uid="{00000000-0005-0000-0000-00009E020000}"/>
    <cellStyle name="%_NRA_model_for_NEMO2 (EMC Update) v0.20_NRA_model_for_NEMO2 (EMC Update) v0.21_NRA_model_for_NEMO2 (EMC Update) v0.25_NRA_model_for_NEMO2 (EMC Update) v0.26_NRA_model_for_NEMO2 (EMC Update) v0.29.5" xfId="757" xr:uid="{00000000-0005-0000-0000-00009F020000}"/>
    <cellStyle name="%_NRA_model_for_NEMO2 (EMC Update) v0.20_NRA_model_for_NEMO2 (EMC Update) v0.21_NRA_model_for_NEMO2 (EMC Update) v0.25_NRA_model_for_NEMO2 (EMC Update) v0.26_NRA_model_for_NEMO2 (EMC Update) v0.29.5_NRA_model_for_NEMO2 (EMC Update) v0 30 1" xfId="758" xr:uid="{00000000-0005-0000-0000-0000A0020000}"/>
    <cellStyle name="%_NRA_model_for_NEMO2 (EMC Update) v0.20_NRA_model_for_NEMO2 (EMC Update) v0.21_NRA_model_for_NEMO2 (EMC Update) v0.25_NRA_model_for_NEMO2 (EMC Update) v0.26_NRA_model_for_NEMO2 (EMC Update) v0.29_NRA_model_for_NEMO2 (EMC Update) v0 30 1" xfId="759" xr:uid="{00000000-0005-0000-0000-0000A1020000}"/>
    <cellStyle name="%_NRA_model_for_NEMO2 (EMC Update) v0.20_NRA_model_for_NEMO2 (EMC Update) v0.21_NRA_model_for_NEMO2 (EMC Update) v0.25_NRA_model_for_NEMO2 (EMC Update) v0.26_NRA_model_for_NEMO2 (EMC Update) v0.29_NRA_model_for_NEMO2 (EMC Update) v0.29.2" xfId="760" xr:uid="{00000000-0005-0000-0000-0000A2020000}"/>
    <cellStyle name="%_NRA_model_for_NEMO2 (EMC Update) v0.20_NRA_model_for_NEMO2 (EMC Update) v0.21_NRA_model_for_NEMO2 (EMC Update) v0.25_NRA_model_for_NEMO2 (EMC Update) v0.26_NRA_model_for_NEMO2 (EMC Update) v0.29_NRA_model_for_NEMO2 (EMC Update) v0.29.3" xfId="761" xr:uid="{00000000-0005-0000-0000-0000A3020000}"/>
    <cellStyle name="%_NRA_model_for_NEMO2 (EMC Update) v0.20_NRA_model_for_NEMO2 (EMC Update) v0.21_NRA_model_for_NEMO2 (EMC Update) v0.25_NRA_model_for_NEMO2 (EMC Update) v0.26_NRA_model_for_NEMO2 (EMC Update) v0.29_NRA_model_for_NEMO2 (EMC Update) v0.29.4" xfId="762" xr:uid="{00000000-0005-0000-0000-0000A4020000}"/>
    <cellStyle name="%_NRA_model_for_NEMO2 (EMC Update) v0.20_NRA_model_for_NEMO2 (EMC Update) v0.21_NRA_model_for_NEMO2 (EMC Update) v0.25_NRA_model_for_NEMO2 (EMC Update) v0.26_NRA_model_for_NEMO2 (EMC Update) v0.29_NRA_model_for_NEMO2 (EMC Update) v0.29.5" xfId="763" xr:uid="{00000000-0005-0000-0000-0000A5020000}"/>
    <cellStyle name="%_NRA_model_for_NEMO2 (EMC Update) v0.20_NRA_model_for_NEMO2 (EMC Update) v0.21_NRA_model_for_NEMO2 (EMC Update) v0.25_NRA_model_for_NEMO2 (EMC Update) v0.29" xfId="764" xr:uid="{00000000-0005-0000-0000-0000A6020000}"/>
    <cellStyle name="%_NRA_model_for_NEMO2 (EMC Update) v0.20_NRA_model_for_NEMO2 (EMC Update) v0.21_NRA_model_for_NEMO2 (EMC Update) v0.25_NRA_model_for_NEMO2 (EMC Update) v0.29.2" xfId="765" xr:uid="{00000000-0005-0000-0000-0000A7020000}"/>
    <cellStyle name="%_NRA_model_for_NEMO2 (EMC Update) v0.20_NRA_model_for_NEMO2 (EMC Update) v0.21_NRA_model_for_NEMO2 (EMC Update) v0.25_NRA_model_for_NEMO2 (EMC Update) v0.29.2_NRA_model_for_NEMO2 (EMC Update) v0 30 1" xfId="766" xr:uid="{00000000-0005-0000-0000-0000A8020000}"/>
    <cellStyle name="%_NRA_model_for_NEMO2 (EMC Update) v0.20_NRA_model_for_NEMO2 (EMC Update) v0.21_NRA_model_for_NEMO2 (EMC Update) v0.25_NRA_model_for_NEMO2 (EMC Update) v0.29.2_NRA_model_for_NEMO2 (EMC Update) v0.29.3" xfId="767" xr:uid="{00000000-0005-0000-0000-0000A9020000}"/>
    <cellStyle name="%_NRA_model_for_NEMO2 (EMC Update) v0.20_NRA_model_for_NEMO2 (EMC Update) v0.21_NRA_model_for_NEMO2 (EMC Update) v0.25_NRA_model_for_NEMO2 (EMC Update) v0.29.2_NRA_model_for_NEMO2 (EMC Update) v0.29.3_NRA_model_for_NEMO2 (EMC Update) v0 30 1" xfId="768" xr:uid="{00000000-0005-0000-0000-0000AA020000}"/>
    <cellStyle name="%_NRA_model_for_NEMO2 (EMC Update) v0.20_NRA_model_for_NEMO2 (EMC Update) v0.21_NRA_model_for_NEMO2 (EMC Update) v0.25_NRA_model_for_NEMO2 (EMC Update) v0.29.2_NRA_model_for_NEMO2 (EMC Update) v0.29.3_NRA_model_for_NEMO2 (EMC Update) v0.29.5" xfId="769" xr:uid="{00000000-0005-0000-0000-0000AB020000}"/>
    <cellStyle name="%_NRA_model_for_NEMO2 (EMC Update) v0.20_NRA_model_for_NEMO2 (EMC Update) v0.21_NRA_model_for_NEMO2 (EMC Update) v0.25_NRA_model_for_NEMO2 (EMC Update) v0.29.2_NRA_model_for_NEMO2 (EMC Update) v0.29.4" xfId="770" xr:uid="{00000000-0005-0000-0000-0000AC020000}"/>
    <cellStyle name="%_NRA_model_for_NEMO2 (EMC Update) v0.20_NRA_model_for_NEMO2 (EMC Update) v0.21_NRA_model_for_NEMO2 (EMC Update) v0.25_NRA_model_for_NEMO2 (EMC Update) v0.29.2_NRA_model_for_NEMO2 (EMC Update) v0.29.4_NRA_model_for_NEMO2 (EMC Update) v0 30 1" xfId="771" xr:uid="{00000000-0005-0000-0000-0000AD020000}"/>
    <cellStyle name="%_NRA_model_for_NEMO2 (EMC Update) v0.20_NRA_model_for_NEMO2 (EMC Update) v0.21_NRA_model_for_NEMO2 (EMC Update) v0.25_NRA_model_for_NEMO2 (EMC Update) v0.29.2_NRA_model_for_NEMO2 (EMC Update) v0.29.4_NRA_model_for_NEMO2 (EMC Update) v0.29.5" xfId="772" xr:uid="{00000000-0005-0000-0000-0000AE020000}"/>
    <cellStyle name="%_NRA_model_for_NEMO2 (EMC Update) v0.20_NRA_model_for_NEMO2 (EMC Update) v0.21_NRA_model_for_NEMO2 (EMC Update) v0.25_NRA_model_for_NEMO2 (EMC Update) v0.29.2_NRA_model_for_NEMO2 (EMC Update) v0.29.5" xfId="773" xr:uid="{00000000-0005-0000-0000-0000AF020000}"/>
    <cellStyle name="%_NRA_model_for_NEMO2 (EMC Update) v0.20_NRA_model_for_NEMO2 (EMC Update) v0.21_NRA_model_for_NEMO2 (EMC Update) v0.25_NRA_model_for_NEMO2 (EMC Update) v0.29.2_NRA_model_for_NEMO2 (EMC Update) v0.29.5_NRA_model_for_NEMO2 (EMC Update) v0 30 1" xfId="774" xr:uid="{00000000-0005-0000-0000-0000B0020000}"/>
    <cellStyle name="%_NRA_model_for_NEMO2 (EMC Update) v0.20_NRA_model_for_NEMO2 (EMC Update) v0.21_NRA_model_for_NEMO2 (EMC Update) v0.25_NRA_model_for_NEMO2 (EMC Update) v0.29.3" xfId="775" xr:uid="{00000000-0005-0000-0000-0000B1020000}"/>
    <cellStyle name="%_NRA_model_for_NEMO2 (EMC Update) v0.20_NRA_model_for_NEMO2 (EMC Update) v0.21_NRA_model_for_NEMO2 (EMC Update) v0.25_NRA_model_for_NEMO2 (EMC Update) v0.29.3_NRA_model_for_NEMO2 (EMC Update) v0 30 1" xfId="776" xr:uid="{00000000-0005-0000-0000-0000B2020000}"/>
    <cellStyle name="%_NRA_model_for_NEMO2 (EMC Update) v0.20_NRA_model_for_NEMO2 (EMC Update) v0.21_NRA_model_for_NEMO2 (EMC Update) v0.25_NRA_model_for_NEMO2 (EMC Update) v0.29.3_NRA_model_for_NEMO2 (EMC Update) v0.29.5" xfId="777" xr:uid="{00000000-0005-0000-0000-0000B3020000}"/>
    <cellStyle name="%_NRA_model_for_NEMO2 (EMC Update) v0.20_NRA_model_for_NEMO2 (EMC Update) v0.21_NRA_model_for_NEMO2 (EMC Update) v0.25_NRA_model_for_NEMO2 (EMC Update) v0.29.3_NRA_model_for_NEMO2 (EMC Update) v0.29.5_NRA_model_for_NEMO2 (EMC Update) v0 30 1" xfId="778" xr:uid="{00000000-0005-0000-0000-0000B4020000}"/>
    <cellStyle name="%_NRA_model_for_NEMO2 (EMC Update) v0.20_NRA_model_for_NEMO2 (EMC Update) v0.21_NRA_model_for_NEMO2 (EMC Update) v0.25_NRA_model_for_NEMO2 (EMC Update) v0.29.4" xfId="779" xr:uid="{00000000-0005-0000-0000-0000B5020000}"/>
    <cellStyle name="%_NRA_model_for_NEMO2 (EMC Update) v0.20_NRA_model_for_NEMO2 (EMC Update) v0.21_NRA_model_for_NEMO2 (EMC Update) v0.25_NRA_model_for_NEMO2 (EMC Update) v0.29.4_NRA_model_for_NEMO2 (EMC Update) v0 30 1" xfId="780" xr:uid="{00000000-0005-0000-0000-0000B6020000}"/>
    <cellStyle name="%_NRA_model_for_NEMO2 (EMC Update) v0.20_NRA_model_for_NEMO2 (EMC Update) v0.21_NRA_model_for_NEMO2 (EMC Update) v0.25_NRA_model_for_NEMO2 (EMC Update) v0.29.4_NRA_model_for_NEMO2 (EMC Update) v0.29.5" xfId="781" xr:uid="{00000000-0005-0000-0000-0000B7020000}"/>
    <cellStyle name="%_NRA_model_for_NEMO2 (EMC Update) v0.20_NRA_model_for_NEMO2 (EMC Update) v0.21_NRA_model_for_NEMO2 (EMC Update) v0.25_NRA_model_for_NEMO2 (EMC Update) v0.29.4_NRA_model_for_NEMO2 (EMC Update) v0.29.5_NRA_model_for_NEMO2 (EMC Update) v0 30 1" xfId="782" xr:uid="{00000000-0005-0000-0000-0000B8020000}"/>
    <cellStyle name="%_NRA_model_for_NEMO2 (EMC Update) v0.20_NRA_model_for_NEMO2 (EMC Update) v0.21_NRA_model_for_NEMO2 (EMC Update) v0.25_NRA_model_for_NEMO2 (EMC Update) v0.29.5" xfId="783" xr:uid="{00000000-0005-0000-0000-0000B9020000}"/>
    <cellStyle name="%_NRA_model_for_NEMO2 (EMC Update) v0.20_NRA_model_for_NEMO2 (EMC Update) v0.21_NRA_model_for_NEMO2 (EMC Update) v0.25_NRA_model_for_NEMO2 (EMC Update) v0.29.5_NRA_model_for_NEMO2 (EMC Update) v0 30 1" xfId="784" xr:uid="{00000000-0005-0000-0000-0000BA020000}"/>
    <cellStyle name="%_NRA_model_for_NEMO2 (EMC Update) v0.20_NRA_model_for_NEMO2 (EMC Update) v0.21_NRA_model_for_NEMO2 (EMC Update) v0.25_NRA_model_for_NEMO2 (EMC Update) v0.29_NRA_model_for_NEMO2 (EMC Update) v0 30 1" xfId="785" xr:uid="{00000000-0005-0000-0000-0000BB020000}"/>
    <cellStyle name="%_NRA_model_for_NEMO2 (EMC Update) v0.20_NRA_model_for_NEMO2 (EMC Update) v0.21_NRA_model_for_NEMO2 (EMC Update) v0.25_NRA_model_for_NEMO2 (EMC Update) v0.29_NRA_model_for_NEMO2 (EMC Update) v0.29.2" xfId="786" xr:uid="{00000000-0005-0000-0000-0000BC020000}"/>
    <cellStyle name="%_NRA_model_for_NEMO2 (EMC Update) v0.20_NRA_model_for_NEMO2 (EMC Update) v0.21_NRA_model_for_NEMO2 (EMC Update) v0.25_NRA_model_for_NEMO2 (EMC Update) v0.29_NRA_model_for_NEMO2 (EMC Update) v0.29.2_NRA_model_for_NEMO2 (EMC Update) v0 30 1" xfId="787" xr:uid="{00000000-0005-0000-0000-0000BD020000}"/>
    <cellStyle name="%_NRA_model_for_NEMO2 (EMC Update) v0.20_NRA_model_for_NEMO2 (EMC Update) v0.21_NRA_model_for_NEMO2 (EMC Update) v0.25_NRA_model_for_NEMO2 (EMC Update) v0.29_NRA_model_for_NEMO2 (EMC Update) v0.29.2_NRA_model_for_NEMO2 (EMC Update) v0.29.3" xfId="788" xr:uid="{00000000-0005-0000-0000-0000BE020000}"/>
    <cellStyle name="%_NRA_model_for_NEMO2 (EMC Update) v0.20_NRA_model_for_NEMO2 (EMC Update) v0.21_NRA_model_for_NEMO2 (EMC Update) v0.25_NRA_model_for_NEMO2 (EMC Update) v0.29_NRA_model_for_NEMO2 (EMC Update) v0.29.2_NRA_model_for_NEMO2 (EMC Update) v0.29.4" xfId="789" xr:uid="{00000000-0005-0000-0000-0000BF020000}"/>
    <cellStyle name="%_NRA_model_for_NEMO2 (EMC Update) v0.20_NRA_model_for_NEMO2 (EMC Update) v0.21_NRA_model_for_NEMO2 (EMC Update) v0.25_NRA_model_for_NEMO2 (EMC Update) v0.29_NRA_model_for_NEMO2 (EMC Update) v0.29.2_NRA_model_for_NEMO2 (EMC Update) v0.29.5" xfId="790" xr:uid="{00000000-0005-0000-0000-0000C0020000}"/>
    <cellStyle name="%_NRA_model_for_NEMO2 (EMC Update) v0.20_NRA_model_for_NEMO2 (EMC Update) v0.21_NRA_model_for_NEMO2 (EMC Update) v0.25_NRA_model_for_NEMO2 (EMC Update) v0.29_NRA_model_for_NEMO2 (EMC Update) v0.29.3" xfId="791" xr:uid="{00000000-0005-0000-0000-0000C1020000}"/>
    <cellStyle name="%_NRA_model_for_NEMO2 (EMC Update) v0.20_NRA_model_for_NEMO2 (EMC Update) v0.21_NRA_model_for_NEMO2 (EMC Update) v0.25_NRA_model_for_NEMO2 (EMC Update) v0.29_NRA_model_for_NEMO2 (EMC Update) v0.29.3_NRA_model_for_NEMO2 (EMC Update) v0 30 1" xfId="792" xr:uid="{00000000-0005-0000-0000-0000C2020000}"/>
    <cellStyle name="%_NRA_model_for_NEMO2 (EMC Update) v0.20_NRA_model_for_NEMO2 (EMC Update) v0.21_NRA_model_for_NEMO2 (EMC Update) v0.25_NRA_model_for_NEMO2 (EMC Update) v0.29_NRA_model_for_NEMO2 (EMC Update) v0.29.3_NRA_model_for_NEMO2 (EMC Update) v0.29.5" xfId="793" xr:uid="{00000000-0005-0000-0000-0000C3020000}"/>
    <cellStyle name="%_NRA_model_for_NEMO2 (EMC Update) v0.20_NRA_model_for_NEMO2 (EMC Update) v0.21_NRA_model_for_NEMO2 (EMC Update) v0.25_NRA_model_for_NEMO2 (EMC Update) v0.29_NRA_model_for_NEMO2 (EMC Update) v0.29.4" xfId="794" xr:uid="{00000000-0005-0000-0000-0000C4020000}"/>
    <cellStyle name="%_NRA_model_for_NEMO2 (EMC Update) v0.20_NRA_model_for_NEMO2 (EMC Update) v0.21_NRA_model_for_NEMO2 (EMC Update) v0.25_NRA_model_for_NEMO2 (EMC Update) v0.29_NRA_model_for_NEMO2 (EMC Update) v0.29.4_NRA_model_for_NEMO2 (EMC Update) v0 30 1" xfId="795" xr:uid="{00000000-0005-0000-0000-0000C5020000}"/>
    <cellStyle name="%_NRA_model_for_NEMO2 (EMC Update) v0.20_NRA_model_for_NEMO2 (EMC Update) v0.21_NRA_model_for_NEMO2 (EMC Update) v0.25_NRA_model_for_NEMO2 (EMC Update) v0.29_NRA_model_for_NEMO2 (EMC Update) v0.29.4_NRA_model_for_NEMO2 (EMC Update) v0.29.5" xfId="796" xr:uid="{00000000-0005-0000-0000-0000C6020000}"/>
    <cellStyle name="%_NRA_model_for_NEMO2 (EMC Update) v0.20_NRA_model_for_NEMO2 (EMC Update) v0.21_NRA_model_for_NEMO2 (EMC Update) v0.25_NRA_model_for_NEMO2 (EMC Update) v0.29_NRA_model_for_NEMO2 (EMC Update) v0.29.5" xfId="797" xr:uid="{00000000-0005-0000-0000-0000C7020000}"/>
    <cellStyle name="%_NRA_model_for_NEMO2 (EMC Update) v0.20_NRA_model_for_NEMO2 (EMC Update) v0.21_NRA_model_for_NEMO2 (EMC Update) v0.25_NRA_model_for_NEMO2 (EMC Update) v0.29_NRA_model_for_NEMO2 (EMC Update) v0.29.5_NRA_model_for_NEMO2 (EMC Update) v0 30 1" xfId="798" xr:uid="{00000000-0005-0000-0000-0000C8020000}"/>
    <cellStyle name="%_NRA_model_for_NEMO2 (EMC Update) v0.20_NRA_model_for_NEMO2 (EMC Update) v0.21_NRA_model_for_NEMO2 (EMC Update) v0.26" xfId="799" xr:uid="{00000000-0005-0000-0000-0000C9020000}"/>
    <cellStyle name="%_NRA_model_for_NEMO2 (EMC Update) v0.20_NRA_model_for_NEMO2 (EMC Update) v0.21_NRA_model_for_NEMO2 (EMC Update) v0.26_NRA_model_for_NEMO2 (EMC Update) v0 30 1" xfId="800" xr:uid="{00000000-0005-0000-0000-0000CA020000}"/>
    <cellStyle name="%_NRA_model_for_NEMO2 (EMC Update) v0.20_NRA_model_for_NEMO2 (EMC Update) v0.21_NRA_model_for_NEMO2 (EMC Update) v0.26_NRA_model_for_NEMO2 (EMC Update) v0.29" xfId="801" xr:uid="{00000000-0005-0000-0000-0000CB020000}"/>
    <cellStyle name="%_NRA_model_for_NEMO2 (EMC Update) v0.20_NRA_model_for_NEMO2 (EMC Update) v0.21_NRA_model_for_NEMO2 (EMC Update) v0.26_NRA_model_for_NEMO2 (EMC Update) v0.29.2" xfId="802" xr:uid="{00000000-0005-0000-0000-0000CC020000}"/>
    <cellStyle name="%_NRA_model_for_NEMO2 (EMC Update) v0.20_NRA_model_for_NEMO2 (EMC Update) v0.21_NRA_model_for_NEMO2 (EMC Update) v0.26_NRA_model_for_NEMO2 (EMC Update) v0.29.2_NRA_model_for_NEMO2 (EMC Update) v0 30 1" xfId="803" xr:uid="{00000000-0005-0000-0000-0000CD020000}"/>
    <cellStyle name="%_NRA_model_for_NEMO2 (EMC Update) v0.20_NRA_model_for_NEMO2 (EMC Update) v0.21_NRA_model_for_NEMO2 (EMC Update) v0.26_NRA_model_for_NEMO2 (EMC Update) v0.29.2_NRA_model_for_NEMO2 (EMC Update) v0.29.3" xfId="804" xr:uid="{00000000-0005-0000-0000-0000CE020000}"/>
    <cellStyle name="%_NRA_model_for_NEMO2 (EMC Update) v0.20_NRA_model_for_NEMO2 (EMC Update) v0.21_NRA_model_for_NEMO2 (EMC Update) v0.26_NRA_model_for_NEMO2 (EMC Update) v0.29.2_NRA_model_for_NEMO2 (EMC Update) v0.29.3_NRA_model_for_NEMO2 (EMC Update) v0 30 1" xfId="805" xr:uid="{00000000-0005-0000-0000-0000CF020000}"/>
    <cellStyle name="%_NRA_model_for_NEMO2 (EMC Update) v0.20_NRA_model_for_NEMO2 (EMC Update) v0.21_NRA_model_for_NEMO2 (EMC Update) v0.26_NRA_model_for_NEMO2 (EMC Update) v0.29.2_NRA_model_for_NEMO2 (EMC Update) v0.29.3_NRA_model_for_NEMO2 (EMC Update) v0.29.5" xfId="806" xr:uid="{00000000-0005-0000-0000-0000D0020000}"/>
    <cellStyle name="%_NRA_model_for_NEMO2 (EMC Update) v0.20_NRA_model_for_NEMO2 (EMC Update) v0.21_NRA_model_for_NEMO2 (EMC Update) v0.26_NRA_model_for_NEMO2 (EMC Update) v0.29.2_NRA_model_for_NEMO2 (EMC Update) v0.29.4" xfId="807" xr:uid="{00000000-0005-0000-0000-0000D1020000}"/>
    <cellStyle name="%_NRA_model_for_NEMO2 (EMC Update) v0.20_NRA_model_for_NEMO2 (EMC Update) v0.21_NRA_model_for_NEMO2 (EMC Update) v0.26_NRA_model_for_NEMO2 (EMC Update) v0.29.2_NRA_model_for_NEMO2 (EMC Update) v0.29.4_NRA_model_for_NEMO2 (EMC Update) v0 30 1" xfId="808" xr:uid="{00000000-0005-0000-0000-0000D2020000}"/>
    <cellStyle name="%_NRA_model_for_NEMO2 (EMC Update) v0.20_NRA_model_for_NEMO2 (EMC Update) v0.21_NRA_model_for_NEMO2 (EMC Update) v0.26_NRA_model_for_NEMO2 (EMC Update) v0.29.2_NRA_model_for_NEMO2 (EMC Update) v0.29.4_NRA_model_for_NEMO2 (EMC Update) v0.29.5" xfId="809" xr:uid="{00000000-0005-0000-0000-0000D3020000}"/>
    <cellStyle name="%_NRA_model_for_NEMO2 (EMC Update) v0.20_NRA_model_for_NEMO2 (EMC Update) v0.21_NRA_model_for_NEMO2 (EMC Update) v0.26_NRA_model_for_NEMO2 (EMC Update) v0.29.2_NRA_model_for_NEMO2 (EMC Update) v0.29.5" xfId="810" xr:uid="{00000000-0005-0000-0000-0000D4020000}"/>
    <cellStyle name="%_NRA_model_for_NEMO2 (EMC Update) v0.20_NRA_model_for_NEMO2 (EMC Update) v0.21_NRA_model_for_NEMO2 (EMC Update) v0.26_NRA_model_for_NEMO2 (EMC Update) v0.29.2_NRA_model_for_NEMO2 (EMC Update) v0.29.5_NRA_model_for_NEMO2 (EMC Update) v0 30 1" xfId="811" xr:uid="{00000000-0005-0000-0000-0000D5020000}"/>
    <cellStyle name="%_NRA_model_for_NEMO2 (EMC Update) v0.20_NRA_model_for_NEMO2 (EMC Update) v0.21_NRA_model_for_NEMO2 (EMC Update) v0.26_NRA_model_for_NEMO2 (EMC Update) v0.29.3" xfId="812" xr:uid="{00000000-0005-0000-0000-0000D6020000}"/>
    <cellStyle name="%_NRA_model_for_NEMO2 (EMC Update) v0.20_NRA_model_for_NEMO2 (EMC Update) v0.21_NRA_model_for_NEMO2 (EMC Update) v0.26_NRA_model_for_NEMO2 (EMC Update) v0.29.3_NRA_model_for_NEMO2 (EMC Update) v0 30 1" xfId="813" xr:uid="{00000000-0005-0000-0000-0000D7020000}"/>
    <cellStyle name="%_NRA_model_for_NEMO2 (EMC Update) v0.20_NRA_model_for_NEMO2 (EMC Update) v0.21_NRA_model_for_NEMO2 (EMC Update) v0.26_NRA_model_for_NEMO2 (EMC Update) v0.29.3_NRA_model_for_NEMO2 (EMC Update) v0.29.5" xfId="814" xr:uid="{00000000-0005-0000-0000-0000D8020000}"/>
    <cellStyle name="%_NRA_model_for_NEMO2 (EMC Update) v0.20_NRA_model_for_NEMO2 (EMC Update) v0.21_NRA_model_for_NEMO2 (EMC Update) v0.26_NRA_model_for_NEMO2 (EMC Update) v0.29.3_NRA_model_for_NEMO2 (EMC Update) v0.29.5_NRA_model_for_NEMO2 (EMC Update) v0 30 1" xfId="815" xr:uid="{00000000-0005-0000-0000-0000D9020000}"/>
    <cellStyle name="%_NRA_model_for_NEMO2 (EMC Update) v0.20_NRA_model_for_NEMO2 (EMC Update) v0.21_NRA_model_for_NEMO2 (EMC Update) v0.26_NRA_model_for_NEMO2 (EMC Update) v0.29.4" xfId="816" xr:uid="{00000000-0005-0000-0000-0000DA020000}"/>
    <cellStyle name="%_NRA_model_for_NEMO2 (EMC Update) v0.20_NRA_model_for_NEMO2 (EMC Update) v0.21_NRA_model_for_NEMO2 (EMC Update) v0.26_NRA_model_for_NEMO2 (EMC Update) v0.29.4_NRA_model_for_NEMO2 (EMC Update) v0 30 1" xfId="817" xr:uid="{00000000-0005-0000-0000-0000DB020000}"/>
    <cellStyle name="%_NRA_model_for_NEMO2 (EMC Update) v0.20_NRA_model_for_NEMO2 (EMC Update) v0.21_NRA_model_for_NEMO2 (EMC Update) v0.26_NRA_model_for_NEMO2 (EMC Update) v0.29.4_NRA_model_for_NEMO2 (EMC Update) v0.29.5" xfId="818" xr:uid="{00000000-0005-0000-0000-0000DC020000}"/>
    <cellStyle name="%_NRA_model_for_NEMO2 (EMC Update) v0.20_NRA_model_for_NEMO2 (EMC Update) v0.21_NRA_model_for_NEMO2 (EMC Update) v0.26_NRA_model_for_NEMO2 (EMC Update) v0.29.4_NRA_model_for_NEMO2 (EMC Update) v0.29.5_NRA_model_for_NEMO2 (EMC Update) v0 30 1" xfId="819" xr:uid="{00000000-0005-0000-0000-0000DD020000}"/>
    <cellStyle name="%_NRA_model_for_NEMO2 (EMC Update) v0.20_NRA_model_for_NEMO2 (EMC Update) v0.21_NRA_model_for_NEMO2 (EMC Update) v0.26_NRA_model_for_NEMO2 (EMC Update) v0.29.5" xfId="820" xr:uid="{00000000-0005-0000-0000-0000DE020000}"/>
    <cellStyle name="%_NRA_model_for_NEMO2 (EMC Update) v0.20_NRA_model_for_NEMO2 (EMC Update) v0.21_NRA_model_for_NEMO2 (EMC Update) v0.26_NRA_model_for_NEMO2 (EMC Update) v0.29.5_NRA_model_for_NEMO2 (EMC Update) v0 30 1" xfId="821" xr:uid="{00000000-0005-0000-0000-0000DF020000}"/>
    <cellStyle name="%_NRA_model_for_NEMO2 (EMC Update) v0.20_NRA_model_for_NEMO2 (EMC Update) v0.21_NRA_model_for_NEMO2 (EMC Update) v0.26_NRA_model_for_NEMO2 (EMC Update) v0.29_NRA_model_for_NEMO2 (EMC Update) v0 30 1" xfId="822" xr:uid="{00000000-0005-0000-0000-0000E0020000}"/>
    <cellStyle name="%_NRA_model_for_NEMO2 (EMC Update) v0.20_NRA_model_for_NEMO2 (EMC Update) v0.21_NRA_model_for_NEMO2 (EMC Update) v0.26_NRA_model_for_NEMO2 (EMC Update) v0.29_NRA_model_for_NEMO2 (EMC Update) v0.29.2" xfId="823" xr:uid="{00000000-0005-0000-0000-0000E1020000}"/>
    <cellStyle name="%_NRA_model_for_NEMO2 (EMC Update) v0.20_NRA_model_for_NEMO2 (EMC Update) v0.21_NRA_model_for_NEMO2 (EMC Update) v0.26_NRA_model_for_NEMO2 (EMC Update) v0.29_NRA_model_for_NEMO2 (EMC Update) v0.29.2_NRA_model_for_NEMO2 (EMC Update) v0 30 1" xfId="824" xr:uid="{00000000-0005-0000-0000-0000E2020000}"/>
    <cellStyle name="%_NRA_model_for_NEMO2 (EMC Update) v0.20_NRA_model_for_NEMO2 (EMC Update) v0.21_NRA_model_for_NEMO2 (EMC Update) v0.26_NRA_model_for_NEMO2 (EMC Update) v0.29_NRA_model_for_NEMO2 (EMC Update) v0.29.2_NRA_model_for_NEMO2 (EMC Update) v0.29.3" xfId="825" xr:uid="{00000000-0005-0000-0000-0000E3020000}"/>
    <cellStyle name="%_NRA_model_for_NEMO2 (EMC Update) v0.20_NRA_model_for_NEMO2 (EMC Update) v0.21_NRA_model_for_NEMO2 (EMC Update) v0.26_NRA_model_for_NEMO2 (EMC Update) v0.29_NRA_model_for_NEMO2 (EMC Update) v0.29.2_NRA_model_for_NEMO2 (EMC Update) v0.29.4" xfId="826" xr:uid="{00000000-0005-0000-0000-0000E4020000}"/>
    <cellStyle name="%_NRA_model_for_NEMO2 (EMC Update) v0.20_NRA_model_for_NEMO2 (EMC Update) v0.21_NRA_model_for_NEMO2 (EMC Update) v0.26_NRA_model_for_NEMO2 (EMC Update) v0.29_NRA_model_for_NEMO2 (EMC Update) v0.29.2_NRA_model_for_NEMO2 (EMC Update) v0.29.5" xfId="827" xr:uid="{00000000-0005-0000-0000-0000E5020000}"/>
    <cellStyle name="%_NRA_model_for_NEMO2 (EMC Update) v0.20_NRA_model_for_NEMO2 (EMC Update) v0.21_NRA_model_for_NEMO2 (EMC Update) v0.26_NRA_model_for_NEMO2 (EMC Update) v0.29_NRA_model_for_NEMO2 (EMC Update) v0.29.3" xfId="828" xr:uid="{00000000-0005-0000-0000-0000E6020000}"/>
    <cellStyle name="%_NRA_model_for_NEMO2 (EMC Update) v0.20_NRA_model_for_NEMO2 (EMC Update) v0.21_NRA_model_for_NEMO2 (EMC Update) v0.26_NRA_model_for_NEMO2 (EMC Update) v0.29_NRA_model_for_NEMO2 (EMC Update) v0.29.3_NRA_model_for_NEMO2 (EMC Update) v0 30 1" xfId="829" xr:uid="{00000000-0005-0000-0000-0000E7020000}"/>
    <cellStyle name="%_NRA_model_for_NEMO2 (EMC Update) v0.20_NRA_model_for_NEMO2 (EMC Update) v0.21_NRA_model_for_NEMO2 (EMC Update) v0.26_NRA_model_for_NEMO2 (EMC Update) v0.29_NRA_model_for_NEMO2 (EMC Update) v0.29.3_NRA_model_for_NEMO2 (EMC Update) v0.29.5" xfId="830" xr:uid="{00000000-0005-0000-0000-0000E8020000}"/>
    <cellStyle name="%_NRA_model_for_NEMO2 (EMC Update) v0.20_NRA_model_for_NEMO2 (EMC Update) v0.21_NRA_model_for_NEMO2 (EMC Update) v0.26_NRA_model_for_NEMO2 (EMC Update) v0.29_NRA_model_for_NEMO2 (EMC Update) v0.29.4" xfId="831" xr:uid="{00000000-0005-0000-0000-0000E9020000}"/>
    <cellStyle name="%_NRA_model_for_NEMO2 (EMC Update) v0.20_NRA_model_for_NEMO2 (EMC Update) v0.21_NRA_model_for_NEMO2 (EMC Update) v0.26_NRA_model_for_NEMO2 (EMC Update) v0.29_NRA_model_for_NEMO2 (EMC Update) v0.29.4_NRA_model_for_NEMO2 (EMC Update) v0 30 1" xfId="832" xr:uid="{00000000-0005-0000-0000-0000EA020000}"/>
    <cellStyle name="%_NRA_model_for_NEMO2 (EMC Update) v0.20_NRA_model_for_NEMO2 (EMC Update) v0.21_NRA_model_for_NEMO2 (EMC Update) v0.26_NRA_model_for_NEMO2 (EMC Update) v0.29_NRA_model_for_NEMO2 (EMC Update) v0.29.4_NRA_model_for_NEMO2 (EMC Update) v0.29.5" xfId="833" xr:uid="{00000000-0005-0000-0000-0000EB020000}"/>
    <cellStyle name="%_NRA_model_for_NEMO2 (EMC Update) v0.20_NRA_model_for_NEMO2 (EMC Update) v0.21_NRA_model_for_NEMO2 (EMC Update) v0.26_NRA_model_for_NEMO2 (EMC Update) v0.29_NRA_model_for_NEMO2 (EMC Update) v0.29.5" xfId="834" xr:uid="{00000000-0005-0000-0000-0000EC020000}"/>
    <cellStyle name="%_NRA_model_for_NEMO2 (EMC Update) v0.20_NRA_model_for_NEMO2 (EMC Update) v0.21_NRA_model_for_NEMO2 (EMC Update) v0.26_NRA_model_for_NEMO2 (EMC Update) v0.29_NRA_model_for_NEMO2 (EMC Update) v0.29.5_NRA_model_for_NEMO2 (EMC Update) v0 30 1" xfId="835" xr:uid="{00000000-0005-0000-0000-0000ED020000}"/>
    <cellStyle name="%_NRA_model_for_NEMO2 (EMC Update) v0.20_NRA_model_for_NEMO2 (EMC Update) v0.21_NRA_model_for_NEMO2 (EMC Update) v0.29" xfId="836" xr:uid="{00000000-0005-0000-0000-0000EE020000}"/>
    <cellStyle name="%_NRA_model_for_NEMO2 (EMC Update) v0.20_NRA_model_for_NEMO2 (EMC Update) v0.21_NRA_model_for_NEMO2 (EMC Update) v0.29.2" xfId="837" xr:uid="{00000000-0005-0000-0000-0000EF020000}"/>
    <cellStyle name="%_NRA_model_for_NEMO2 (EMC Update) v0.20_NRA_model_for_NEMO2 (EMC Update) v0.21_NRA_model_for_NEMO2 (EMC Update) v0.29.2_NRA_model_for_NEMO2 (EMC Update) v0 30 1" xfId="838" xr:uid="{00000000-0005-0000-0000-0000F0020000}"/>
    <cellStyle name="%_NRA_model_for_NEMO2 (EMC Update) v0.20_NRA_model_for_NEMO2 (EMC Update) v0.21_NRA_model_for_NEMO2 (EMC Update) v0.29.2_NRA_model_for_NEMO2 (EMC Update) v0.29.3" xfId="839" xr:uid="{00000000-0005-0000-0000-0000F1020000}"/>
    <cellStyle name="%_NRA_model_for_NEMO2 (EMC Update) v0.20_NRA_model_for_NEMO2 (EMC Update) v0.21_NRA_model_for_NEMO2 (EMC Update) v0.29.2_NRA_model_for_NEMO2 (EMC Update) v0.29.3_NRA_model_for_NEMO2 (EMC Update) v0 30 1" xfId="840" xr:uid="{00000000-0005-0000-0000-0000F2020000}"/>
    <cellStyle name="%_NRA_model_for_NEMO2 (EMC Update) v0.20_NRA_model_for_NEMO2 (EMC Update) v0.21_NRA_model_for_NEMO2 (EMC Update) v0.29.2_NRA_model_for_NEMO2 (EMC Update) v0.29.3_NRA_model_for_NEMO2 (EMC Update) v0.29.5" xfId="841" xr:uid="{00000000-0005-0000-0000-0000F3020000}"/>
    <cellStyle name="%_NRA_model_for_NEMO2 (EMC Update) v0.20_NRA_model_for_NEMO2 (EMC Update) v0.21_NRA_model_for_NEMO2 (EMC Update) v0.29.2_NRA_model_for_NEMO2 (EMC Update) v0.29.3_NRA_model_for_NEMO2 (EMC Update) v0.29.5_NRA_model_for_NEMO2 (EMC Update) v0 30 1" xfId="842" xr:uid="{00000000-0005-0000-0000-0000F4020000}"/>
    <cellStyle name="%_NRA_model_for_NEMO2 (EMC Update) v0.20_NRA_model_for_NEMO2 (EMC Update) v0.21_NRA_model_for_NEMO2 (EMC Update) v0.29.2_NRA_model_for_NEMO2 (EMC Update) v0.29.4" xfId="843" xr:uid="{00000000-0005-0000-0000-0000F5020000}"/>
    <cellStyle name="%_NRA_model_for_NEMO2 (EMC Update) v0.20_NRA_model_for_NEMO2 (EMC Update) v0.21_NRA_model_for_NEMO2 (EMC Update) v0.29.2_NRA_model_for_NEMO2 (EMC Update) v0.29.4_NRA_model_for_NEMO2 (EMC Update) v0 30 1" xfId="844" xr:uid="{00000000-0005-0000-0000-0000F6020000}"/>
    <cellStyle name="%_NRA_model_for_NEMO2 (EMC Update) v0.20_NRA_model_for_NEMO2 (EMC Update) v0.21_NRA_model_for_NEMO2 (EMC Update) v0.29.2_NRA_model_for_NEMO2 (EMC Update) v0.29.4_NRA_model_for_NEMO2 (EMC Update) v0.29.5" xfId="845" xr:uid="{00000000-0005-0000-0000-0000F7020000}"/>
    <cellStyle name="%_NRA_model_for_NEMO2 (EMC Update) v0.20_NRA_model_for_NEMO2 (EMC Update) v0.21_NRA_model_for_NEMO2 (EMC Update) v0.29.2_NRA_model_for_NEMO2 (EMC Update) v0.29.4_NRA_model_for_NEMO2 (EMC Update) v0.29.5_NRA_model_for_NEMO2 (EMC Update) v0 30 1" xfId="846" xr:uid="{00000000-0005-0000-0000-0000F8020000}"/>
    <cellStyle name="%_NRA_model_for_NEMO2 (EMC Update) v0.20_NRA_model_for_NEMO2 (EMC Update) v0.21_NRA_model_for_NEMO2 (EMC Update) v0.29.2_NRA_model_for_NEMO2 (EMC Update) v0.29.5" xfId="847" xr:uid="{00000000-0005-0000-0000-0000F9020000}"/>
    <cellStyle name="%_NRA_model_for_NEMO2 (EMC Update) v0.20_NRA_model_for_NEMO2 (EMC Update) v0.21_NRA_model_for_NEMO2 (EMC Update) v0.29.2_NRA_model_for_NEMO2 (EMC Update) v0.29.5_NRA_model_for_NEMO2 (EMC Update) v0 30 1" xfId="848" xr:uid="{00000000-0005-0000-0000-0000FA020000}"/>
    <cellStyle name="%_NRA_model_for_NEMO2 (EMC Update) v0.20_NRA_model_for_NEMO2 (EMC Update) v0.21_NRA_model_for_NEMO2 (EMC Update) v0.29.3" xfId="849" xr:uid="{00000000-0005-0000-0000-0000FB020000}"/>
    <cellStyle name="%_NRA_model_for_NEMO2 (EMC Update) v0.20_NRA_model_for_NEMO2 (EMC Update) v0.21_NRA_model_for_NEMO2 (EMC Update) v0.29.3_NRA_model_for_NEMO2 (EMC Update) v0 30 1" xfId="850" xr:uid="{00000000-0005-0000-0000-0000FC020000}"/>
    <cellStyle name="%_NRA_model_for_NEMO2 (EMC Update) v0.20_NRA_model_for_NEMO2 (EMC Update) v0.21_NRA_model_for_NEMO2 (EMC Update) v0.29.3_NRA_model_for_NEMO2 (EMC Update) v0.29.5" xfId="851" xr:uid="{00000000-0005-0000-0000-0000FD020000}"/>
    <cellStyle name="%_NRA_model_for_NEMO2 (EMC Update) v0.20_NRA_model_for_NEMO2 (EMC Update) v0.21_NRA_model_for_NEMO2 (EMC Update) v0.29.3_NRA_model_for_NEMO2 (EMC Update) v0.29.5_NRA_model_for_NEMO2 (EMC Update) v0 30 1" xfId="852" xr:uid="{00000000-0005-0000-0000-0000FE020000}"/>
    <cellStyle name="%_NRA_model_for_NEMO2 (EMC Update) v0.20_NRA_model_for_NEMO2 (EMC Update) v0.21_NRA_model_for_NEMO2 (EMC Update) v0.29.4" xfId="853" xr:uid="{00000000-0005-0000-0000-0000FF020000}"/>
    <cellStyle name="%_NRA_model_for_NEMO2 (EMC Update) v0.20_NRA_model_for_NEMO2 (EMC Update) v0.21_NRA_model_for_NEMO2 (EMC Update) v0.29.4_NRA_model_for_NEMO2 (EMC Update) v0 30 1" xfId="854" xr:uid="{00000000-0005-0000-0000-000000030000}"/>
    <cellStyle name="%_NRA_model_for_NEMO2 (EMC Update) v0.20_NRA_model_for_NEMO2 (EMC Update) v0.21_NRA_model_for_NEMO2 (EMC Update) v0.29.4_NRA_model_for_NEMO2 (EMC Update) v0.29.5" xfId="855" xr:uid="{00000000-0005-0000-0000-000001030000}"/>
    <cellStyle name="%_NRA_model_for_NEMO2 (EMC Update) v0.20_NRA_model_for_NEMO2 (EMC Update) v0.21_NRA_model_for_NEMO2 (EMC Update) v0.29.4_NRA_model_for_NEMO2 (EMC Update) v0.29.5_NRA_model_for_NEMO2 (EMC Update) v0 30 1" xfId="856" xr:uid="{00000000-0005-0000-0000-000002030000}"/>
    <cellStyle name="%_NRA_model_for_NEMO2 (EMC Update) v0.20_NRA_model_for_NEMO2 (EMC Update) v0.21_NRA_model_for_NEMO2 (EMC Update) v0.29.5" xfId="857" xr:uid="{00000000-0005-0000-0000-000003030000}"/>
    <cellStyle name="%_NRA_model_for_NEMO2 (EMC Update) v0.20_NRA_model_for_NEMO2 (EMC Update) v0.21_NRA_model_for_NEMO2 (EMC Update) v0.29.5_NRA_model_for_NEMO2 (EMC Update) v0 30 1" xfId="858" xr:uid="{00000000-0005-0000-0000-000004030000}"/>
    <cellStyle name="%_NRA_model_for_NEMO2 (EMC Update) v0.20_NRA_model_for_NEMO2 (EMC Update) v0.21_NRA_model_for_NEMO2 (EMC Update) v0.29_NRA_model_for_NEMO2 (EMC Update) v0 30 1" xfId="859" xr:uid="{00000000-0005-0000-0000-000005030000}"/>
    <cellStyle name="%_NRA_model_for_NEMO2 (EMC Update) v0.20_NRA_model_for_NEMO2 (EMC Update) v0.21_NRA_model_for_NEMO2 (EMC Update) v0.29_NRA_model_for_NEMO2 (EMC Update) v0.29.2" xfId="860" xr:uid="{00000000-0005-0000-0000-000006030000}"/>
    <cellStyle name="%_NRA_model_for_NEMO2 (EMC Update) v0.20_NRA_model_for_NEMO2 (EMC Update) v0.21_NRA_model_for_NEMO2 (EMC Update) v0.29_NRA_model_for_NEMO2 (EMC Update) v0.29.2_NRA_model_for_NEMO2 (EMC Update) v0 30 1" xfId="861" xr:uid="{00000000-0005-0000-0000-000007030000}"/>
    <cellStyle name="%_NRA_model_for_NEMO2 (EMC Update) v0.20_NRA_model_for_NEMO2 (EMC Update) v0.21_NRA_model_for_NEMO2 (EMC Update) v0.29_NRA_model_for_NEMO2 (EMC Update) v0.29.2_NRA_model_for_NEMO2 (EMC Update) v0.29.3" xfId="862" xr:uid="{00000000-0005-0000-0000-000008030000}"/>
    <cellStyle name="%_NRA_model_for_NEMO2 (EMC Update) v0.20_NRA_model_for_NEMO2 (EMC Update) v0.21_NRA_model_for_NEMO2 (EMC Update) v0.29_NRA_model_for_NEMO2 (EMC Update) v0.29.2_NRA_model_for_NEMO2 (EMC Update) v0.29.3_NRA_model_for_NEMO2 (EMC Update) v0 30 1" xfId="863" xr:uid="{00000000-0005-0000-0000-000009030000}"/>
    <cellStyle name="%_NRA_model_for_NEMO2 (EMC Update) v0.20_NRA_model_for_NEMO2 (EMC Update) v0.21_NRA_model_for_NEMO2 (EMC Update) v0.29_NRA_model_for_NEMO2 (EMC Update) v0.29.2_NRA_model_for_NEMO2 (EMC Update) v0.29.3_NRA_model_for_NEMO2 (EMC Update) v0.29.5" xfId="864" xr:uid="{00000000-0005-0000-0000-00000A030000}"/>
    <cellStyle name="%_NRA_model_for_NEMO2 (EMC Update) v0.20_NRA_model_for_NEMO2 (EMC Update) v0.21_NRA_model_for_NEMO2 (EMC Update) v0.29_NRA_model_for_NEMO2 (EMC Update) v0.29.2_NRA_model_for_NEMO2 (EMC Update) v0.29.4" xfId="865" xr:uid="{00000000-0005-0000-0000-00000B030000}"/>
    <cellStyle name="%_NRA_model_for_NEMO2 (EMC Update) v0.20_NRA_model_for_NEMO2 (EMC Update) v0.21_NRA_model_for_NEMO2 (EMC Update) v0.29_NRA_model_for_NEMO2 (EMC Update) v0.29.2_NRA_model_for_NEMO2 (EMC Update) v0.29.4_NRA_model_for_NEMO2 (EMC Update) v0 30 1" xfId="866" xr:uid="{00000000-0005-0000-0000-00000C030000}"/>
    <cellStyle name="%_NRA_model_for_NEMO2 (EMC Update) v0.20_NRA_model_for_NEMO2 (EMC Update) v0.21_NRA_model_for_NEMO2 (EMC Update) v0.29_NRA_model_for_NEMO2 (EMC Update) v0.29.2_NRA_model_for_NEMO2 (EMC Update) v0.29.4_NRA_model_for_NEMO2 (EMC Update) v0.29.5" xfId="867" xr:uid="{00000000-0005-0000-0000-00000D030000}"/>
    <cellStyle name="%_NRA_model_for_NEMO2 (EMC Update) v0.20_NRA_model_for_NEMO2 (EMC Update) v0.21_NRA_model_for_NEMO2 (EMC Update) v0.29_NRA_model_for_NEMO2 (EMC Update) v0.29.2_NRA_model_for_NEMO2 (EMC Update) v0.29.5" xfId="868" xr:uid="{00000000-0005-0000-0000-00000E030000}"/>
    <cellStyle name="%_NRA_model_for_NEMO2 (EMC Update) v0.20_NRA_model_for_NEMO2 (EMC Update) v0.21_NRA_model_for_NEMO2 (EMC Update) v0.29_NRA_model_for_NEMO2 (EMC Update) v0.29.2_NRA_model_for_NEMO2 (EMC Update) v0.29.5_NRA_model_for_NEMO2 (EMC Update) v0 30 1" xfId="869" xr:uid="{00000000-0005-0000-0000-00000F030000}"/>
    <cellStyle name="%_NRA_model_for_NEMO2 (EMC Update) v0.20_NRA_model_for_NEMO2 (EMC Update) v0.21_NRA_model_for_NEMO2 (EMC Update) v0.29_NRA_model_for_NEMO2 (EMC Update) v0.29.3" xfId="870" xr:uid="{00000000-0005-0000-0000-000010030000}"/>
    <cellStyle name="%_NRA_model_for_NEMO2 (EMC Update) v0.20_NRA_model_for_NEMO2 (EMC Update) v0.21_NRA_model_for_NEMO2 (EMC Update) v0.29_NRA_model_for_NEMO2 (EMC Update) v0.29.3_NRA_model_for_NEMO2 (EMC Update) v0 30 1" xfId="871" xr:uid="{00000000-0005-0000-0000-000011030000}"/>
    <cellStyle name="%_NRA_model_for_NEMO2 (EMC Update) v0.20_NRA_model_for_NEMO2 (EMC Update) v0.21_NRA_model_for_NEMO2 (EMC Update) v0.29_NRA_model_for_NEMO2 (EMC Update) v0.29.3_NRA_model_for_NEMO2 (EMC Update) v0.29.5" xfId="872" xr:uid="{00000000-0005-0000-0000-000012030000}"/>
    <cellStyle name="%_NRA_model_for_NEMO2 (EMC Update) v0.20_NRA_model_for_NEMO2 (EMC Update) v0.21_NRA_model_for_NEMO2 (EMC Update) v0.29_NRA_model_for_NEMO2 (EMC Update) v0.29.3_NRA_model_for_NEMO2 (EMC Update) v0.29.5_NRA_model_for_NEMO2 (EMC Update) v0 30 1" xfId="873" xr:uid="{00000000-0005-0000-0000-000013030000}"/>
    <cellStyle name="%_NRA_model_for_NEMO2 (EMC Update) v0.20_NRA_model_for_NEMO2 (EMC Update) v0.21_NRA_model_for_NEMO2 (EMC Update) v0.29_NRA_model_for_NEMO2 (EMC Update) v0.29.4" xfId="874" xr:uid="{00000000-0005-0000-0000-000014030000}"/>
    <cellStyle name="%_NRA_model_for_NEMO2 (EMC Update) v0.20_NRA_model_for_NEMO2 (EMC Update) v0.21_NRA_model_for_NEMO2 (EMC Update) v0.29_NRA_model_for_NEMO2 (EMC Update) v0.29.4_NRA_model_for_NEMO2 (EMC Update) v0 30 1" xfId="875" xr:uid="{00000000-0005-0000-0000-000015030000}"/>
    <cellStyle name="%_NRA_model_for_NEMO2 (EMC Update) v0.20_NRA_model_for_NEMO2 (EMC Update) v0.21_NRA_model_for_NEMO2 (EMC Update) v0.29_NRA_model_for_NEMO2 (EMC Update) v0.29.4_NRA_model_for_NEMO2 (EMC Update) v0.29.5" xfId="876" xr:uid="{00000000-0005-0000-0000-000016030000}"/>
    <cellStyle name="%_NRA_model_for_NEMO2 (EMC Update) v0.20_NRA_model_for_NEMO2 (EMC Update) v0.21_NRA_model_for_NEMO2 (EMC Update) v0.29_NRA_model_for_NEMO2 (EMC Update) v0.29.4_NRA_model_for_NEMO2 (EMC Update) v0.29.5_NRA_model_for_NEMO2 (EMC Update) v0 30 1" xfId="877" xr:uid="{00000000-0005-0000-0000-000017030000}"/>
    <cellStyle name="%_NRA_model_for_NEMO2 (EMC Update) v0.20_NRA_model_for_NEMO2 (EMC Update) v0.21_NRA_model_for_NEMO2 (EMC Update) v0.29_NRA_model_for_NEMO2 (EMC Update) v0.29.5" xfId="878" xr:uid="{00000000-0005-0000-0000-000018030000}"/>
    <cellStyle name="%_NRA_model_for_NEMO2 (EMC Update) v0.20_NRA_model_for_NEMO2 (EMC Update) v0.21_NRA_model_for_NEMO2 (EMC Update) v0.29_NRA_model_for_NEMO2 (EMC Update) v0.29.5_NRA_model_for_NEMO2 (EMC Update) v0 30 1" xfId="879" xr:uid="{00000000-0005-0000-0000-000019030000}"/>
    <cellStyle name="%_NRA_model_for_NEMO2 (EMC Update) v0.20_NRA_model_for_NEMO2 (EMC Update) v0.22" xfId="880" xr:uid="{00000000-0005-0000-0000-00001A030000}"/>
    <cellStyle name="%_NRA_model_for_NEMO2 (EMC Update) v0.20_NRA_model_for_NEMO2 (EMC Update) v0.22_NRA_model_for_NEMO2 (EMC Update) v0 30 1" xfId="881" xr:uid="{00000000-0005-0000-0000-00001B030000}"/>
    <cellStyle name="%_NRA_model_for_NEMO2 (EMC Update) v0.20_NRA_model_for_NEMO2 (EMC Update) v0.22_NRA_model_for_NEMO2 (EMC Update) v0.25" xfId="882" xr:uid="{00000000-0005-0000-0000-00001C030000}"/>
    <cellStyle name="%_NRA_model_for_NEMO2 (EMC Update) v0.20_NRA_model_for_NEMO2 (EMC Update) v0.22_NRA_model_for_NEMO2 (EMC Update) v0.25_NRA_model_for_NEMO2 (EMC Update) v0 30 1" xfId="883" xr:uid="{00000000-0005-0000-0000-00001D030000}"/>
    <cellStyle name="%_NRA_model_for_NEMO2 (EMC Update) v0.20_NRA_model_for_NEMO2 (EMC Update) v0.22_NRA_model_for_NEMO2 (EMC Update) v0.25_NRA_model_for_NEMO2 (EMC Update) v0.26" xfId="884" xr:uid="{00000000-0005-0000-0000-00001E030000}"/>
    <cellStyle name="%_NRA_model_for_NEMO2 (EMC Update) v0.20_NRA_model_for_NEMO2 (EMC Update) v0.22_NRA_model_for_NEMO2 (EMC Update) v0.25_NRA_model_for_NEMO2 (EMC Update) v0.26_NRA_model_for_NEMO2 (EMC Update) v0 30 1" xfId="885" xr:uid="{00000000-0005-0000-0000-00001F030000}"/>
    <cellStyle name="%_NRA_model_for_NEMO2 (EMC Update) v0.20_NRA_model_for_NEMO2 (EMC Update) v0.22_NRA_model_for_NEMO2 (EMC Update) v0.25_NRA_model_for_NEMO2 (EMC Update) v0.26_NRA_model_for_NEMO2 (EMC Update) v0.29" xfId="886" xr:uid="{00000000-0005-0000-0000-000020030000}"/>
    <cellStyle name="%_NRA_model_for_NEMO2 (EMC Update) v0.20_NRA_model_for_NEMO2 (EMC Update) v0.22_NRA_model_for_NEMO2 (EMC Update) v0.25_NRA_model_for_NEMO2 (EMC Update) v0.26_NRA_model_for_NEMO2 (EMC Update) v0.29.2" xfId="887" xr:uid="{00000000-0005-0000-0000-000021030000}"/>
    <cellStyle name="%_NRA_model_for_NEMO2 (EMC Update) v0.20_NRA_model_for_NEMO2 (EMC Update) v0.22_NRA_model_for_NEMO2 (EMC Update) v0.25_NRA_model_for_NEMO2 (EMC Update) v0.26_NRA_model_for_NEMO2 (EMC Update) v0.29.2_NRA_model_for_NEMO2 (EMC Update) v0 30 1" xfId="888" xr:uid="{00000000-0005-0000-0000-000022030000}"/>
    <cellStyle name="%_NRA_model_for_NEMO2 (EMC Update) v0.20_NRA_model_for_NEMO2 (EMC Update) v0.22_NRA_model_for_NEMO2 (EMC Update) v0.25_NRA_model_for_NEMO2 (EMC Update) v0.26_NRA_model_for_NEMO2 (EMC Update) v0.29.2_NRA_model_for_NEMO2 (EMC Update) v0.29.3" xfId="889" xr:uid="{00000000-0005-0000-0000-000023030000}"/>
    <cellStyle name="%_NRA_model_for_NEMO2 (EMC Update) v0.20_NRA_model_for_NEMO2 (EMC Update) v0.22_NRA_model_for_NEMO2 (EMC Update) v0.25_NRA_model_for_NEMO2 (EMC Update) v0.26_NRA_model_for_NEMO2 (EMC Update) v0.29.2_NRA_model_for_NEMO2 (EMC Update) v0.29.4" xfId="890" xr:uid="{00000000-0005-0000-0000-000024030000}"/>
    <cellStyle name="%_NRA_model_for_NEMO2 (EMC Update) v0.20_NRA_model_for_NEMO2 (EMC Update) v0.22_NRA_model_for_NEMO2 (EMC Update) v0.25_NRA_model_for_NEMO2 (EMC Update) v0.26_NRA_model_for_NEMO2 (EMC Update) v0.29.2_NRA_model_for_NEMO2 (EMC Update) v0.29.5" xfId="891" xr:uid="{00000000-0005-0000-0000-000025030000}"/>
    <cellStyle name="%_NRA_model_for_NEMO2 (EMC Update) v0.20_NRA_model_for_NEMO2 (EMC Update) v0.22_NRA_model_for_NEMO2 (EMC Update) v0.25_NRA_model_for_NEMO2 (EMC Update) v0.26_NRA_model_for_NEMO2 (EMC Update) v0.29.3" xfId="892" xr:uid="{00000000-0005-0000-0000-000026030000}"/>
    <cellStyle name="%_NRA_model_for_NEMO2 (EMC Update) v0.20_NRA_model_for_NEMO2 (EMC Update) v0.22_NRA_model_for_NEMO2 (EMC Update) v0.25_NRA_model_for_NEMO2 (EMC Update) v0.26_NRA_model_for_NEMO2 (EMC Update) v0.29.3_NRA_model_for_NEMO2 (EMC Update) v0 30 1" xfId="893" xr:uid="{00000000-0005-0000-0000-000027030000}"/>
    <cellStyle name="%_NRA_model_for_NEMO2 (EMC Update) v0.20_NRA_model_for_NEMO2 (EMC Update) v0.22_NRA_model_for_NEMO2 (EMC Update) v0.25_NRA_model_for_NEMO2 (EMC Update) v0.26_NRA_model_for_NEMO2 (EMC Update) v0.29.3_NRA_model_for_NEMO2 (EMC Update) v0.29.5" xfId="894" xr:uid="{00000000-0005-0000-0000-000028030000}"/>
    <cellStyle name="%_NRA_model_for_NEMO2 (EMC Update) v0.20_NRA_model_for_NEMO2 (EMC Update) v0.22_NRA_model_for_NEMO2 (EMC Update) v0.25_NRA_model_for_NEMO2 (EMC Update) v0.26_NRA_model_for_NEMO2 (EMC Update) v0.29.4" xfId="895" xr:uid="{00000000-0005-0000-0000-000029030000}"/>
    <cellStyle name="%_NRA_model_for_NEMO2 (EMC Update) v0.20_NRA_model_for_NEMO2 (EMC Update) v0.22_NRA_model_for_NEMO2 (EMC Update) v0.25_NRA_model_for_NEMO2 (EMC Update) v0.26_NRA_model_for_NEMO2 (EMC Update) v0.29.4_NRA_model_for_NEMO2 (EMC Update) v0 30 1" xfId="896" xr:uid="{00000000-0005-0000-0000-00002A030000}"/>
    <cellStyle name="%_NRA_model_for_NEMO2 (EMC Update) v0.20_NRA_model_for_NEMO2 (EMC Update) v0.22_NRA_model_for_NEMO2 (EMC Update) v0.25_NRA_model_for_NEMO2 (EMC Update) v0.26_NRA_model_for_NEMO2 (EMC Update) v0.29.4_NRA_model_for_NEMO2 (EMC Update) v0.29.5" xfId="897" xr:uid="{00000000-0005-0000-0000-00002B030000}"/>
    <cellStyle name="%_NRA_model_for_NEMO2 (EMC Update) v0.20_NRA_model_for_NEMO2 (EMC Update) v0.22_NRA_model_for_NEMO2 (EMC Update) v0.25_NRA_model_for_NEMO2 (EMC Update) v0.26_NRA_model_for_NEMO2 (EMC Update) v0.29.5" xfId="898" xr:uid="{00000000-0005-0000-0000-00002C030000}"/>
    <cellStyle name="%_NRA_model_for_NEMO2 (EMC Update) v0.20_NRA_model_for_NEMO2 (EMC Update) v0.22_NRA_model_for_NEMO2 (EMC Update) v0.25_NRA_model_for_NEMO2 (EMC Update) v0.26_NRA_model_for_NEMO2 (EMC Update) v0.29.5_NRA_model_for_NEMO2 (EMC Update) v0 30 1" xfId="899" xr:uid="{00000000-0005-0000-0000-00002D030000}"/>
    <cellStyle name="%_NRA_model_for_NEMO2 (EMC Update) v0.20_NRA_model_for_NEMO2 (EMC Update) v0.22_NRA_model_for_NEMO2 (EMC Update) v0.25_NRA_model_for_NEMO2 (EMC Update) v0.26_NRA_model_for_NEMO2 (EMC Update) v0.29_NRA_model_for_NEMO2 (EMC Update) v0 30 1" xfId="900" xr:uid="{00000000-0005-0000-0000-00002E030000}"/>
    <cellStyle name="%_NRA_model_for_NEMO2 (EMC Update) v0.20_NRA_model_for_NEMO2 (EMC Update) v0.22_NRA_model_for_NEMO2 (EMC Update) v0.25_NRA_model_for_NEMO2 (EMC Update) v0.26_NRA_model_for_NEMO2 (EMC Update) v0.29_NRA_model_for_NEMO2 (EMC Update) v0.29.2" xfId="901" xr:uid="{00000000-0005-0000-0000-00002F030000}"/>
    <cellStyle name="%_NRA_model_for_NEMO2 (EMC Update) v0.20_NRA_model_for_NEMO2 (EMC Update) v0.22_NRA_model_for_NEMO2 (EMC Update) v0.25_NRA_model_for_NEMO2 (EMC Update) v0.26_NRA_model_for_NEMO2 (EMC Update) v0.29_NRA_model_for_NEMO2 (EMC Update) v0.29.3" xfId="902" xr:uid="{00000000-0005-0000-0000-000030030000}"/>
    <cellStyle name="%_NRA_model_for_NEMO2 (EMC Update) v0.20_NRA_model_for_NEMO2 (EMC Update) v0.22_NRA_model_for_NEMO2 (EMC Update) v0.25_NRA_model_for_NEMO2 (EMC Update) v0.26_NRA_model_for_NEMO2 (EMC Update) v0.29_NRA_model_for_NEMO2 (EMC Update) v0.29.4" xfId="903" xr:uid="{00000000-0005-0000-0000-000031030000}"/>
    <cellStyle name="%_NRA_model_for_NEMO2 (EMC Update) v0.20_NRA_model_for_NEMO2 (EMC Update) v0.22_NRA_model_for_NEMO2 (EMC Update) v0.25_NRA_model_for_NEMO2 (EMC Update) v0.26_NRA_model_for_NEMO2 (EMC Update) v0.29_NRA_model_for_NEMO2 (EMC Update) v0.29.5" xfId="904" xr:uid="{00000000-0005-0000-0000-000032030000}"/>
    <cellStyle name="%_NRA_model_for_NEMO2 (EMC Update) v0.20_NRA_model_for_NEMO2 (EMC Update) v0.22_NRA_model_for_NEMO2 (EMC Update) v0.25_NRA_model_for_NEMO2 (EMC Update) v0.29" xfId="905" xr:uid="{00000000-0005-0000-0000-000033030000}"/>
    <cellStyle name="%_NRA_model_for_NEMO2 (EMC Update) v0.20_NRA_model_for_NEMO2 (EMC Update) v0.22_NRA_model_for_NEMO2 (EMC Update) v0.25_NRA_model_for_NEMO2 (EMC Update) v0.29.2" xfId="906" xr:uid="{00000000-0005-0000-0000-000034030000}"/>
    <cellStyle name="%_NRA_model_for_NEMO2 (EMC Update) v0.20_NRA_model_for_NEMO2 (EMC Update) v0.22_NRA_model_for_NEMO2 (EMC Update) v0.25_NRA_model_for_NEMO2 (EMC Update) v0.29.2_NRA_model_for_NEMO2 (EMC Update) v0 30 1" xfId="907" xr:uid="{00000000-0005-0000-0000-000035030000}"/>
    <cellStyle name="%_NRA_model_for_NEMO2 (EMC Update) v0.20_NRA_model_for_NEMO2 (EMC Update) v0.22_NRA_model_for_NEMO2 (EMC Update) v0.25_NRA_model_for_NEMO2 (EMC Update) v0.29.2_NRA_model_for_NEMO2 (EMC Update) v0.29.3" xfId="908" xr:uid="{00000000-0005-0000-0000-000036030000}"/>
    <cellStyle name="%_NRA_model_for_NEMO2 (EMC Update) v0.20_NRA_model_for_NEMO2 (EMC Update) v0.22_NRA_model_for_NEMO2 (EMC Update) v0.25_NRA_model_for_NEMO2 (EMC Update) v0.29.2_NRA_model_for_NEMO2 (EMC Update) v0.29.3_NRA_model_for_NEMO2 (EMC Update) v0 30 1" xfId="909" xr:uid="{00000000-0005-0000-0000-000037030000}"/>
    <cellStyle name="%_NRA_model_for_NEMO2 (EMC Update) v0.20_NRA_model_for_NEMO2 (EMC Update) v0.22_NRA_model_for_NEMO2 (EMC Update) v0.25_NRA_model_for_NEMO2 (EMC Update) v0.29.2_NRA_model_for_NEMO2 (EMC Update) v0.29.3_NRA_model_for_NEMO2 (EMC Update) v0.29.5" xfId="910" xr:uid="{00000000-0005-0000-0000-000038030000}"/>
    <cellStyle name="%_NRA_model_for_NEMO2 (EMC Update) v0.20_NRA_model_for_NEMO2 (EMC Update) v0.22_NRA_model_for_NEMO2 (EMC Update) v0.25_NRA_model_for_NEMO2 (EMC Update) v0.29.2_NRA_model_for_NEMO2 (EMC Update) v0.29.4" xfId="911" xr:uid="{00000000-0005-0000-0000-000039030000}"/>
    <cellStyle name="%_NRA_model_for_NEMO2 (EMC Update) v0.20_NRA_model_for_NEMO2 (EMC Update) v0.22_NRA_model_for_NEMO2 (EMC Update) v0.25_NRA_model_for_NEMO2 (EMC Update) v0.29.2_NRA_model_for_NEMO2 (EMC Update) v0.29.4_NRA_model_for_NEMO2 (EMC Update) v0 30 1" xfId="912" xr:uid="{00000000-0005-0000-0000-00003A030000}"/>
    <cellStyle name="%_NRA_model_for_NEMO2 (EMC Update) v0.20_NRA_model_for_NEMO2 (EMC Update) v0.22_NRA_model_for_NEMO2 (EMC Update) v0.25_NRA_model_for_NEMO2 (EMC Update) v0.29.2_NRA_model_for_NEMO2 (EMC Update) v0.29.4_NRA_model_for_NEMO2 (EMC Update) v0.29.5" xfId="913" xr:uid="{00000000-0005-0000-0000-00003B030000}"/>
    <cellStyle name="%_NRA_model_for_NEMO2 (EMC Update) v0.20_NRA_model_for_NEMO2 (EMC Update) v0.22_NRA_model_for_NEMO2 (EMC Update) v0.25_NRA_model_for_NEMO2 (EMC Update) v0.29.2_NRA_model_for_NEMO2 (EMC Update) v0.29.5" xfId="914" xr:uid="{00000000-0005-0000-0000-00003C030000}"/>
    <cellStyle name="%_NRA_model_for_NEMO2 (EMC Update) v0.20_NRA_model_for_NEMO2 (EMC Update) v0.22_NRA_model_for_NEMO2 (EMC Update) v0.25_NRA_model_for_NEMO2 (EMC Update) v0.29.2_NRA_model_for_NEMO2 (EMC Update) v0.29.5_NRA_model_for_NEMO2 (EMC Update) v0 30 1" xfId="915" xr:uid="{00000000-0005-0000-0000-00003D030000}"/>
    <cellStyle name="%_NRA_model_for_NEMO2 (EMC Update) v0.20_NRA_model_for_NEMO2 (EMC Update) v0.22_NRA_model_for_NEMO2 (EMC Update) v0.25_NRA_model_for_NEMO2 (EMC Update) v0.29.3" xfId="916" xr:uid="{00000000-0005-0000-0000-00003E030000}"/>
    <cellStyle name="%_NRA_model_for_NEMO2 (EMC Update) v0.20_NRA_model_for_NEMO2 (EMC Update) v0.22_NRA_model_for_NEMO2 (EMC Update) v0.25_NRA_model_for_NEMO2 (EMC Update) v0.29.3_NRA_model_for_NEMO2 (EMC Update) v0 30 1" xfId="917" xr:uid="{00000000-0005-0000-0000-00003F030000}"/>
    <cellStyle name="%_NRA_model_for_NEMO2 (EMC Update) v0.20_NRA_model_for_NEMO2 (EMC Update) v0.22_NRA_model_for_NEMO2 (EMC Update) v0.25_NRA_model_for_NEMO2 (EMC Update) v0.29.3_NRA_model_for_NEMO2 (EMC Update) v0.29.5" xfId="918" xr:uid="{00000000-0005-0000-0000-000040030000}"/>
    <cellStyle name="%_NRA_model_for_NEMO2 (EMC Update) v0.20_NRA_model_for_NEMO2 (EMC Update) v0.22_NRA_model_for_NEMO2 (EMC Update) v0.25_NRA_model_for_NEMO2 (EMC Update) v0.29.3_NRA_model_for_NEMO2 (EMC Update) v0.29.5_NRA_model_for_NEMO2 (EMC Update) v0 30 1" xfId="919" xr:uid="{00000000-0005-0000-0000-000041030000}"/>
    <cellStyle name="%_NRA_model_for_NEMO2 (EMC Update) v0.20_NRA_model_for_NEMO2 (EMC Update) v0.22_NRA_model_for_NEMO2 (EMC Update) v0.25_NRA_model_for_NEMO2 (EMC Update) v0.29.4" xfId="920" xr:uid="{00000000-0005-0000-0000-000042030000}"/>
    <cellStyle name="%_NRA_model_for_NEMO2 (EMC Update) v0.20_NRA_model_for_NEMO2 (EMC Update) v0.22_NRA_model_for_NEMO2 (EMC Update) v0.25_NRA_model_for_NEMO2 (EMC Update) v0.29.4_NRA_model_for_NEMO2 (EMC Update) v0 30 1" xfId="921" xr:uid="{00000000-0005-0000-0000-000043030000}"/>
    <cellStyle name="%_NRA_model_for_NEMO2 (EMC Update) v0.20_NRA_model_for_NEMO2 (EMC Update) v0.22_NRA_model_for_NEMO2 (EMC Update) v0.25_NRA_model_for_NEMO2 (EMC Update) v0.29.4_NRA_model_for_NEMO2 (EMC Update) v0.29.5" xfId="922" xr:uid="{00000000-0005-0000-0000-000044030000}"/>
    <cellStyle name="%_NRA_model_for_NEMO2 (EMC Update) v0.20_NRA_model_for_NEMO2 (EMC Update) v0.22_NRA_model_for_NEMO2 (EMC Update) v0.25_NRA_model_for_NEMO2 (EMC Update) v0.29.4_NRA_model_for_NEMO2 (EMC Update) v0.29.5_NRA_model_for_NEMO2 (EMC Update) v0 30 1" xfId="923" xr:uid="{00000000-0005-0000-0000-000045030000}"/>
    <cellStyle name="%_NRA_model_for_NEMO2 (EMC Update) v0.20_NRA_model_for_NEMO2 (EMC Update) v0.22_NRA_model_for_NEMO2 (EMC Update) v0.25_NRA_model_for_NEMO2 (EMC Update) v0.29.5" xfId="924" xr:uid="{00000000-0005-0000-0000-000046030000}"/>
    <cellStyle name="%_NRA_model_for_NEMO2 (EMC Update) v0.20_NRA_model_for_NEMO2 (EMC Update) v0.22_NRA_model_for_NEMO2 (EMC Update) v0.25_NRA_model_for_NEMO2 (EMC Update) v0.29.5_NRA_model_for_NEMO2 (EMC Update) v0 30 1" xfId="925" xr:uid="{00000000-0005-0000-0000-000047030000}"/>
    <cellStyle name="%_NRA_model_for_NEMO2 (EMC Update) v0.20_NRA_model_for_NEMO2 (EMC Update) v0.22_NRA_model_for_NEMO2 (EMC Update) v0.25_NRA_model_for_NEMO2 (EMC Update) v0.29_NRA_model_for_NEMO2 (EMC Update) v0 30 1" xfId="926" xr:uid="{00000000-0005-0000-0000-000048030000}"/>
    <cellStyle name="%_NRA_model_for_NEMO2 (EMC Update) v0.20_NRA_model_for_NEMO2 (EMC Update) v0.22_NRA_model_for_NEMO2 (EMC Update) v0.25_NRA_model_for_NEMO2 (EMC Update) v0.29_NRA_model_for_NEMO2 (EMC Update) v0.29.2" xfId="927" xr:uid="{00000000-0005-0000-0000-000049030000}"/>
    <cellStyle name="%_NRA_model_for_NEMO2 (EMC Update) v0.20_NRA_model_for_NEMO2 (EMC Update) v0.22_NRA_model_for_NEMO2 (EMC Update) v0.25_NRA_model_for_NEMO2 (EMC Update) v0.29_NRA_model_for_NEMO2 (EMC Update) v0.29.2_NRA_model_for_NEMO2 (EMC Update) v0 30 1" xfId="928" xr:uid="{00000000-0005-0000-0000-00004A030000}"/>
    <cellStyle name="%_NRA_model_for_NEMO2 (EMC Update) v0.20_NRA_model_for_NEMO2 (EMC Update) v0.22_NRA_model_for_NEMO2 (EMC Update) v0.25_NRA_model_for_NEMO2 (EMC Update) v0.29_NRA_model_for_NEMO2 (EMC Update) v0.29.2_NRA_model_for_NEMO2 (EMC Update) v0.29.3" xfId="929" xr:uid="{00000000-0005-0000-0000-00004B030000}"/>
    <cellStyle name="%_NRA_model_for_NEMO2 (EMC Update) v0.20_NRA_model_for_NEMO2 (EMC Update) v0.22_NRA_model_for_NEMO2 (EMC Update) v0.25_NRA_model_for_NEMO2 (EMC Update) v0.29_NRA_model_for_NEMO2 (EMC Update) v0.29.2_NRA_model_for_NEMO2 (EMC Update) v0.29.4" xfId="930" xr:uid="{00000000-0005-0000-0000-00004C030000}"/>
    <cellStyle name="%_NRA_model_for_NEMO2 (EMC Update) v0.20_NRA_model_for_NEMO2 (EMC Update) v0.22_NRA_model_for_NEMO2 (EMC Update) v0.25_NRA_model_for_NEMO2 (EMC Update) v0.29_NRA_model_for_NEMO2 (EMC Update) v0.29.2_NRA_model_for_NEMO2 (EMC Update) v0.29.5" xfId="931" xr:uid="{00000000-0005-0000-0000-00004D030000}"/>
    <cellStyle name="%_NRA_model_for_NEMO2 (EMC Update) v0.20_NRA_model_for_NEMO2 (EMC Update) v0.22_NRA_model_for_NEMO2 (EMC Update) v0.25_NRA_model_for_NEMO2 (EMC Update) v0.29_NRA_model_for_NEMO2 (EMC Update) v0.29.3" xfId="932" xr:uid="{00000000-0005-0000-0000-00004E030000}"/>
    <cellStyle name="%_NRA_model_for_NEMO2 (EMC Update) v0.20_NRA_model_for_NEMO2 (EMC Update) v0.22_NRA_model_for_NEMO2 (EMC Update) v0.25_NRA_model_for_NEMO2 (EMC Update) v0.29_NRA_model_for_NEMO2 (EMC Update) v0.29.3_NRA_model_for_NEMO2 (EMC Update) v0 30 1" xfId="933" xr:uid="{00000000-0005-0000-0000-00004F030000}"/>
    <cellStyle name="%_NRA_model_for_NEMO2 (EMC Update) v0.20_NRA_model_for_NEMO2 (EMC Update) v0.22_NRA_model_for_NEMO2 (EMC Update) v0.25_NRA_model_for_NEMO2 (EMC Update) v0.29_NRA_model_for_NEMO2 (EMC Update) v0.29.3_NRA_model_for_NEMO2 (EMC Update) v0.29.5" xfId="934" xr:uid="{00000000-0005-0000-0000-000050030000}"/>
    <cellStyle name="%_NRA_model_for_NEMO2 (EMC Update) v0.20_NRA_model_for_NEMO2 (EMC Update) v0.22_NRA_model_for_NEMO2 (EMC Update) v0.25_NRA_model_for_NEMO2 (EMC Update) v0.29_NRA_model_for_NEMO2 (EMC Update) v0.29.4" xfId="935" xr:uid="{00000000-0005-0000-0000-000051030000}"/>
    <cellStyle name="%_NRA_model_for_NEMO2 (EMC Update) v0.20_NRA_model_for_NEMO2 (EMC Update) v0.22_NRA_model_for_NEMO2 (EMC Update) v0.25_NRA_model_for_NEMO2 (EMC Update) v0.29_NRA_model_for_NEMO2 (EMC Update) v0.29.4_NRA_model_for_NEMO2 (EMC Update) v0 30 1" xfId="936" xr:uid="{00000000-0005-0000-0000-000052030000}"/>
    <cellStyle name="%_NRA_model_for_NEMO2 (EMC Update) v0.20_NRA_model_for_NEMO2 (EMC Update) v0.22_NRA_model_for_NEMO2 (EMC Update) v0.25_NRA_model_for_NEMO2 (EMC Update) v0.29_NRA_model_for_NEMO2 (EMC Update) v0.29.4_NRA_model_for_NEMO2 (EMC Update) v0.29.5" xfId="937" xr:uid="{00000000-0005-0000-0000-000053030000}"/>
    <cellStyle name="%_NRA_model_for_NEMO2 (EMC Update) v0.20_NRA_model_for_NEMO2 (EMC Update) v0.22_NRA_model_for_NEMO2 (EMC Update) v0.25_NRA_model_for_NEMO2 (EMC Update) v0.29_NRA_model_for_NEMO2 (EMC Update) v0.29.5" xfId="938" xr:uid="{00000000-0005-0000-0000-000054030000}"/>
    <cellStyle name="%_NRA_model_for_NEMO2 (EMC Update) v0.20_NRA_model_for_NEMO2 (EMC Update) v0.22_NRA_model_for_NEMO2 (EMC Update) v0.25_NRA_model_for_NEMO2 (EMC Update) v0.29_NRA_model_for_NEMO2 (EMC Update) v0.29.5_NRA_model_for_NEMO2 (EMC Update) v0 30 1" xfId="939" xr:uid="{00000000-0005-0000-0000-000055030000}"/>
    <cellStyle name="%_NRA_model_for_NEMO2 (EMC Update) v0.20_NRA_model_for_NEMO2 (EMC Update) v0.22_NRA_model_for_NEMO2 (EMC Update) v0.26" xfId="940" xr:uid="{00000000-0005-0000-0000-000056030000}"/>
    <cellStyle name="%_NRA_model_for_NEMO2 (EMC Update) v0.20_NRA_model_for_NEMO2 (EMC Update) v0.22_NRA_model_for_NEMO2 (EMC Update) v0.26_NRA_model_for_NEMO2 (EMC Update) v0 30 1" xfId="941" xr:uid="{00000000-0005-0000-0000-000057030000}"/>
    <cellStyle name="%_NRA_model_for_NEMO2 (EMC Update) v0.20_NRA_model_for_NEMO2 (EMC Update) v0.22_NRA_model_for_NEMO2 (EMC Update) v0.26_NRA_model_for_NEMO2 (EMC Update) v0.29" xfId="942" xr:uid="{00000000-0005-0000-0000-000058030000}"/>
    <cellStyle name="%_NRA_model_for_NEMO2 (EMC Update) v0.20_NRA_model_for_NEMO2 (EMC Update) v0.22_NRA_model_for_NEMO2 (EMC Update) v0.26_NRA_model_for_NEMO2 (EMC Update) v0.29.2" xfId="943" xr:uid="{00000000-0005-0000-0000-000059030000}"/>
    <cellStyle name="%_NRA_model_for_NEMO2 (EMC Update) v0.20_NRA_model_for_NEMO2 (EMC Update) v0.22_NRA_model_for_NEMO2 (EMC Update) v0.26_NRA_model_for_NEMO2 (EMC Update) v0.29.2_NRA_model_for_NEMO2 (EMC Update) v0 30 1" xfId="944" xr:uid="{00000000-0005-0000-0000-00005A030000}"/>
    <cellStyle name="%_NRA_model_for_NEMO2 (EMC Update) v0.20_NRA_model_for_NEMO2 (EMC Update) v0.22_NRA_model_for_NEMO2 (EMC Update) v0.26_NRA_model_for_NEMO2 (EMC Update) v0.29.2_NRA_model_for_NEMO2 (EMC Update) v0.29.3" xfId="945" xr:uid="{00000000-0005-0000-0000-00005B030000}"/>
    <cellStyle name="%_NRA_model_for_NEMO2 (EMC Update) v0.20_NRA_model_for_NEMO2 (EMC Update) v0.22_NRA_model_for_NEMO2 (EMC Update) v0.26_NRA_model_for_NEMO2 (EMC Update) v0.29.2_NRA_model_for_NEMO2 (EMC Update) v0.29.3_NRA_model_for_NEMO2 (EMC Update) v0 30 1" xfId="946" xr:uid="{00000000-0005-0000-0000-00005C030000}"/>
    <cellStyle name="%_NRA_model_for_NEMO2 (EMC Update) v0.20_NRA_model_for_NEMO2 (EMC Update) v0.22_NRA_model_for_NEMO2 (EMC Update) v0.26_NRA_model_for_NEMO2 (EMC Update) v0.29.2_NRA_model_for_NEMO2 (EMC Update) v0.29.3_NRA_model_for_NEMO2 (EMC Update) v0.29.5" xfId="947" xr:uid="{00000000-0005-0000-0000-00005D030000}"/>
    <cellStyle name="%_NRA_model_for_NEMO2 (EMC Update) v0.20_NRA_model_for_NEMO2 (EMC Update) v0.22_NRA_model_for_NEMO2 (EMC Update) v0.26_NRA_model_for_NEMO2 (EMC Update) v0.29.2_NRA_model_for_NEMO2 (EMC Update) v0.29.4" xfId="948" xr:uid="{00000000-0005-0000-0000-00005E030000}"/>
    <cellStyle name="%_NRA_model_for_NEMO2 (EMC Update) v0.20_NRA_model_for_NEMO2 (EMC Update) v0.22_NRA_model_for_NEMO2 (EMC Update) v0.26_NRA_model_for_NEMO2 (EMC Update) v0.29.2_NRA_model_for_NEMO2 (EMC Update) v0.29.4_NRA_model_for_NEMO2 (EMC Update) v0 30 1" xfId="949" xr:uid="{00000000-0005-0000-0000-00005F030000}"/>
    <cellStyle name="%_NRA_model_for_NEMO2 (EMC Update) v0.20_NRA_model_for_NEMO2 (EMC Update) v0.22_NRA_model_for_NEMO2 (EMC Update) v0.26_NRA_model_for_NEMO2 (EMC Update) v0.29.2_NRA_model_for_NEMO2 (EMC Update) v0.29.4_NRA_model_for_NEMO2 (EMC Update) v0.29.5" xfId="950" xr:uid="{00000000-0005-0000-0000-000060030000}"/>
    <cellStyle name="%_NRA_model_for_NEMO2 (EMC Update) v0.20_NRA_model_for_NEMO2 (EMC Update) v0.22_NRA_model_for_NEMO2 (EMC Update) v0.26_NRA_model_for_NEMO2 (EMC Update) v0.29.2_NRA_model_for_NEMO2 (EMC Update) v0.29.5" xfId="951" xr:uid="{00000000-0005-0000-0000-000061030000}"/>
    <cellStyle name="%_NRA_model_for_NEMO2 (EMC Update) v0.20_NRA_model_for_NEMO2 (EMC Update) v0.22_NRA_model_for_NEMO2 (EMC Update) v0.26_NRA_model_for_NEMO2 (EMC Update) v0.29.2_NRA_model_for_NEMO2 (EMC Update) v0.29.5_NRA_model_for_NEMO2 (EMC Update) v0 30 1" xfId="952" xr:uid="{00000000-0005-0000-0000-000062030000}"/>
    <cellStyle name="%_NRA_model_for_NEMO2 (EMC Update) v0.20_NRA_model_for_NEMO2 (EMC Update) v0.22_NRA_model_for_NEMO2 (EMC Update) v0.26_NRA_model_for_NEMO2 (EMC Update) v0.29.3" xfId="953" xr:uid="{00000000-0005-0000-0000-000063030000}"/>
    <cellStyle name="%_NRA_model_for_NEMO2 (EMC Update) v0.20_NRA_model_for_NEMO2 (EMC Update) v0.22_NRA_model_for_NEMO2 (EMC Update) v0.26_NRA_model_for_NEMO2 (EMC Update) v0.29.3_NRA_model_for_NEMO2 (EMC Update) v0 30 1" xfId="954" xr:uid="{00000000-0005-0000-0000-000064030000}"/>
    <cellStyle name="%_NRA_model_for_NEMO2 (EMC Update) v0.20_NRA_model_for_NEMO2 (EMC Update) v0.22_NRA_model_for_NEMO2 (EMC Update) v0.26_NRA_model_for_NEMO2 (EMC Update) v0.29.3_NRA_model_for_NEMO2 (EMC Update) v0.29.5" xfId="955" xr:uid="{00000000-0005-0000-0000-000065030000}"/>
    <cellStyle name="%_NRA_model_for_NEMO2 (EMC Update) v0.20_NRA_model_for_NEMO2 (EMC Update) v0.22_NRA_model_for_NEMO2 (EMC Update) v0.26_NRA_model_for_NEMO2 (EMC Update) v0.29.3_NRA_model_for_NEMO2 (EMC Update) v0.29.5_NRA_model_for_NEMO2 (EMC Update) v0 30 1" xfId="956" xr:uid="{00000000-0005-0000-0000-000066030000}"/>
    <cellStyle name="%_NRA_model_for_NEMO2 (EMC Update) v0.20_NRA_model_for_NEMO2 (EMC Update) v0.22_NRA_model_for_NEMO2 (EMC Update) v0.26_NRA_model_for_NEMO2 (EMC Update) v0.29.4" xfId="957" xr:uid="{00000000-0005-0000-0000-000067030000}"/>
    <cellStyle name="%_NRA_model_for_NEMO2 (EMC Update) v0.20_NRA_model_for_NEMO2 (EMC Update) v0.22_NRA_model_for_NEMO2 (EMC Update) v0.26_NRA_model_for_NEMO2 (EMC Update) v0.29.4_NRA_model_for_NEMO2 (EMC Update) v0 30 1" xfId="958" xr:uid="{00000000-0005-0000-0000-000068030000}"/>
    <cellStyle name="%_NRA_model_for_NEMO2 (EMC Update) v0.20_NRA_model_for_NEMO2 (EMC Update) v0.22_NRA_model_for_NEMO2 (EMC Update) v0.26_NRA_model_for_NEMO2 (EMC Update) v0.29.4_NRA_model_for_NEMO2 (EMC Update) v0.29.5" xfId="959" xr:uid="{00000000-0005-0000-0000-000069030000}"/>
    <cellStyle name="%_NRA_model_for_NEMO2 (EMC Update) v0.20_NRA_model_for_NEMO2 (EMC Update) v0.22_NRA_model_for_NEMO2 (EMC Update) v0.26_NRA_model_for_NEMO2 (EMC Update) v0.29.4_NRA_model_for_NEMO2 (EMC Update) v0.29.5_NRA_model_for_NEMO2 (EMC Update) v0 30 1" xfId="960" xr:uid="{00000000-0005-0000-0000-00006A030000}"/>
    <cellStyle name="%_NRA_model_for_NEMO2 (EMC Update) v0.20_NRA_model_for_NEMO2 (EMC Update) v0.22_NRA_model_for_NEMO2 (EMC Update) v0.26_NRA_model_for_NEMO2 (EMC Update) v0.29.5" xfId="961" xr:uid="{00000000-0005-0000-0000-00006B030000}"/>
    <cellStyle name="%_NRA_model_for_NEMO2 (EMC Update) v0.20_NRA_model_for_NEMO2 (EMC Update) v0.22_NRA_model_for_NEMO2 (EMC Update) v0.26_NRA_model_for_NEMO2 (EMC Update) v0.29.5_NRA_model_for_NEMO2 (EMC Update) v0 30 1" xfId="962" xr:uid="{00000000-0005-0000-0000-00006C030000}"/>
    <cellStyle name="%_NRA_model_for_NEMO2 (EMC Update) v0.20_NRA_model_for_NEMO2 (EMC Update) v0.22_NRA_model_for_NEMO2 (EMC Update) v0.26_NRA_model_for_NEMO2 (EMC Update) v0.29_NRA_model_for_NEMO2 (EMC Update) v0 30 1" xfId="963" xr:uid="{00000000-0005-0000-0000-00006D030000}"/>
    <cellStyle name="%_NRA_model_for_NEMO2 (EMC Update) v0.20_NRA_model_for_NEMO2 (EMC Update) v0.22_NRA_model_for_NEMO2 (EMC Update) v0.26_NRA_model_for_NEMO2 (EMC Update) v0.29_NRA_model_for_NEMO2 (EMC Update) v0.29.2" xfId="964" xr:uid="{00000000-0005-0000-0000-00006E030000}"/>
    <cellStyle name="%_NRA_model_for_NEMO2 (EMC Update) v0.20_NRA_model_for_NEMO2 (EMC Update) v0.22_NRA_model_for_NEMO2 (EMC Update) v0.26_NRA_model_for_NEMO2 (EMC Update) v0.29_NRA_model_for_NEMO2 (EMC Update) v0.29.2_NRA_model_for_NEMO2 (EMC Update) v0 30 1" xfId="965" xr:uid="{00000000-0005-0000-0000-00006F030000}"/>
    <cellStyle name="%_NRA_model_for_NEMO2 (EMC Update) v0.20_NRA_model_for_NEMO2 (EMC Update) v0.22_NRA_model_for_NEMO2 (EMC Update) v0.26_NRA_model_for_NEMO2 (EMC Update) v0.29_NRA_model_for_NEMO2 (EMC Update) v0.29.2_NRA_model_for_NEMO2 (EMC Update) v0.29.3" xfId="966" xr:uid="{00000000-0005-0000-0000-000070030000}"/>
    <cellStyle name="%_NRA_model_for_NEMO2 (EMC Update) v0.20_NRA_model_for_NEMO2 (EMC Update) v0.22_NRA_model_for_NEMO2 (EMC Update) v0.26_NRA_model_for_NEMO2 (EMC Update) v0.29_NRA_model_for_NEMO2 (EMC Update) v0.29.2_NRA_model_for_NEMO2 (EMC Update) v0.29.4" xfId="967" xr:uid="{00000000-0005-0000-0000-000071030000}"/>
    <cellStyle name="%_NRA_model_for_NEMO2 (EMC Update) v0.20_NRA_model_for_NEMO2 (EMC Update) v0.22_NRA_model_for_NEMO2 (EMC Update) v0.26_NRA_model_for_NEMO2 (EMC Update) v0.29_NRA_model_for_NEMO2 (EMC Update) v0.29.2_NRA_model_for_NEMO2 (EMC Update) v0.29.5" xfId="968" xr:uid="{00000000-0005-0000-0000-000072030000}"/>
    <cellStyle name="%_NRA_model_for_NEMO2 (EMC Update) v0.20_NRA_model_for_NEMO2 (EMC Update) v0.22_NRA_model_for_NEMO2 (EMC Update) v0.26_NRA_model_for_NEMO2 (EMC Update) v0.29_NRA_model_for_NEMO2 (EMC Update) v0.29.3" xfId="969" xr:uid="{00000000-0005-0000-0000-000073030000}"/>
    <cellStyle name="%_NRA_model_for_NEMO2 (EMC Update) v0.20_NRA_model_for_NEMO2 (EMC Update) v0.22_NRA_model_for_NEMO2 (EMC Update) v0.26_NRA_model_for_NEMO2 (EMC Update) v0.29_NRA_model_for_NEMO2 (EMC Update) v0.29.3_NRA_model_for_NEMO2 (EMC Update) v0 30 1" xfId="970" xr:uid="{00000000-0005-0000-0000-000074030000}"/>
    <cellStyle name="%_NRA_model_for_NEMO2 (EMC Update) v0.20_NRA_model_for_NEMO2 (EMC Update) v0.22_NRA_model_for_NEMO2 (EMC Update) v0.26_NRA_model_for_NEMO2 (EMC Update) v0.29_NRA_model_for_NEMO2 (EMC Update) v0.29.3_NRA_model_for_NEMO2 (EMC Update) v0.29.5" xfId="971" xr:uid="{00000000-0005-0000-0000-000075030000}"/>
    <cellStyle name="%_NRA_model_for_NEMO2 (EMC Update) v0.20_NRA_model_for_NEMO2 (EMC Update) v0.22_NRA_model_for_NEMO2 (EMC Update) v0.26_NRA_model_for_NEMO2 (EMC Update) v0.29_NRA_model_for_NEMO2 (EMC Update) v0.29.4" xfId="972" xr:uid="{00000000-0005-0000-0000-000076030000}"/>
    <cellStyle name="%_NRA_model_for_NEMO2 (EMC Update) v0.20_NRA_model_for_NEMO2 (EMC Update) v0.22_NRA_model_for_NEMO2 (EMC Update) v0.26_NRA_model_for_NEMO2 (EMC Update) v0.29_NRA_model_for_NEMO2 (EMC Update) v0.29.4_NRA_model_for_NEMO2 (EMC Update) v0 30 1" xfId="973" xr:uid="{00000000-0005-0000-0000-000077030000}"/>
    <cellStyle name="%_NRA_model_for_NEMO2 (EMC Update) v0.20_NRA_model_for_NEMO2 (EMC Update) v0.22_NRA_model_for_NEMO2 (EMC Update) v0.26_NRA_model_for_NEMO2 (EMC Update) v0.29_NRA_model_for_NEMO2 (EMC Update) v0.29.4_NRA_model_for_NEMO2 (EMC Update) v0.29.5" xfId="974" xr:uid="{00000000-0005-0000-0000-000078030000}"/>
    <cellStyle name="%_NRA_model_for_NEMO2 (EMC Update) v0.20_NRA_model_for_NEMO2 (EMC Update) v0.22_NRA_model_for_NEMO2 (EMC Update) v0.26_NRA_model_for_NEMO2 (EMC Update) v0.29_NRA_model_for_NEMO2 (EMC Update) v0.29.5" xfId="975" xr:uid="{00000000-0005-0000-0000-000079030000}"/>
    <cellStyle name="%_NRA_model_for_NEMO2 (EMC Update) v0.20_NRA_model_for_NEMO2 (EMC Update) v0.22_NRA_model_for_NEMO2 (EMC Update) v0.26_NRA_model_for_NEMO2 (EMC Update) v0.29_NRA_model_for_NEMO2 (EMC Update) v0.29.5_NRA_model_for_NEMO2 (EMC Update) v0 30 1" xfId="976" xr:uid="{00000000-0005-0000-0000-00007A030000}"/>
    <cellStyle name="%_NRA_model_for_NEMO2 (EMC Update) v0.20_NRA_model_for_NEMO2 (EMC Update) v0.22_NRA_model_for_NEMO2 (EMC Update) v0.29" xfId="977" xr:uid="{00000000-0005-0000-0000-00007B030000}"/>
    <cellStyle name="%_NRA_model_for_NEMO2 (EMC Update) v0.20_NRA_model_for_NEMO2 (EMC Update) v0.22_NRA_model_for_NEMO2 (EMC Update) v0.29.2" xfId="978" xr:uid="{00000000-0005-0000-0000-00007C030000}"/>
    <cellStyle name="%_NRA_model_for_NEMO2 (EMC Update) v0.20_NRA_model_for_NEMO2 (EMC Update) v0.22_NRA_model_for_NEMO2 (EMC Update) v0.29.2_NRA_model_for_NEMO2 (EMC Update) v0 30 1" xfId="979" xr:uid="{00000000-0005-0000-0000-00007D030000}"/>
    <cellStyle name="%_NRA_model_for_NEMO2 (EMC Update) v0.20_NRA_model_for_NEMO2 (EMC Update) v0.22_NRA_model_for_NEMO2 (EMC Update) v0.29.2_NRA_model_for_NEMO2 (EMC Update) v0.29.3" xfId="980" xr:uid="{00000000-0005-0000-0000-00007E030000}"/>
    <cellStyle name="%_NRA_model_for_NEMO2 (EMC Update) v0.20_NRA_model_for_NEMO2 (EMC Update) v0.22_NRA_model_for_NEMO2 (EMC Update) v0.29.2_NRA_model_for_NEMO2 (EMC Update) v0.29.3_NRA_model_for_NEMO2 (EMC Update) v0 30 1" xfId="981" xr:uid="{00000000-0005-0000-0000-00007F030000}"/>
    <cellStyle name="%_NRA_model_for_NEMO2 (EMC Update) v0.20_NRA_model_for_NEMO2 (EMC Update) v0.22_NRA_model_for_NEMO2 (EMC Update) v0.29.2_NRA_model_for_NEMO2 (EMC Update) v0.29.3_NRA_model_for_NEMO2 (EMC Update) v0.29.5" xfId="982" xr:uid="{00000000-0005-0000-0000-000080030000}"/>
    <cellStyle name="%_NRA_model_for_NEMO2 (EMC Update) v0.20_NRA_model_for_NEMO2 (EMC Update) v0.22_NRA_model_for_NEMO2 (EMC Update) v0.29.2_NRA_model_for_NEMO2 (EMC Update) v0.29.3_NRA_model_for_NEMO2 (EMC Update) v0.29.5_NRA_model_for_NEMO2 (EMC Update) v0 30 1" xfId="983" xr:uid="{00000000-0005-0000-0000-000081030000}"/>
    <cellStyle name="%_NRA_model_for_NEMO2 (EMC Update) v0.20_NRA_model_for_NEMO2 (EMC Update) v0.22_NRA_model_for_NEMO2 (EMC Update) v0.29.2_NRA_model_for_NEMO2 (EMC Update) v0.29.4" xfId="984" xr:uid="{00000000-0005-0000-0000-000082030000}"/>
    <cellStyle name="%_NRA_model_for_NEMO2 (EMC Update) v0.20_NRA_model_for_NEMO2 (EMC Update) v0.22_NRA_model_for_NEMO2 (EMC Update) v0.29.2_NRA_model_for_NEMO2 (EMC Update) v0.29.4_NRA_model_for_NEMO2 (EMC Update) v0 30 1" xfId="985" xr:uid="{00000000-0005-0000-0000-000083030000}"/>
    <cellStyle name="%_NRA_model_for_NEMO2 (EMC Update) v0.20_NRA_model_for_NEMO2 (EMC Update) v0.22_NRA_model_for_NEMO2 (EMC Update) v0.29.2_NRA_model_for_NEMO2 (EMC Update) v0.29.4_NRA_model_for_NEMO2 (EMC Update) v0.29.5" xfId="986" xr:uid="{00000000-0005-0000-0000-000084030000}"/>
    <cellStyle name="%_NRA_model_for_NEMO2 (EMC Update) v0.20_NRA_model_for_NEMO2 (EMC Update) v0.22_NRA_model_for_NEMO2 (EMC Update) v0.29.2_NRA_model_for_NEMO2 (EMC Update) v0.29.4_NRA_model_for_NEMO2 (EMC Update) v0.29.5_NRA_model_for_NEMO2 (EMC Update) v0 30 1" xfId="987" xr:uid="{00000000-0005-0000-0000-000085030000}"/>
    <cellStyle name="%_NRA_model_for_NEMO2 (EMC Update) v0.20_NRA_model_for_NEMO2 (EMC Update) v0.22_NRA_model_for_NEMO2 (EMC Update) v0.29.2_NRA_model_for_NEMO2 (EMC Update) v0.29.5" xfId="988" xr:uid="{00000000-0005-0000-0000-000086030000}"/>
    <cellStyle name="%_NRA_model_for_NEMO2 (EMC Update) v0.20_NRA_model_for_NEMO2 (EMC Update) v0.22_NRA_model_for_NEMO2 (EMC Update) v0.29.2_NRA_model_for_NEMO2 (EMC Update) v0.29.5_NRA_model_for_NEMO2 (EMC Update) v0 30 1" xfId="989" xr:uid="{00000000-0005-0000-0000-000087030000}"/>
    <cellStyle name="%_NRA_model_for_NEMO2 (EMC Update) v0.20_NRA_model_for_NEMO2 (EMC Update) v0.22_NRA_model_for_NEMO2 (EMC Update) v0.29.3" xfId="990" xr:uid="{00000000-0005-0000-0000-000088030000}"/>
    <cellStyle name="%_NRA_model_for_NEMO2 (EMC Update) v0.20_NRA_model_for_NEMO2 (EMC Update) v0.22_NRA_model_for_NEMO2 (EMC Update) v0.29.3_NRA_model_for_NEMO2 (EMC Update) v0 30 1" xfId="991" xr:uid="{00000000-0005-0000-0000-000089030000}"/>
    <cellStyle name="%_NRA_model_for_NEMO2 (EMC Update) v0.20_NRA_model_for_NEMO2 (EMC Update) v0.22_NRA_model_for_NEMO2 (EMC Update) v0.29.3_NRA_model_for_NEMO2 (EMC Update) v0.29.5" xfId="992" xr:uid="{00000000-0005-0000-0000-00008A030000}"/>
    <cellStyle name="%_NRA_model_for_NEMO2 (EMC Update) v0.20_NRA_model_for_NEMO2 (EMC Update) v0.22_NRA_model_for_NEMO2 (EMC Update) v0.29.3_NRA_model_for_NEMO2 (EMC Update) v0.29.5_NRA_model_for_NEMO2 (EMC Update) v0 30 1" xfId="993" xr:uid="{00000000-0005-0000-0000-00008B030000}"/>
    <cellStyle name="%_NRA_model_for_NEMO2 (EMC Update) v0.20_NRA_model_for_NEMO2 (EMC Update) v0.22_NRA_model_for_NEMO2 (EMC Update) v0.29.4" xfId="994" xr:uid="{00000000-0005-0000-0000-00008C030000}"/>
    <cellStyle name="%_NRA_model_for_NEMO2 (EMC Update) v0.20_NRA_model_for_NEMO2 (EMC Update) v0.22_NRA_model_for_NEMO2 (EMC Update) v0.29.4_NRA_model_for_NEMO2 (EMC Update) v0 30 1" xfId="995" xr:uid="{00000000-0005-0000-0000-00008D030000}"/>
    <cellStyle name="%_NRA_model_for_NEMO2 (EMC Update) v0.20_NRA_model_for_NEMO2 (EMC Update) v0.22_NRA_model_for_NEMO2 (EMC Update) v0.29.4_NRA_model_for_NEMO2 (EMC Update) v0.29.5" xfId="996" xr:uid="{00000000-0005-0000-0000-00008E030000}"/>
    <cellStyle name="%_NRA_model_for_NEMO2 (EMC Update) v0.20_NRA_model_for_NEMO2 (EMC Update) v0.22_NRA_model_for_NEMO2 (EMC Update) v0.29.4_NRA_model_for_NEMO2 (EMC Update) v0.29.5_NRA_model_for_NEMO2 (EMC Update) v0 30 1" xfId="997" xr:uid="{00000000-0005-0000-0000-00008F030000}"/>
    <cellStyle name="%_NRA_model_for_NEMO2 (EMC Update) v0.20_NRA_model_for_NEMO2 (EMC Update) v0.22_NRA_model_for_NEMO2 (EMC Update) v0.29.5" xfId="998" xr:uid="{00000000-0005-0000-0000-000090030000}"/>
    <cellStyle name="%_NRA_model_for_NEMO2 (EMC Update) v0.20_NRA_model_for_NEMO2 (EMC Update) v0.22_NRA_model_for_NEMO2 (EMC Update) v0.29.5_NRA_model_for_NEMO2 (EMC Update) v0 30 1" xfId="999" xr:uid="{00000000-0005-0000-0000-000091030000}"/>
    <cellStyle name="%_NRA_model_for_NEMO2 (EMC Update) v0.20_NRA_model_for_NEMO2 (EMC Update) v0.22_NRA_model_for_NEMO2 (EMC Update) v0.29_NRA_model_for_NEMO2 (EMC Update) v0 30 1" xfId="1000" xr:uid="{00000000-0005-0000-0000-000092030000}"/>
    <cellStyle name="%_NRA_model_for_NEMO2 (EMC Update) v0.20_NRA_model_for_NEMO2 (EMC Update) v0.22_NRA_model_for_NEMO2 (EMC Update) v0.29_NRA_model_for_NEMO2 (EMC Update) v0.29.2" xfId="1001" xr:uid="{00000000-0005-0000-0000-000093030000}"/>
    <cellStyle name="%_NRA_model_for_NEMO2 (EMC Update) v0.20_NRA_model_for_NEMO2 (EMC Update) v0.22_NRA_model_for_NEMO2 (EMC Update) v0.29_NRA_model_for_NEMO2 (EMC Update) v0.29.2_NRA_model_for_NEMO2 (EMC Update) v0 30 1" xfId="1002" xr:uid="{00000000-0005-0000-0000-000094030000}"/>
    <cellStyle name="%_NRA_model_for_NEMO2 (EMC Update) v0.20_NRA_model_for_NEMO2 (EMC Update) v0.22_NRA_model_for_NEMO2 (EMC Update) v0.29_NRA_model_for_NEMO2 (EMC Update) v0.29.2_NRA_model_for_NEMO2 (EMC Update) v0.29.3" xfId="1003" xr:uid="{00000000-0005-0000-0000-000095030000}"/>
    <cellStyle name="%_NRA_model_for_NEMO2 (EMC Update) v0.20_NRA_model_for_NEMO2 (EMC Update) v0.22_NRA_model_for_NEMO2 (EMC Update) v0.29_NRA_model_for_NEMO2 (EMC Update) v0.29.2_NRA_model_for_NEMO2 (EMC Update) v0.29.3_NRA_model_for_NEMO2 (EMC Update) v0 30 1" xfId="1004" xr:uid="{00000000-0005-0000-0000-000096030000}"/>
    <cellStyle name="%_NRA_model_for_NEMO2 (EMC Update) v0.20_NRA_model_for_NEMO2 (EMC Update) v0.22_NRA_model_for_NEMO2 (EMC Update) v0.29_NRA_model_for_NEMO2 (EMC Update) v0.29.2_NRA_model_for_NEMO2 (EMC Update) v0.29.3_NRA_model_for_NEMO2 (EMC Update) v0.29.5" xfId="1005" xr:uid="{00000000-0005-0000-0000-000097030000}"/>
    <cellStyle name="%_NRA_model_for_NEMO2 (EMC Update) v0.20_NRA_model_for_NEMO2 (EMC Update) v0.22_NRA_model_for_NEMO2 (EMC Update) v0.29_NRA_model_for_NEMO2 (EMC Update) v0.29.2_NRA_model_for_NEMO2 (EMC Update) v0.29.4" xfId="1006" xr:uid="{00000000-0005-0000-0000-000098030000}"/>
    <cellStyle name="%_NRA_model_for_NEMO2 (EMC Update) v0.20_NRA_model_for_NEMO2 (EMC Update) v0.22_NRA_model_for_NEMO2 (EMC Update) v0.29_NRA_model_for_NEMO2 (EMC Update) v0.29.2_NRA_model_for_NEMO2 (EMC Update) v0.29.4_NRA_model_for_NEMO2 (EMC Update) v0 30 1" xfId="1007" xr:uid="{00000000-0005-0000-0000-000099030000}"/>
    <cellStyle name="%_NRA_model_for_NEMO2 (EMC Update) v0.20_NRA_model_for_NEMO2 (EMC Update) v0.22_NRA_model_for_NEMO2 (EMC Update) v0.29_NRA_model_for_NEMO2 (EMC Update) v0.29.2_NRA_model_for_NEMO2 (EMC Update) v0.29.4_NRA_model_for_NEMO2 (EMC Update) v0.29.5" xfId="1008" xr:uid="{00000000-0005-0000-0000-00009A030000}"/>
    <cellStyle name="%_NRA_model_for_NEMO2 (EMC Update) v0.20_NRA_model_for_NEMO2 (EMC Update) v0.22_NRA_model_for_NEMO2 (EMC Update) v0.29_NRA_model_for_NEMO2 (EMC Update) v0.29.2_NRA_model_for_NEMO2 (EMC Update) v0.29.5" xfId="1009" xr:uid="{00000000-0005-0000-0000-00009B030000}"/>
    <cellStyle name="%_NRA_model_for_NEMO2 (EMC Update) v0.20_NRA_model_for_NEMO2 (EMC Update) v0.22_NRA_model_for_NEMO2 (EMC Update) v0.29_NRA_model_for_NEMO2 (EMC Update) v0.29.2_NRA_model_for_NEMO2 (EMC Update) v0.29.5_NRA_model_for_NEMO2 (EMC Update) v0 30 1" xfId="1010" xr:uid="{00000000-0005-0000-0000-00009C030000}"/>
    <cellStyle name="%_NRA_model_for_NEMO2 (EMC Update) v0.20_NRA_model_for_NEMO2 (EMC Update) v0.22_NRA_model_for_NEMO2 (EMC Update) v0.29_NRA_model_for_NEMO2 (EMC Update) v0.29.3" xfId="1011" xr:uid="{00000000-0005-0000-0000-00009D030000}"/>
    <cellStyle name="%_NRA_model_for_NEMO2 (EMC Update) v0.20_NRA_model_for_NEMO2 (EMC Update) v0.22_NRA_model_for_NEMO2 (EMC Update) v0.29_NRA_model_for_NEMO2 (EMC Update) v0.29.3_NRA_model_for_NEMO2 (EMC Update) v0 30 1" xfId="1012" xr:uid="{00000000-0005-0000-0000-00009E030000}"/>
    <cellStyle name="%_NRA_model_for_NEMO2 (EMC Update) v0.20_NRA_model_for_NEMO2 (EMC Update) v0.22_NRA_model_for_NEMO2 (EMC Update) v0.29_NRA_model_for_NEMO2 (EMC Update) v0.29.3_NRA_model_for_NEMO2 (EMC Update) v0.29.5" xfId="1013" xr:uid="{00000000-0005-0000-0000-00009F030000}"/>
    <cellStyle name="%_NRA_model_for_NEMO2 (EMC Update) v0.20_NRA_model_for_NEMO2 (EMC Update) v0.22_NRA_model_for_NEMO2 (EMC Update) v0.29_NRA_model_for_NEMO2 (EMC Update) v0.29.3_NRA_model_for_NEMO2 (EMC Update) v0.29.5_NRA_model_for_NEMO2 (EMC Update) v0 30 1" xfId="1014" xr:uid="{00000000-0005-0000-0000-0000A0030000}"/>
    <cellStyle name="%_NRA_model_for_NEMO2 (EMC Update) v0.20_NRA_model_for_NEMO2 (EMC Update) v0.22_NRA_model_for_NEMO2 (EMC Update) v0.29_NRA_model_for_NEMO2 (EMC Update) v0.29.4" xfId="1015" xr:uid="{00000000-0005-0000-0000-0000A1030000}"/>
    <cellStyle name="%_NRA_model_for_NEMO2 (EMC Update) v0.20_NRA_model_for_NEMO2 (EMC Update) v0.22_NRA_model_for_NEMO2 (EMC Update) v0.29_NRA_model_for_NEMO2 (EMC Update) v0.29.4_NRA_model_for_NEMO2 (EMC Update) v0 30 1" xfId="1016" xr:uid="{00000000-0005-0000-0000-0000A2030000}"/>
    <cellStyle name="%_NRA_model_for_NEMO2 (EMC Update) v0.20_NRA_model_for_NEMO2 (EMC Update) v0.22_NRA_model_for_NEMO2 (EMC Update) v0.29_NRA_model_for_NEMO2 (EMC Update) v0.29.4_NRA_model_for_NEMO2 (EMC Update) v0.29.5" xfId="1017" xr:uid="{00000000-0005-0000-0000-0000A3030000}"/>
    <cellStyle name="%_NRA_model_for_NEMO2 (EMC Update) v0.20_NRA_model_for_NEMO2 (EMC Update) v0.22_NRA_model_for_NEMO2 (EMC Update) v0.29_NRA_model_for_NEMO2 (EMC Update) v0.29.4_NRA_model_for_NEMO2 (EMC Update) v0.29.5_NRA_model_for_NEMO2 (EMC Update) v0 30 1" xfId="1018" xr:uid="{00000000-0005-0000-0000-0000A4030000}"/>
    <cellStyle name="%_NRA_model_for_NEMO2 (EMC Update) v0.20_NRA_model_for_NEMO2 (EMC Update) v0.22_NRA_model_for_NEMO2 (EMC Update) v0.29_NRA_model_for_NEMO2 (EMC Update) v0.29.5" xfId="1019" xr:uid="{00000000-0005-0000-0000-0000A5030000}"/>
    <cellStyle name="%_NRA_model_for_NEMO2 (EMC Update) v0.20_NRA_model_for_NEMO2 (EMC Update) v0.22_NRA_model_for_NEMO2 (EMC Update) v0.29_NRA_model_for_NEMO2 (EMC Update) v0.29.5_NRA_model_for_NEMO2 (EMC Update) v0 30 1" xfId="1020" xr:uid="{00000000-0005-0000-0000-0000A6030000}"/>
    <cellStyle name="%_NRA_model_for_NEMO2 (EMC Update) v0.20_NRA_model_for_NEMO2 (EMC Update) v0.25" xfId="1021" xr:uid="{00000000-0005-0000-0000-0000A7030000}"/>
    <cellStyle name="%_NRA_model_for_NEMO2 (EMC Update) v0.20_NRA_model_for_NEMO2 (EMC Update) v0.25_NRA_model_for_NEMO2 (EMC Update) v0 30 1" xfId="1022" xr:uid="{00000000-0005-0000-0000-0000A8030000}"/>
    <cellStyle name="%_NRA_model_for_NEMO2 (EMC Update) v0.20_NRA_model_for_NEMO2 (EMC Update) v0.25_NRA_model_for_NEMO2 (EMC Update) v0.26" xfId="1023" xr:uid="{00000000-0005-0000-0000-0000A9030000}"/>
    <cellStyle name="%_NRA_model_for_NEMO2 (EMC Update) v0.20_NRA_model_for_NEMO2 (EMC Update) v0.25_NRA_model_for_NEMO2 (EMC Update) v0.26_NRA_model_for_NEMO2 (EMC Update) v0 30 1" xfId="1024" xr:uid="{00000000-0005-0000-0000-0000AA030000}"/>
    <cellStyle name="%_NRA_model_for_NEMO2 (EMC Update) v0.20_NRA_model_for_NEMO2 (EMC Update) v0.25_NRA_model_for_NEMO2 (EMC Update) v0.26_NRA_model_for_NEMO2 (EMC Update) v0.29" xfId="1025" xr:uid="{00000000-0005-0000-0000-0000AB030000}"/>
    <cellStyle name="%_NRA_model_for_NEMO2 (EMC Update) v0.20_NRA_model_for_NEMO2 (EMC Update) v0.25_NRA_model_for_NEMO2 (EMC Update) v0.26_NRA_model_for_NEMO2 (EMC Update) v0.29.2" xfId="1026" xr:uid="{00000000-0005-0000-0000-0000AC030000}"/>
    <cellStyle name="%_NRA_model_for_NEMO2 (EMC Update) v0.20_NRA_model_for_NEMO2 (EMC Update) v0.25_NRA_model_for_NEMO2 (EMC Update) v0.26_NRA_model_for_NEMO2 (EMC Update) v0.29.2_NRA_model_for_NEMO2 (EMC Update) v0 30 1" xfId="1027" xr:uid="{00000000-0005-0000-0000-0000AD030000}"/>
    <cellStyle name="%_NRA_model_for_NEMO2 (EMC Update) v0.20_NRA_model_for_NEMO2 (EMC Update) v0.25_NRA_model_for_NEMO2 (EMC Update) v0.26_NRA_model_for_NEMO2 (EMC Update) v0.29.2_NRA_model_for_NEMO2 (EMC Update) v0.29.3" xfId="1028" xr:uid="{00000000-0005-0000-0000-0000AE030000}"/>
    <cellStyle name="%_NRA_model_for_NEMO2 (EMC Update) v0.20_NRA_model_for_NEMO2 (EMC Update) v0.25_NRA_model_for_NEMO2 (EMC Update) v0.26_NRA_model_for_NEMO2 (EMC Update) v0.29.2_NRA_model_for_NEMO2 (EMC Update) v0.29.3_NRA_model_for_NEMO2 (EMC Update) v0 30 1" xfId="1029" xr:uid="{00000000-0005-0000-0000-0000AF030000}"/>
    <cellStyle name="%_NRA_model_for_NEMO2 (EMC Update) v0.20_NRA_model_for_NEMO2 (EMC Update) v0.25_NRA_model_for_NEMO2 (EMC Update) v0.26_NRA_model_for_NEMO2 (EMC Update) v0.29.2_NRA_model_for_NEMO2 (EMC Update) v0.29.3_NRA_model_for_NEMO2 (EMC Update) v0.29.5" xfId="1030" xr:uid="{00000000-0005-0000-0000-0000B0030000}"/>
    <cellStyle name="%_NRA_model_for_NEMO2 (EMC Update) v0.20_NRA_model_for_NEMO2 (EMC Update) v0.25_NRA_model_for_NEMO2 (EMC Update) v0.26_NRA_model_for_NEMO2 (EMC Update) v0.29.2_NRA_model_for_NEMO2 (EMC Update) v0.29.4" xfId="1031" xr:uid="{00000000-0005-0000-0000-0000B1030000}"/>
    <cellStyle name="%_NRA_model_for_NEMO2 (EMC Update) v0.20_NRA_model_for_NEMO2 (EMC Update) v0.25_NRA_model_for_NEMO2 (EMC Update) v0.26_NRA_model_for_NEMO2 (EMC Update) v0.29.2_NRA_model_for_NEMO2 (EMC Update) v0.29.4_NRA_model_for_NEMO2 (EMC Update) v0 30 1" xfId="1032" xr:uid="{00000000-0005-0000-0000-0000B2030000}"/>
    <cellStyle name="%_NRA_model_for_NEMO2 (EMC Update) v0.20_NRA_model_for_NEMO2 (EMC Update) v0.25_NRA_model_for_NEMO2 (EMC Update) v0.26_NRA_model_for_NEMO2 (EMC Update) v0.29.2_NRA_model_for_NEMO2 (EMC Update) v0.29.4_NRA_model_for_NEMO2 (EMC Update) v0.29.5" xfId="1033" xr:uid="{00000000-0005-0000-0000-0000B3030000}"/>
    <cellStyle name="%_NRA_model_for_NEMO2 (EMC Update) v0.20_NRA_model_for_NEMO2 (EMC Update) v0.25_NRA_model_for_NEMO2 (EMC Update) v0.26_NRA_model_for_NEMO2 (EMC Update) v0.29.2_NRA_model_for_NEMO2 (EMC Update) v0.29.5" xfId="1034" xr:uid="{00000000-0005-0000-0000-0000B4030000}"/>
    <cellStyle name="%_NRA_model_for_NEMO2 (EMC Update) v0.20_NRA_model_for_NEMO2 (EMC Update) v0.25_NRA_model_for_NEMO2 (EMC Update) v0.26_NRA_model_for_NEMO2 (EMC Update) v0.29.2_NRA_model_for_NEMO2 (EMC Update) v0.29.5_NRA_model_for_NEMO2 (EMC Update) v0 30 1" xfId="1035" xr:uid="{00000000-0005-0000-0000-0000B5030000}"/>
    <cellStyle name="%_NRA_model_for_NEMO2 (EMC Update) v0.20_NRA_model_for_NEMO2 (EMC Update) v0.25_NRA_model_for_NEMO2 (EMC Update) v0.26_NRA_model_for_NEMO2 (EMC Update) v0.29.3" xfId="1036" xr:uid="{00000000-0005-0000-0000-0000B6030000}"/>
    <cellStyle name="%_NRA_model_for_NEMO2 (EMC Update) v0.20_NRA_model_for_NEMO2 (EMC Update) v0.25_NRA_model_for_NEMO2 (EMC Update) v0.26_NRA_model_for_NEMO2 (EMC Update) v0.29.3_NRA_model_for_NEMO2 (EMC Update) v0 30 1" xfId="1037" xr:uid="{00000000-0005-0000-0000-0000B7030000}"/>
    <cellStyle name="%_NRA_model_for_NEMO2 (EMC Update) v0.20_NRA_model_for_NEMO2 (EMC Update) v0.25_NRA_model_for_NEMO2 (EMC Update) v0.26_NRA_model_for_NEMO2 (EMC Update) v0.29.3_NRA_model_for_NEMO2 (EMC Update) v0.29.5" xfId="1038" xr:uid="{00000000-0005-0000-0000-0000B8030000}"/>
    <cellStyle name="%_NRA_model_for_NEMO2 (EMC Update) v0.20_NRA_model_for_NEMO2 (EMC Update) v0.25_NRA_model_for_NEMO2 (EMC Update) v0.26_NRA_model_for_NEMO2 (EMC Update) v0.29.3_NRA_model_for_NEMO2 (EMC Update) v0.29.5_NRA_model_for_NEMO2 (EMC Update) v0 30 1" xfId="1039" xr:uid="{00000000-0005-0000-0000-0000B9030000}"/>
    <cellStyle name="%_NRA_model_for_NEMO2 (EMC Update) v0.20_NRA_model_for_NEMO2 (EMC Update) v0.25_NRA_model_for_NEMO2 (EMC Update) v0.26_NRA_model_for_NEMO2 (EMC Update) v0.29.4" xfId="1040" xr:uid="{00000000-0005-0000-0000-0000BA030000}"/>
    <cellStyle name="%_NRA_model_for_NEMO2 (EMC Update) v0.20_NRA_model_for_NEMO2 (EMC Update) v0.25_NRA_model_for_NEMO2 (EMC Update) v0.26_NRA_model_for_NEMO2 (EMC Update) v0.29.4_NRA_model_for_NEMO2 (EMC Update) v0 30 1" xfId="1041" xr:uid="{00000000-0005-0000-0000-0000BB030000}"/>
    <cellStyle name="%_NRA_model_for_NEMO2 (EMC Update) v0.20_NRA_model_for_NEMO2 (EMC Update) v0.25_NRA_model_for_NEMO2 (EMC Update) v0.26_NRA_model_for_NEMO2 (EMC Update) v0.29.4_NRA_model_for_NEMO2 (EMC Update) v0.29.5" xfId="1042" xr:uid="{00000000-0005-0000-0000-0000BC030000}"/>
    <cellStyle name="%_NRA_model_for_NEMO2 (EMC Update) v0.20_NRA_model_for_NEMO2 (EMC Update) v0.25_NRA_model_for_NEMO2 (EMC Update) v0.26_NRA_model_for_NEMO2 (EMC Update) v0.29.4_NRA_model_for_NEMO2 (EMC Update) v0.29.5_NRA_model_for_NEMO2 (EMC Update) v0 30 1" xfId="1043" xr:uid="{00000000-0005-0000-0000-0000BD030000}"/>
    <cellStyle name="%_NRA_model_for_NEMO2 (EMC Update) v0.20_NRA_model_for_NEMO2 (EMC Update) v0.25_NRA_model_for_NEMO2 (EMC Update) v0.26_NRA_model_for_NEMO2 (EMC Update) v0.29.5" xfId="1044" xr:uid="{00000000-0005-0000-0000-0000BE030000}"/>
    <cellStyle name="%_NRA_model_for_NEMO2 (EMC Update) v0.20_NRA_model_for_NEMO2 (EMC Update) v0.25_NRA_model_for_NEMO2 (EMC Update) v0.26_NRA_model_for_NEMO2 (EMC Update) v0.29.5_NRA_model_for_NEMO2 (EMC Update) v0 30 1" xfId="1045" xr:uid="{00000000-0005-0000-0000-0000BF030000}"/>
    <cellStyle name="%_NRA_model_for_NEMO2 (EMC Update) v0.20_NRA_model_for_NEMO2 (EMC Update) v0.25_NRA_model_for_NEMO2 (EMC Update) v0.26_NRA_model_for_NEMO2 (EMC Update) v0.29_NRA_model_for_NEMO2 (EMC Update) v0 30 1" xfId="1046" xr:uid="{00000000-0005-0000-0000-0000C0030000}"/>
    <cellStyle name="%_NRA_model_for_NEMO2 (EMC Update) v0.20_NRA_model_for_NEMO2 (EMC Update) v0.25_NRA_model_for_NEMO2 (EMC Update) v0.26_NRA_model_for_NEMO2 (EMC Update) v0.29_NRA_model_for_NEMO2 (EMC Update) v0.29.2" xfId="1047" xr:uid="{00000000-0005-0000-0000-0000C1030000}"/>
    <cellStyle name="%_NRA_model_for_NEMO2 (EMC Update) v0.20_NRA_model_for_NEMO2 (EMC Update) v0.25_NRA_model_for_NEMO2 (EMC Update) v0.26_NRA_model_for_NEMO2 (EMC Update) v0.29_NRA_model_for_NEMO2 (EMC Update) v0.29.2_NRA_model_for_NEMO2 (EMC Update) v0 30 1" xfId="1048" xr:uid="{00000000-0005-0000-0000-0000C2030000}"/>
    <cellStyle name="%_NRA_model_for_NEMO2 (EMC Update) v0.20_NRA_model_for_NEMO2 (EMC Update) v0.25_NRA_model_for_NEMO2 (EMC Update) v0.26_NRA_model_for_NEMO2 (EMC Update) v0.29_NRA_model_for_NEMO2 (EMC Update) v0.29.2_NRA_model_for_NEMO2 (EMC Update) v0.29.3" xfId="1049" xr:uid="{00000000-0005-0000-0000-0000C3030000}"/>
    <cellStyle name="%_NRA_model_for_NEMO2 (EMC Update) v0.20_NRA_model_for_NEMO2 (EMC Update) v0.25_NRA_model_for_NEMO2 (EMC Update) v0.26_NRA_model_for_NEMO2 (EMC Update) v0.29_NRA_model_for_NEMO2 (EMC Update) v0.29.2_NRA_model_for_NEMO2 (EMC Update) v0.29.4" xfId="1050" xr:uid="{00000000-0005-0000-0000-0000C4030000}"/>
    <cellStyle name="%_NRA_model_for_NEMO2 (EMC Update) v0.20_NRA_model_for_NEMO2 (EMC Update) v0.25_NRA_model_for_NEMO2 (EMC Update) v0.26_NRA_model_for_NEMO2 (EMC Update) v0.29_NRA_model_for_NEMO2 (EMC Update) v0.29.2_NRA_model_for_NEMO2 (EMC Update) v0.29.5" xfId="1051" xr:uid="{00000000-0005-0000-0000-0000C5030000}"/>
    <cellStyle name="%_NRA_model_for_NEMO2 (EMC Update) v0.20_NRA_model_for_NEMO2 (EMC Update) v0.25_NRA_model_for_NEMO2 (EMC Update) v0.26_NRA_model_for_NEMO2 (EMC Update) v0.29_NRA_model_for_NEMO2 (EMC Update) v0.29.3" xfId="1052" xr:uid="{00000000-0005-0000-0000-0000C6030000}"/>
    <cellStyle name="%_NRA_model_for_NEMO2 (EMC Update) v0.20_NRA_model_for_NEMO2 (EMC Update) v0.25_NRA_model_for_NEMO2 (EMC Update) v0.26_NRA_model_for_NEMO2 (EMC Update) v0.29_NRA_model_for_NEMO2 (EMC Update) v0.29.3_NRA_model_for_NEMO2 (EMC Update) v0 30 1" xfId="1053" xr:uid="{00000000-0005-0000-0000-0000C7030000}"/>
    <cellStyle name="%_NRA_model_for_NEMO2 (EMC Update) v0.20_NRA_model_for_NEMO2 (EMC Update) v0.25_NRA_model_for_NEMO2 (EMC Update) v0.26_NRA_model_for_NEMO2 (EMC Update) v0.29_NRA_model_for_NEMO2 (EMC Update) v0.29.3_NRA_model_for_NEMO2 (EMC Update) v0.29.5" xfId="1054" xr:uid="{00000000-0005-0000-0000-0000C8030000}"/>
    <cellStyle name="%_NRA_model_for_NEMO2 (EMC Update) v0.20_NRA_model_for_NEMO2 (EMC Update) v0.25_NRA_model_for_NEMO2 (EMC Update) v0.26_NRA_model_for_NEMO2 (EMC Update) v0.29_NRA_model_for_NEMO2 (EMC Update) v0.29.4" xfId="1055" xr:uid="{00000000-0005-0000-0000-0000C9030000}"/>
    <cellStyle name="%_NRA_model_for_NEMO2 (EMC Update) v0.20_NRA_model_for_NEMO2 (EMC Update) v0.25_NRA_model_for_NEMO2 (EMC Update) v0.26_NRA_model_for_NEMO2 (EMC Update) v0.29_NRA_model_for_NEMO2 (EMC Update) v0.29.4_NRA_model_for_NEMO2 (EMC Update) v0 30 1" xfId="1056" xr:uid="{00000000-0005-0000-0000-0000CA030000}"/>
    <cellStyle name="%_NRA_model_for_NEMO2 (EMC Update) v0.20_NRA_model_for_NEMO2 (EMC Update) v0.25_NRA_model_for_NEMO2 (EMC Update) v0.26_NRA_model_for_NEMO2 (EMC Update) v0.29_NRA_model_for_NEMO2 (EMC Update) v0.29.4_NRA_model_for_NEMO2 (EMC Update) v0.29.5" xfId="1057" xr:uid="{00000000-0005-0000-0000-0000CB030000}"/>
    <cellStyle name="%_NRA_model_for_NEMO2 (EMC Update) v0.20_NRA_model_for_NEMO2 (EMC Update) v0.25_NRA_model_for_NEMO2 (EMC Update) v0.26_NRA_model_for_NEMO2 (EMC Update) v0.29_NRA_model_for_NEMO2 (EMC Update) v0.29.5" xfId="1058" xr:uid="{00000000-0005-0000-0000-0000CC030000}"/>
    <cellStyle name="%_NRA_model_for_NEMO2 (EMC Update) v0.20_NRA_model_for_NEMO2 (EMC Update) v0.25_NRA_model_for_NEMO2 (EMC Update) v0.26_NRA_model_for_NEMO2 (EMC Update) v0.29_NRA_model_for_NEMO2 (EMC Update) v0.29.5_NRA_model_for_NEMO2 (EMC Update) v0 30 1" xfId="1059" xr:uid="{00000000-0005-0000-0000-0000CD030000}"/>
    <cellStyle name="%_NRA_model_for_NEMO2 (EMC Update) v0.20_NRA_model_for_NEMO2 (EMC Update) v0.25_NRA_model_for_NEMO2 (EMC Update) v0.29" xfId="1060" xr:uid="{00000000-0005-0000-0000-0000CE030000}"/>
    <cellStyle name="%_NRA_model_for_NEMO2 (EMC Update) v0.20_NRA_model_for_NEMO2 (EMC Update) v0.25_NRA_model_for_NEMO2 (EMC Update) v0.29.2" xfId="1061" xr:uid="{00000000-0005-0000-0000-0000CF030000}"/>
    <cellStyle name="%_NRA_model_for_NEMO2 (EMC Update) v0.20_NRA_model_for_NEMO2 (EMC Update) v0.25_NRA_model_for_NEMO2 (EMC Update) v0.29.2_NRA_model_for_NEMO2 (EMC Update) v0 30 1" xfId="1062" xr:uid="{00000000-0005-0000-0000-0000D0030000}"/>
    <cellStyle name="%_NRA_model_for_NEMO2 (EMC Update) v0.20_NRA_model_for_NEMO2 (EMC Update) v0.25_NRA_model_for_NEMO2 (EMC Update) v0.29.2_NRA_model_for_NEMO2 (EMC Update) v0.29.3" xfId="1063" xr:uid="{00000000-0005-0000-0000-0000D1030000}"/>
    <cellStyle name="%_NRA_model_for_NEMO2 (EMC Update) v0.20_NRA_model_for_NEMO2 (EMC Update) v0.25_NRA_model_for_NEMO2 (EMC Update) v0.29.2_NRA_model_for_NEMO2 (EMC Update) v0.29.3_NRA_model_for_NEMO2 (EMC Update) v0 30 1" xfId="1064" xr:uid="{00000000-0005-0000-0000-0000D2030000}"/>
    <cellStyle name="%_NRA_model_for_NEMO2 (EMC Update) v0.20_NRA_model_for_NEMO2 (EMC Update) v0.25_NRA_model_for_NEMO2 (EMC Update) v0.29.2_NRA_model_for_NEMO2 (EMC Update) v0.29.3_NRA_model_for_NEMO2 (EMC Update) v0.29.5" xfId="1065" xr:uid="{00000000-0005-0000-0000-0000D3030000}"/>
    <cellStyle name="%_NRA_model_for_NEMO2 (EMC Update) v0.20_NRA_model_for_NEMO2 (EMC Update) v0.25_NRA_model_for_NEMO2 (EMC Update) v0.29.2_NRA_model_for_NEMO2 (EMC Update) v0.29.3_NRA_model_for_NEMO2 (EMC Update) v0.29.5_NRA_model_for_NEMO2 (EMC Update) v0 30 1" xfId="1066" xr:uid="{00000000-0005-0000-0000-0000D4030000}"/>
    <cellStyle name="%_NRA_model_for_NEMO2 (EMC Update) v0.20_NRA_model_for_NEMO2 (EMC Update) v0.25_NRA_model_for_NEMO2 (EMC Update) v0.29.2_NRA_model_for_NEMO2 (EMC Update) v0.29.4" xfId="1067" xr:uid="{00000000-0005-0000-0000-0000D5030000}"/>
    <cellStyle name="%_NRA_model_for_NEMO2 (EMC Update) v0.20_NRA_model_for_NEMO2 (EMC Update) v0.25_NRA_model_for_NEMO2 (EMC Update) v0.29.2_NRA_model_for_NEMO2 (EMC Update) v0.29.4_NRA_model_for_NEMO2 (EMC Update) v0 30 1" xfId="1068" xr:uid="{00000000-0005-0000-0000-0000D6030000}"/>
    <cellStyle name="%_NRA_model_for_NEMO2 (EMC Update) v0.20_NRA_model_for_NEMO2 (EMC Update) v0.25_NRA_model_for_NEMO2 (EMC Update) v0.29.2_NRA_model_for_NEMO2 (EMC Update) v0.29.4_NRA_model_for_NEMO2 (EMC Update) v0.29.5" xfId="1069" xr:uid="{00000000-0005-0000-0000-0000D7030000}"/>
    <cellStyle name="%_NRA_model_for_NEMO2 (EMC Update) v0.20_NRA_model_for_NEMO2 (EMC Update) v0.25_NRA_model_for_NEMO2 (EMC Update) v0.29.2_NRA_model_for_NEMO2 (EMC Update) v0.29.4_NRA_model_for_NEMO2 (EMC Update) v0.29.5_NRA_model_for_NEMO2 (EMC Update) v0 30 1" xfId="1070" xr:uid="{00000000-0005-0000-0000-0000D8030000}"/>
    <cellStyle name="%_NRA_model_for_NEMO2 (EMC Update) v0.20_NRA_model_for_NEMO2 (EMC Update) v0.25_NRA_model_for_NEMO2 (EMC Update) v0.29.2_NRA_model_for_NEMO2 (EMC Update) v0.29.5" xfId="1071" xr:uid="{00000000-0005-0000-0000-0000D9030000}"/>
    <cellStyle name="%_NRA_model_for_NEMO2 (EMC Update) v0.20_NRA_model_for_NEMO2 (EMC Update) v0.25_NRA_model_for_NEMO2 (EMC Update) v0.29.2_NRA_model_for_NEMO2 (EMC Update) v0.29.5_NRA_model_for_NEMO2 (EMC Update) v0 30 1" xfId="1072" xr:uid="{00000000-0005-0000-0000-0000DA030000}"/>
    <cellStyle name="%_NRA_model_for_NEMO2 (EMC Update) v0.20_NRA_model_for_NEMO2 (EMC Update) v0.25_NRA_model_for_NEMO2 (EMC Update) v0.29.3" xfId="1073" xr:uid="{00000000-0005-0000-0000-0000DB030000}"/>
    <cellStyle name="%_NRA_model_for_NEMO2 (EMC Update) v0.20_NRA_model_for_NEMO2 (EMC Update) v0.25_NRA_model_for_NEMO2 (EMC Update) v0.29.3_NRA_model_for_NEMO2 (EMC Update) v0 30 1" xfId="1074" xr:uid="{00000000-0005-0000-0000-0000DC030000}"/>
    <cellStyle name="%_NRA_model_for_NEMO2 (EMC Update) v0.20_NRA_model_for_NEMO2 (EMC Update) v0.25_NRA_model_for_NEMO2 (EMC Update) v0.29.3_NRA_model_for_NEMO2 (EMC Update) v0.29.5" xfId="1075" xr:uid="{00000000-0005-0000-0000-0000DD030000}"/>
    <cellStyle name="%_NRA_model_for_NEMO2 (EMC Update) v0.20_NRA_model_for_NEMO2 (EMC Update) v0.25_NRA_model_for_NEMO2 (EMC Update) v0.29.3_NRA_model_for_NEMO2 (EMC Update) v0.29.5_NRA_model_for_NEMO2 (EMC Update) v0 30 1" xfId="1076" xr:uid="{00000000-0005-0000-0000-0000DE030000}"/>
    <cellStyle name="%_NRA_model_for_NEMO2 (EMC Update) v0.20_NRA_model_for_NEMO2 (EMC Update) v0.25_NRA_model_for_NEMO2 (EMC Update) v0.29.4" xfId="1077" xr:uid="{00000000-0005-0000-0000-0000DF030000}"/>
    <cellStyle name="%_NRA_model_for_NEMO2 (EMC Update) v0.20_NRA_model_for_NEMO2 (EMC Update) v0.25_NRA_model_for_NEMO2 (EMC Update) v0.29.4_NRA_model_for_NEMO2 (EMC Update) v0 30 1" xfId="1078" xr:uid="{00000000-0005-0000-0000-0000E0030000}"/>
    <cellStyle name="%_NRA_model_for_NEMO2 (EMC Update) v0.20_NRA_model_for_NEMO2 (EMC Update) v0.25_NRA_model_for_NEMO2 (EMC Update) v0.29.4_NRA_model_for_NEMO2 (EMC Update) v0.29.5" xfId="1079" xr:uid="{00000000-0005-0000-0000-0000E1030000}"/>
    <cellStyle name="%_NRA_model_for_NEMO2 (EMC Update) v0.20_NRA_model_for_NEMO2 (EMC Update) v0.25_NRA_model_for_NEMO2 (EMC Update) v0.29.4_NRA_model_for_NEMO2 (EMC Update) v0.29.5_NRA_model_for_NEMO2 (EMC Update) v0 30 1" xfId="1080" xr:uid="{00000000-0005-0000-0000-0000E2030000}"/>
    <cellStyle name="%_NRA_model_for_NEMO2 (EMC Update) v0.20_NRA_model_for_NEMO2 (EMC Update) v0.25_NRA_model_for_NEMO2 (EMC Update) v0.29.5" xfId="1081" xr:uid="{00000000-0005-0000-0000-0000E3030000}"/>
    <cellStyle name="%_NRA_model_for_NEMO2 (EMC Update) v0.20_NRA_model_for_NEMO2 (EMC Update) v0.25_NRA_model_for_NEMO2 (EMC Update) v0.29.5_NRA_model_for_NEMO2 (EMC Update) v0 30 1" xfId="1082" xr:uid="{00000000-0005-0000-0000-0000E4030000}"/>
    <cellStyle name="%_NRA_model_for_NEMO2 (EMC Update) v0.20_NRA_model_for_NEMO2 (EMC Update) v0.25_NRA_model_for_NEMO2 (EMC Update) v0.29_NRA_model_for_NEMO2 (EMC Update) v0 30 1" xfId="1083" xr:uid="{00000000-0005-0000-0000-0000E5030000}"/>
    <cellStyle name="%_NRA_model_for_NEMO2 (EMC Update) v0.20_NRA_model_for_NEMO2 (EMC Update) v0.25_NRA_model_for_NEMO2 (EMC Update) v0.29_NRA_model_for_NEMO2 (EMC Update) v0.29.2" xfId="1084" xr:uid="{00000000-0005-0000-0000-0000E6030000}"/>
    <cellStyle name="%_NRA_model_for_NEMO2 (EMC Update) v0.20_NRA_model_for_NEMO2 (EMC Update) v0.25_NRA_model_for_NEMO2 (EMC Update) v0.29_NRA_model_for_NEMO2 (EMC Update) v0.29.2_NRA_model_for_NEMO2 (EMC Update) v0 30 1" xfId="1085" xr:uid="{00000000-0005-0000-0000-0000E7030000}"/>
    <cellStyle name="%_NRA_model_for_NEMO2 (EMC Update) v0.20_NRA_model_for_NEMO2 (EMC Update) v0.25_NRA_model_for_NEMO2 (EMC Update) v0.29_NRA_model_for_NEMO2 (EMC Update) v0.29.2_NRA_model_for_NEMO2 (EMC Update) v0.29.3" xfId="1086" xr:uid="{00000000-0005-0000-0000-0000E8030000}"/>
    <cellStyle name="%_NRA_model_for_NEMO2 (EMC Update) v0.20_NRA_model_for_NEMO2 (EMC Update) v0.25_NRA_model_for_NEMO2 (EMC Update) v0.29_NRA_model_for_NEMO2 (EMC Update) v0.29.2_NRA_model_for_NEMO2 (EMC Update) v0.29.3_NRA_model_for_NEMO2 (EMC Update) v0 30 1" xfId="1087" xr:uid="{00000000-0005-0000-0000-0000E9030000}"/>
    <cellStyle name="%_NRA_model_for_NEMO2 (EMC Update) v0.20_NRA_model_for_NEMO2 (EMC Update) v0.25_NRA_model_for_NEMO2 (EMC Update) v0.29_NRA_model_for_NEMO2 (EMC Update) v0.29.2_NRA_model_for_NEMO2 (EMC Update) v0.29.3_NRA_model_for_NEMO2 (EMC Update) v0.29.5" xfId="1088" xr:uid="{00000000-0005-0000-0000-0000EA030000}"/>
    <cellStyle name="%_NRA_model_for_NEMO2 (EMC Update) v0.20_NRA_model_for_NEMO2 (EMC Update) v0.25_NRA_model_for_NEMO2 (EMC Update) v0.29_NRA_model_for_NEMO2 (EMC Update) v0.29.2_NRA_model_for_NEMO2 (EMC Update) v0.29.4" xfId="1089" xr:uid="{00000000-0005-0000-0000-0000EB030000}"/>
    <cellStyle name="%_NRA_model_for_NEMO2 (EMC Update) v0.20_NRA_model_for_NEMO2 (EMC Update) v0.25_NRA_model_for_NEMO2 (EMC Update) v0.29_NRA_model_for_NEMO2 (EMC Update) v0.29.2_NRA_model_for_NEMO2 (EMC Update) v0.29.4_NRA_model_for_NEMO2 (EMC Update) v0 30 1" xfId="1090" xr:uid="{00000000-0005-0000-0000-0000EC030000}"/>
    <cellStyle name="%_NRA_model_for_NEMO2 (EMC Update) v0.20_NRA_model_for_NEMO2 (EMC Update) v0.25_NRA_model_for_NEMO2 (EMC Update) v0.29_NRA_model_for_NEMO2 (EMC Update) v0.29.2_NRA_model_for_NEMO2 (EMC Update) v0.29.4_NRA_model_for_NEMO2 (EMC Update) v0.29.5" xfId="1091" xr:uid="{00000000-0005-0000-0000-0000ED030000}"/>
    <cellStyle name="%_NRA_model_for_NEMO2 (EMC Update) v0.20_NRA_model_for_NEMO2 (EMC Update) v0.25_NRA_model_for_NEMO2 (EMC Update) v0.29_NRA_model_for_NEMO2 (EMC Update) v0.29.2_NRA_model_for_NEMO2 (EMC Update) v0.29.5" xfId="1092" xr:uid="{00000000-0005-0000-0000-0000EE030000}"/>
    <cellStyle name="%_NRA_model_for_NEMO2 (EMC Update) v0.20_NRA_model_for_NEMO2 (EMC Update) v0.25_NRA_model_for_NEMO2 (EMC Update) v0.29_NRA_model_for_NEMO2 (EMC Update) v0.29.2_NRA_model_for_NEMO2 (EMC Update) v0.29.5_NRA_model_for_NEMO2 (EMC Update) v0 30 1" xfId="1093" xr:uid="{00000000-0005-0000-0000-0000EF030000}"/>
    <cellStyle name="%_NRA_model_for_NEMO2 (EMC Update) v0.20_NRA_model_for_NEMO2 (EMC Update) v0.25_NRA_model_for_NEMO2 (EMC Update) v0.29_NRA_model_for_NEMO2 (EMC Update) v0.29.3" xfId="1094" xr:uid="{00000000-0005-0000-0000-0000F0030000}"/>
    <cellStyle name="%_NRA_model_for_NEMO2 (EMC Update) v0.20_NRA_model_for_NEMO2 (EMC Update) v0.25_NRA_model_for_NEMO2 (EMC Update) v0.29_NRA_model_for_NEMO2 (EMC Update) v0.29.3_NRA_model_for_NEMO2 (EMC Update) v0 30 1" xfId="1095" xr:uid="{00000000-0005-0000-0000-0000F1030000}"/>
    <cellStyle name="%_NRA_model_for_NEMO2 (EMC Update) v0.20_NRA_model_for_NEMO2 (EMC Update) v0.25_NRA_model_for_NEMO2 (EMC Update) v0.29_NRA_model_for_NEMO2 (EMC Update) v0.29.3_NRA_model_for_NEMO2 (EMC Update) v0.29.5" xfId="1096" xr:uid="{00000000-0005-0000-0000-0000F2030000}"/>
    <cellStyle name="%_NRA_model_for_NEMO2 (EMC Update) v0.20_NRA_model_for_NEMO2 (EMC Update) v0.25_NRA_model_for_NEMO2 (EMC Update) v0.29_NRA_model_for_NEMO2 (EMC Update) v0.29.3_NRA_model_for_NEMO2 (EMC Update) v0.29.5_NRA_model_for_NEMO2 (EMC Update) v0 30 1" xfId="1097" xr:uid="{00000000-0005-0000-0000-0000F3030000}"/>
    <cellStyle name="%_NRA_model_for_NEMO2 (EMC Update) v0.20_NRA_model_for_NEMO2 (EMC Update) v0.25_NRA_model_for_NEMO2 (EMC Update) v0.29_NRA_model_for_NEMO2 (EMC Update) v0.29.4" xfId="1098" xr:uid="{00000000-0005-0000-0000-0000F4030000}"/>
    <cellStyle name="%_NRA_model_for_NEMO2 (EMC Update) v0.20_NRA_model_for_NEMO2 (EMC Update) v0.25_NRA_model_for_NEMO2 (EMC Update) v0.29_NRA_model_for_NEMO2 (EMC Update) v0.29.4_NRA_model_for_NEMO2 (EMC Update) v0 30 1" xfId="1099" xr:uid="{00000000-0005-0000-0000-0000F5030000}"/>
    <cellStyle name="%_NRA_model_for_NEMO2 (EMC Update) v0.20_NRA_model_for_NEMO2 (EMC Update) v0.25_NRA_model_for_NEMO2 (EMC Update) v0.29_NRA_model_for_NEMO2 (EMC Update) v0.29.4_NRA_model_for_NEMO2 (EMC Update) v0.29.5" xfId="1100" xr:uid="{00000000-0005-0000-0000-0000F6030000}"/>
    <cellStyle name="%_NRA_model_for_NEMO2 (EMC Update) v0.20_NRA_model_for_NEMO2 (EMC Update) v0.25_NRA_model_for_NEMO2 (EMC Update) v0.29_NRA_model_for_NEMO2 (EMC Update) v0.29.4_NRA_model_for_NEMO2 (EMC Update) v0.29.5_NRA_model_for_NEMO2 (EMC Update) v0 30 1" xfId="1101" xr:uid="{00000000-0005-0000-0000-0000F7030000}"/>
    <cellStyle name="%_NRA_model_for_NEMO2 (EMC Update) v0.20_NRA_model_for_NEMO2 (EMC Update) v0.25_NRA_model_for_NEMO2 (EMC Update) v0.29_NRA_model_for_NEMO2 (EMC Update) v0.29.5" xfId="1102" xr:uid="{00000000-0005-0000-0000-0000F8030000}"/>
    <cellStyle name="%_NRA_model_for_NEMO2 (EMC Update) v0.20_NRA_model_for_NEMO2 (EMC Update) v0.25_NRA_model_for_NEMO2 (EMC Update) v0.29_NRA_model_for_NEMO2 (EMC Update) v0.29.5_NRA_model_for_NEMO2 (EMC Update) v0 30 1" xfId="1103" xr:uid="{00000000-0005-0000-0000-0000F9030000}"/>
    <cellStyle name="%_NRA_model_for_NEMO2 (EMC Update) v0.20_NRA_model_for_NEMO2 (EMC Update) v0.26" xfId="1104" xr:uid="{00000000-0005-0000-0000-0000FA030000}"/>
    <cellStyle name="%_NRA_model_for_NEMO2 (EMC Update) v0.20_NRA_model_for_NEMO2 (EMC Update) v0.26_NRA_model_for_NEMO2 (EMC Update) v0 30 1" xfId="1105" xr:uid="{00000000-0005-0000-0000-0000FB030000}"/>
    <cellStyle name="%_NRA_model_for_NEMO2 (EMC Update) v0.20_NRA_model_for_NEMO2 (EMC Update) v0.26_NRA_model_for_NEMO2 (EMC Update) v0.29" xfId="1106" xr:uid="{00000000-0005-0000-0000-0000FC030000}"/>
    <cellStyle name="%_NRA_model_for_NEMO2 (EMC Update) v0.20_NRA_model_for_NEMO2 (EMC Update) v0.26_NRA_model_for_NEMO2 (EMC Update) v0.29.2" xfId="1107" xr:uid="{00000000-0005-0000-0000-0000FD030000}"/>
    <cellStyle name="%_NRA_model_for_NEMO2 (EMC Update) v0.20_NRA_model_for_NEMO2 (EMC Update) v0.26_NRA_model_for_NEMO2 (EMC Update) v0.29.2_NRA_model_for_NEMO2 (EMC Update) v0 30 1" xfId="1108" xr:uid="{00000000-0005-0000-0000-0000FE030000}"/>
    <cellStyle name="%_NRA_model_for_NEMO2 (EMC Update) v0.20_NRA_model_for_NEMO2 (EMC Update) v0.26_NRA_model_for_NEMO2 (EMC Update) v0.29.2_NRA_model_for_NEMO2 (EMC Update) v0.29.3" xfId="1109" xr:uid="{00000000-0005-0000-0000-0000FF030000}"/>
    <cellStyle name="%_NRA_model_for_NEMO2 (EMC Update) v0.20_NRA_model_for_NEMO2 (EMC Update) v0.26_NRA_model_for_NEMO2 (EMC Update) v0.29.2_NRA_model_for_NEMO2 (EMC Update) v0.29.3_NRA_model_for_NEMO2 (EMC Update) v0 30 1" xfId="1110" xr:uid="{00000000-0005-0000-0000-000000040000}"/>
    <cellStyle name="%_NRA_model_for_NEMO2 (EMC Update) v0.20_NRA_model_for_NEMO2 (EMC Update) v0.26_NRA_model_for_NEMO2 (EMC Update) v0.29.2_NRA_model_for_NEMO2 (EMC Update) v0.29.3_NRA_model_for_NEMO2 (EMC Update) v0.29.5" xfId="1111" xr:uid="{00000000-0005-0000-0000-000001040000}"/>
    <cellStyle name="%_NRA_model_for_NEMO2 (EMC Update) v0.20_NRA_model_for_NEMO2 (EMC Update) v0.26_NRA_model_for_NEMO2 (EMC Update) v0.29.2_NRA_model_for_NEMO2 (EMC Update) v0.29.3_NRA_model_for_NEMO2 (EMC Update) v0.29.5_NRA_model_for_NEMO2 (EMC Update) v0 30 1" xfId="1112" xr:uid="{00000000-0005-0000-0000-000002040000}"/>
    <cellStyle name="%_NRA_model_for_NEMO2 (EMC Update) v0.20_NRA_model_for_NEMO2 (EMC Update) v0.26_NRA_model_for_NEMO2 (EMC Update) v0.29.2_NRA_model_for_NEMO2 (EMC Update) v0.29.4" xfId="1113" xr:uid="{00000000-0005-0000-0000-000003040000}"/>
    <cellStyle name="%_NRA_model_for_NEMO2 (EMC Update) v0.20_NRA_model_for_NEMO2 (EMC Update) v0.26_NRA_model_for_NEMO2 (EMC Update) v0.29.2_NRA_model_for_NEMO2 (EMC Update) v0.29.4_NRA_model_for_NEMO2 (EMC Update) v0 30 1" xfId="1114" xr:uid="{00000000-0005-0000-0000-000004040000}"/>
    <cellStyle name="%_NRA_model_for_NEMO2 (EMC Update) v0.20_NRA_model_for_NEMO2 (EMC Update) v0.26_NRA_model_for_NEMO2 (EMC Update) v0.29.2_NRA_model_for_NEMO2 (EMC Update) v0.29.4_NRA_model_for_NEMO2 (EMC Update) v0.29.5" xfId="1115" xr:uid="{00000000-0005-0000-0000-000005040000}"/>
    <cellStyle name="%_NRA_model_for_NEMO2 (EMC Update) v0.20_NRA_model_for_NEMO2 (EMC Update) v0.26_NRA_model_for_NEMO2 (EMC Update) v0.29.2_NRA_model_for_NEMO2 (EMC Update) v0.29.4_NRA_model_for_NEMO2 (EMC Update) v0.29.5_NRA_model_for_NEMO2 (EMC Update) v0 30 1" xfId="1116" xr:uid="{00000000-0005-0000-0000-000006040000}"/>
    <cellStyle name="%_NRA_model_for_NEMO2 (EMC Update) v0.20_NRA_model_for_NEMO2 (EMC Update) v0.26_NRA_model_for_NEMO2 (EMC Update) v0.29.2_NRA_model_for_NEMO2 (EMC Update) v0.29.5" xfId="1117" xr:uid="{00000000-0005-0000-0000-000007040000}"/>
    <cellStyle name="%_NRA_model_for_NEMO2 (EMC Update) v0.20_NRA_model_for_NEMO2 (EMC Update) v0.26_NRA_model_for_NEMO2 (EMC Update) v0.29.2_NRA_model_for_NEMO2 (EMC Update) v0.29.5_NRA_model_for_NEMO2 (EMC Update) v0 30 1" xfId="1118" xr:uid="{00000000-0005-0000-0000-000008040000}"/>
    <cellStyle name="%_NRA_model_for_NEMO2 (EMC Update) v0.20_NRA_model_for_NEMO2 (EMC Update) v0.26_NRA_model_for_NEMO2 (EMC Update) v0.29.3" xfId="1119" xr:uid="{00000000-0005-0000-0000-000009040000}"/>
    <cellStyle name="%_NRA_model_for_NEMO2 (EMC Update) v0.20_NRA_model_for_NEMO2 (EMC Update) v0.26_NRA_model_for_NEMO2 (EMC Update) v0.29.3_NRA_model_for_NEMO2 (EMC Update) v0 30 1" xfId="1120" xr:uid="{00000000-0005-0000-0000-00000A040000}"/>
    <cellStyle name="%_NRA_model_for_NEMO2 (EMC Update) v0.20_NRA_model_for_NEMO2 (EMC Update) v0.26_NRA_model_for_NEMO2 (EMC Update) v0.29.3_NRA_model_for_NEMO2 (EMC Update) v0.29.5" xfId="1121" xr:uid="{00000000-0005-0000-0000-00000B040000}"/>
    <cellStyle name="%_NRA_model_for_NEMO2 (EMC Update) v0.20_NRA_model_for_NEMO2 (EMC Update) v0.26_NRA_model_for_NEMO2 (EMC Update) v0.29.3_NRA_model_for_NEMO2 (EMC Update) v0.29.5_NRA_model_for_NEMO2 (EMC Update) v0 30 1" xfId="1122" xr:uid="{00000000-0005-0000-0000-00000C040000}"/>
    <cellStyle name="%_NRA_model_for_NEMO2 (EMC Update) v0.20_NRA_model_for_NEMO2 (EMC Update) v0.26_NRA_model_for_NEMO2 (EMC Update) v0.29.4" xfId="1123" xr:uid="{00000000-0005-0000-0000-00000D040000}"/>
    <cellStyle name="%_NRA_model_for_NEMO2 (EMC Update) v0.20_NRA_model_for_NEMO2 (EMC Update) v0.26_NRA_model_for_NEMO2 (EMC Update) v0.29.4_NRA_model_for_NEMO2 (EMC Update) v0 30 1" xfId="1124" xr:uid="{00000000-0005-0000-0000-00000E040000}"/>
    <cellStyle name="%_NRA_model_for_NEMO2 (EMC Update) v0.20_NRA_model_for_NEMO2 (EMC Update) v0.26_NRA_model_for_NEMO2 (EMC Update) v0.29.4_NRA_model_for_NEMO2 (EMC Update) v0.29.5" xfId="1125" xr:uid="{00000000-0005-0000-0000-00000F040000}"/>
    <cellStyle name="%_NRA_model_for_NEMO2 (EMC Update) v0.20_NRA_model_for_NEMO2 (EMC Update) v0.26_NRA_model_for_NEMO2 (EMC Update) v0.29.4_NRA_model_for_NEMO2 (EMC Update) v0.29.5_NRA_model_for_NEMO2 (EMC Update) v0 30 1" xfId="1126" xr:uid="{00000000-0005-0000-0000-000010040000}"/>
    <cellStyle name="%_NRA_model_for_NEMO2 (EMC Update) v0.20_NRA_model_for_NEMO2 (EMC Update) v0.26_NRA_model_for_NEMO2 (EMC Update) v0.29.5" xfId="1127" xr:uid="{00000000-0005-0000-0000-000011040000}"/>
    <cellStyle name="%_NRA_model_for_NEMO2 (EMC Update) v0.20_NRA_model_for_NEMO2 (EMC Update) v0.26_NRA_model_for_NEMO2 (EMC Update) v0.29.5_NRA_model_for_NEMO2 (EMC Update) v0 30 1" xfId="1128" xr:uid="{00000000-0005-0000-0000-000012040000}"/>
    <cellStyle name="%_NRA_model_for_NEMO2 (EMC Update) v0.20_NRA_model_for_NEMO2 (EMC Update) v0.26_NRA_model_for_NEMO2 (EMC Update) v0.29_NRA_model_for_NEMO2 (EMC Update) v0 30 1" xfId="1129" xr:uid="{00000000-0005-0000-0000-000013040000}"/>
    <cellStyle name="%_NRA_model_for_NEMO2 (EMC Update) v0.20_NRA_model_for_NEMO2 (EMC Update) v0.26_NRA_model_for_NEMO2 (EMC Update) v0.29_NRA_model_for_NEMO2 (EMC Update) v0.29.2" xfId="1130" xr:uid="{00000000-0005-0000-0000-000014040000}"/>
    <cellStyle name="%_NRA_model_for_NEMO2 (EMC Update) v0.20_NRA_model_for_NEMO2 (EMC Update) v0.26_NRA_model_for_NEMO2 (EMC Update) v0.29_NRA_model_for_NEMO2 (EMC Update) v0.29.2_NRA_model_for_NEMO2 (EMC Update) v0 30 1" xfId="1131" xr:uid="{00000000-0005-0000-0000-000015040000}"/>
    <cellStyle name="%_NRA_model_for_NEMO2 (EMC Update) v0.20_NRA_model_for_NEMO2 (EMC Update) v0.26_NRA_model_for_NEMO2 (EMC Update) v0.29_NRA_model_for_NEMO2 (EMC Update) v0.29.2_NRA_model_for_NEMO2 (EMC Update) v0.29.3" xfId="1132" xr:uid="{00000000-0005-0000-0000-000016040000}"/>
    <cellStyle name="%_NRA_model_for_NEMO2 (EMC Update) v0.20_NRA_model_for_NEMO2 (EMC Update) v0.26_NRA_model_for_NEMO2 (EMC Update) v0.29_NRA_model_for_NEMO2 (EMC Update) v0.29.2_NRA_model_for_NEMO2 (EMC Update) v0.29.3_NRA_model_for_NEMO2 (EMC Update) v0 30 1" xfId="1133" xr:uid="{00000000-0005-0000-0000-000017040000}"/>
    <cellStyle name="%_NRA_model_for_NEMO2 (EMC Update) v0.20_NRA_model_for_NEMO2 (EMC Update) v0.26_NRA_model_for_NEMO2 (EMC Update) v0.29_NRA_model_for_NEMO2 (EMC Update) v0.29.2_NRA_model_for_NEMO2 (EMC Update) v0.29.3_NRA_model_for_NEMO2 (EMC Update) v0.29.5" xfId="1134" xr:uid="{00000000-0005-0000-0000-000018040000}"/>
    <cellStyle name="%_NRA_model_for_NEMO2 (EMC Update) v0.20_NRA_model_for_NEMO2 (EMC Update) v0.26_NRA_model_for_NEMO2 (EMC Update) v0.29_NRA_model_for_NEMO2 (EMC Update) v0.29.2_NRA_model_for_NEMO2 (EMC Update) v0.29.4" xfId="1135" xr:uid="{00000000-0005-0000-0000-000019040000}"/>
    <cellStyle name="%_NRA_model_for_NEMO2 (EMC Update) v0.20_NRA_model_for_NEMO2 (EMC Update) v0.26_NRA_model_for_NEMO2 (EMC Update) v0.29_NRA_model_for_NEMO2 (EMC Update) v0.29.2_NRA_model_for_NEMO2 (EMC Update) v0.29.4_NRA_model_for_NEMO2 (EMC Update) v0 30 1" xfId="1136" xr:uid="{00000000-0005-0000-0000-00001A040000}"/>
    <cellStyle name="%_NRA_model_for_NEMO2 (EMC Update) v0.20_NRA_model_for_NEMO2 (EMC Update) v0.26_NRA_model_for_NEMO2 (EMC Update) v0.29_NRA_model_for_NEMO2 (EMC Update) v0.29.2_NRA_model_for_NEMO2 (EMC Update) v0.29.4_NRA_model_for_NEMO2 (EMC Update) v0.29.5" xfId="1137" xr:uid="{00000000-0005-0000-0000-00001B040000}"/>
    <cellStyle name="%_NRA_model_for_NEMO2 (EMC Update) v0.20_NRA_model_for_NEMO2 (EMC Update) v0.26_NRA_model_for_NEMO2 (EMC Update) v0.29_NRA_model_for_NEMO2 (EMC Update) v0.29.2_NRA_model_for_NEMO2 (EMC Update) v0.29.5" xfId="1138" xr:uid="{00000000-0005-0000-0000-00001C040000}"/>
    <cellStyle name="%_NRA_model_for_NEMO2 (EMC Update) v0.20_NRA_model_for_NEMO2 (EMC Update) v0.26_NRA_model_for_NEMO2 (EMC Update) v0.29_NRA_model_for_NEMO2 (EMC Update) v0.29.2_NRA_model_for_NEMO2 (EMC Update) v0.29.5_NRA_model_for_NEMO2 (EMC Update) v0 30 1" xfId="1139" xr:uid="{00000000-0005-0000-0000-00001D040000}"/>
    <cellStyle name="%_NRA_model_for_NEMO2 (EMC Update) v0.20_NRA_model_for_NEMO2 (EMC Update) v0.26_NRA_model_for_NEMO2 (EMC Update) v0.29_NRA_model_for_NEMO2 (EMC Update) v0.29.3" xfId="1140" xr:uid="{00000000-0005-0000-0000-00001E040000}"/>
    <cellStyle name="%_NRA_model_for_NEMO2 (EMC Update) v0.20_NRA_model_for_NEMO2 (EMC Update) v0.26_NRA_model_for_NEMO2 (EMC Update) v0.29_NRA_model_for_NEMO2 (EMC Update) v0.29.3_NRA_model_for_NEMO2 (EMC Update) v0 30 1" xfId="1141" xr:uid="{00000000-0005-0000-0000-00001F040000}"/>
    <cellStyle name="%_NRA_model_for_NEMO2 (EMC Update) v0.20_NRA_model_for_NEMO2 (EMC Update) v0.26_NRA_model_for_NEMO2 (EMC Update) v0.29_NRA_model_for_NEMO2 (EMC Update) v0.29.3_NRA_model_for_NEMO2 (EMC Update) v0.29.5" xfId="1142" xr:uid="{00000000-0005-0000-0000-000020040000}"/>
    <cellStyle name="%_NRA_model_for_NEMO2 (EMC Update) v0.20_NRA_model_for_NEMO2 (EMC Update) v0.26_NRA_model_for_NEMO2 (EMC Update) v0.29_NRA_model_for_NEMO2 (EMC Update) v0.29.3_NRA_model_for_NEMO2 (EMC Update) v0.29.5_NRA_model_for_NEMO2 (EMC Update) v0 30 1" xfId="1143" xr:uid="{00000000-0005-0000-0000-000021040000}"/>
    <cellStyle name="%_NRA_model_for_NEMO2 (EMC Update) v0.20_NRA_model_for_NEMO2 (EMC Update) v0.26_NRA_model_for_NEMO2 (EMC Update) v0.29_NRA_model_for_NEMO2 (EMC Update) v0.29.4" xfId="1144" xr:uid="{00000000-0005-0000-0000-000022040000}"/>
    <cellStyle name="%_NRA_model_for_NEMO2 (EMC Update) v0.20_NRA_model_for_NEMO2 (EMC Update) v0.26_NRA_model_for_NEMO2 (EMC Update) v0.29_NRA_model_for_NEMO2 (EMC Update) v0.29.4_NRA_model_for_NEMO2 (EMC Update) v0 30 1" xfId="1145" xr:uid="{00000000-0005-0000-0000-000023040000}"/>
    <cellStyle name="%_NRA_model_for_NEMO2 (EMC Update) v0.20_NRA_model_for_NEMO2 (EMC Update) v0.26_NRA_model_for_NEMO2 (EMC Update) v0.29_NRA_model_for_NEMO2 (EMC Update) v0.29.4_NRA_model_for_NEMO2 (EMC Update) v0.29.5" xfId="1146" xr:uid="{00000000-0005-0000-0000-000024040000}"/>
    <cellStyle name="%_NRA_model_for_NEMO2 (EMC Update) v0.20_NRA_model_for_NEMO2 (EMC Update) v0.26_NRA_model_for_NEMO2 (EMC Update) v0.29_NRA_model_for_NEMO2 (EMC Update) v0.29.4_NRA_model_for_NEMO2 (EMC Update) v0.29.5_NRA_model_for_NEMO2 (EMC Update) v0 30 1" xfId="1147" xr:uid="{00000000-0005-0000-0000-000025040000}"/>
    <cellStyle name="%_NRA_model_for_NEMO2 (EMC Update) v0.20_NRA_model_for_NEMO2 (EMC Update) v0.26_NRA_model_for_NEMO2 (EMC Update) v0.29_NRA_model_for_NEMO2 (EMC Update) v0.29.5" xfId="1148" xr:uid="{00000000-0005-0000-0000-000026040000}"/>
    <cellStyle name="%_NRA_model_for_NEMO2 (EMC Update) v0.20_NRA_model_for_NEMO2 (EMC Update) v0.26_NRA_model_for_NEMO2 (EMC Update) v0.29_NRA_model_for_NEMO2 (EMC Update) v0.29.5_NRA_model_for_NEMO2 (EMC Update) v0 30 1" xfId="1149" xr:uid="{00000000-0005-0000-0000-000027040000}"/>
    <cellStyle name="%_NRA_model_for_NEMO2 (EMC Update) v0.20_NRA_model_for_NEMO2 (EMC Update) v0.29" xfId="1150" xr:uid="{00000000-0005-0000-0000-000028040000}"/>
    <cellStyle name="%_NRA_model_for_NEMO2 (EMC Update) v0.20_NRA_model_for_NEMO2 (EMC Update) v0.29.2" xfId="1151" xr:uid="{00000000-0005-0000-0000-000029040000}"/>
    <cellStyle name="%_NRA_model_for_NEMO2 (EMC Update) v0.20_NRA_model_for_NEMO2 (EMC Update) v0.29.2_NRA_model_for_NEMO2 (EMC Update) v0 30 1" xfId="1152" xr:uid="{00000000-0005-0000-0000-00002A040000}"/>
    <cellStyle name="%_NRA_model_for_NEMO2 (EMC Update) v0.20_NRA_model_for_NEMO2 (EMC Update) v0.29.2_NRA_model_for_NEMO2 (EMC Update) v0.29.3" xfId="1153" xr:uid="{00000000-0005-0000-0000-00002B040000}"/>
    <cellStyle name="%_NRA_model_for_NEMO2 (EMC Update) v0.20_NRA_model_for_NEMO2 (EMC Update) v0.29.2_NRA_model_for_NEMO2 (EMC Update) v0.29.3_NRA_model_for_NEMO2 (EMC Update) v0 30 1" xfId="1154" xr:uid="{00000000-0005-0000-0000-00002C040000}"/>
    <cellStyle name="%_NRA_model_for_NEMO2 (EMC Update) v0.20_NRA_model_for_NEMO2 (EMC Update) v0.29.2_NRA_model_for_NEMO2 (EMC Update) v0.29.3_NRA_model_for_NEMO2 (EMC Update) v0.29.5" xfId="1155" xr:uid="{00000000-0005-0000-0000-00002D040000}"/>
    <cellStyle name="%_NRA_model_for_NEMO2 (EMC Update) v0.20_NRA_model_for_NEMO2 (EMC Update) v0.29.2_NRA_model_for_NEMO2 (EMC Update) v0.29.3_NRA_model_for_NEMO2 (EMC Update) v0.29.5_NRA_model_for_NEMO2 (EMC Update) v0 30 1" xfId="1156" xr:uid="{00000000-0005-0000-0000-00002E040000}"/>
    <cellStyle name="%_NRA_model_for_NEMO2 (EMC Update) v0.20_NRA_model_for_NEMO2 (EMC Update) v0.29.2_NRA_model_for_NEMO2 (EMC Update) v0.29.4" xfId="1157" xr:uid="{00000000-0005-0000-0000-00002F040000}"/>
    <cellStyle name="%_NRA_model_for_NEMO2 (EMC Update) v0.20_NRA_model_for_NEMO2 (EMC Update) v0.29.2_NRA_model_for_NEMO2 (EMC Update) v0.29.4_NRA_model_for_NEMO2 (EMC Update) v0 30 1" xfId="1158" xr:uid="{00000000-0005-0000-0000-000030040000}"/>
    <cellStyle name="%_NRA_model_for_NEMO2 (EMC Update) v0.20_NRA_model_for_NEMO2 (EMC Update) v0.29.2_NRA_model_for_NEMO2 (EMC Update) v0.29.4_NRA_model_for_NEMO2 (EMC Update) v0.29.5" xfId="1159" xr:uid="{00000000-0005-0000-0000-000031040000}"/>
    <cellStyle name="%_NRA_model_for_NEMO2 (EMC Update) v0.20_NRA_model_for_NEMO2 (EMC Update) v0.29.2_NRA_model_for_NEMO2 (EMC Update) v0.29.4_NRA_model_for_NEMO2 (EMC Update) v0.29.5_NRA_model_for_NEMO2 (EMC Update) v0 30 1" xfId="1160" xr:uid="{00000000-0005-0000-0000-000032040000}"/>
    <cellStyle name="%_NRA_model_for_NEMO2 (EMC Update) v0.20_NRA_model_for_NEMO2 (EMC Update) v0.29.2_NRA_model_for_NEMO2 (EMC Update) v0.29.5" xfId="1161" xr:uid="{00000000-0005-0000-0000-000033040000}"/>
    <cellStyle name="%_NRA_model_for_NEMO2 (EMC Update) v0.20_NRA_model_for_NEMO2 (EMC Update) v0.29.2_NRA_model_for_NEMO2 (EMC Update) v0.29.5_NRA_model_for_NEMO2 (EMC Update) v0 30 1" xfId="1162" xr:uid="{00000000-0005-0000-0000-000034040000}"/>
    <cellStyle name="%_NRA_model_for_NEMO2 (EMC Update) v0.20_NRA_model_for_NEMO2 (EMC Update) v0.29.3" xfId="1163" xr:uid="{00000000-0005-0000-0000-000035040000}"/>
    <cellStyle name="%_NRA_model_for_NEMO2 (EMC Update) v0.20_NRA_model_for_NEMO2 (EMC Update) v0.29.3_NRA_model_for_NEMO2 (EMC Update) v0 30 1" xfId="1164" xr:uid="{00000000-0005-0000-0000-000036040000}"/>
    <cellStyle name="%_NRA_model_for_NEMO2 (EMC Update) v0.20_NRA_model_for_NEMO2 (EMC Update) v0.29.3_NRA_model_for_NEMO2 (EMC Update) v0.29.5" xfId="1165" xr:uid="{00000000-0005-0000-0000-000037040000}"/>
    <cellStyle name="%_NRA_model_for_NEMO2 (EMC Update) v0.20_NRA_model_for_NEMO2 (EMC Update) v0.29.3_NRA_model_for_NEMO2 (EMC Update) v0.29.5_NRA_model_for_NEMO2 (EMC Update) v0 30 1" xfId="1166" xr:uid="{00000000-0005-0000-0000-000038040000}"/>
    <cellStyle name="%_NRA_model_for_NEMO2 (EMC Update) v0.20_NRA_model_for_NEMO2 (EMC Update) v0.29.4" xfId="1167" xr:uid="{00000000-0005-0000-0000-000039040000}"/>
    <cellStyle name="%_NRA_model_for_NEMO2 (EMC Update) v0.20_NRA_model_for_NEMO2 (EMC Update) v0.29.4_NRA_model_for_NEMO2 (EMC Update) v0 30 1" xfId="1168" xr:uid="{00000000-0005-0000-0000-00003A040000}"/>
    <cellStyle name="%_NRA_model_for_NEMO2 (EMC Update) v0.20_NRA_model_for_NEMO2 (EMC Update) v0.29.4_NRA_model_for_NEMO2 (EMC Update) v0.29.5" xfId="1169" xr:uid="{00000000-0005-0000-0000-00003B040000}"/>
    <cellStyle name="%_NRA_model_for_NEMO2 (EMC Update) v0.20_NRA_model_for_NEMO2 (EMC Update) v0.29.4_NRA_model_for_NEMO2 (EMC Update) v0.29.5_NRA_model_for_NEMO2 (EMC Update) v0 30 1" xfId="1170" xr:uid="{00000000-0005-0000-0000-00003C040000}"/>
    <cellStyle name="%_NRA_model_for_NEMO2 (EMC Update) v0.20_NRA_model_for_NEMO2 (EMC Update) v0.29.5" xfId="1171" xr:uid="{00000000-0005-0000-0000-00003D040000}"/>
    <cellStyle name="%_NRA_model_for_NEMO2 (EMC Update) v0.20_NRA_model_for_NEMO2 (EMC Update) v0.29.5_NRA_model_for_NEMO2 (EMC Update) v0 30 1" xfId="1172" xr:uid="{00000000-0005-0000-0000-00003E040000}"/>
    <cellStyle name="%_NRA_model_for_NEMO2 (EMC Update) v0.20_NRA_model_for_NEMO2 (EMC Update) v0.29_NRA_model_for_NEMO2 (EMC Update) v0 30 1" xfId="1173" xr:uid="{00000000-0005-0000-0000-00003F040000}"/>
    <cellStyle name="%_NRA_model_for_NEMO2 (EMC Update) v0.20_NRA_model_for_NEMO2 (EMC Update) v0.29_NRA_model_for_NEMO2 (EMC Update) v0.29.2" xfId="1174" xr:uid="{00000000-0005-0000-0000-000040040000}"/>
    <cellStyle name="%_NRA_model_for_NEMO2 (EMC Update) v0.20_NRA_model_for_NEMO2 (EMC Update) v0.29_NRA_model_for_NEMO2 (EMC Update) v0.29.2_NRA_model_for_NEMO2 (EMC Update) v0 30 1" xfId="1175" xr:uid="{00000000-0005-0000-0000-000041040000}"/>
    <cellStyle name="%_NRA_model_for_NEMO2 (EMC Update) v0.20_NRA_model_for_NEMO2 (EMC Update) v0.29_NRA_model_for_NEMO2 (EMC Update) v0.29.2_NRA_model_for_NEMO2 (EMC Update) v0.29.3" xfId="1176" xr:uid="{00000000-0005-0000-0000-000042040000}"/>
    <cellStyle name="%_NRA_model_for_NEMO2 (EMC Update) v0.20_NRA_model_for_NEMO2 (EMC Update) v0.29_NRA_model_for_NEMO2 (EMC Update) v0.29.2_NRA_model_for_NEMO2 (EMC Update) v0.29.3_NRA_model_for_NEMO2 (EMC Update) v0 30 1" xfId="1177" xr:uid="{00000000-0005-0000-0000-000043040000}"/>
    <cellStyle name="%_NRA_model_for_NEMO2 (EMC Update) v0.20_NRA_model_for_NEMO2 (EMC Update) v0.29_NRA_model_for_NEMO2 (EMC Update) v0.29.2_NRA_model_for_NEMO2 (EMC Update) v0.29.3_NRA_model_for_NEMO2 (EMC Update) v0.29.5" xfId="1178" xr:uid="{00000000-0005-0000-0000-000044040000}"/>
    <cellStyle name="%_NRA_model_for_NEMO2 (EMC Update) v0.20_NRA_model_for_NEMO2 (EMC Update) v0.29_NRA_model_for_NEMO2 (EMC Update) v0.29.2_NRA_model_for_NEMO2 (EMC Update) v0.29.3_NRA_model_for_NEMO2 (EMC Update) v0.29.5_NRA_model_for_NEMO2 (EMC Update) v0 30 1" xfId="1179" xr:uid="{00000000-0005-0000-0000-000045040000}"/>
    <cellStyle name="%_NRA_model_for_NEMO2 (EMC Update) v0.20_NRA_model_for_NEMO2 (EMC Update) v0.29_NRA_model_for_NEMO2 (EMC Update) v0.29.2_NRA_model_for_NEMO2 (EMC Update) v0.29.4" xfId="1180" xr:uid="{00000000-0005-0000-0000-000046040000}"/>
    <cellStyle name="%_NRA_model_for_NEMO2 (EMC Update) v0.20_NRA_model_for_NEMO2 (EMC Update) v0.29_NRA_model_for_NEMO2 (EMC Update) v0.29.2_NRA_model_for_NEMO2 (EMC Update) v0.29.4_NRA_model_for_NEMO2 (EMC Update) v0 30 1" xfId="1181" xr:uid="{00000000-0005-0000-0000-000047040000}"/>
    <cellStyle name="%_NRA_model_for_NEMO2 (EMC Update) v0.20_NRA_model_for_NEMO2 (EMC Update) v0.29_NRA_model_for_NEMO2 (EMC Update) v0.29.2_NRA_model_for_NEMO2 (EMC Update) v0.29.4_NRA_model_for_NEMO2 (EMC Update) v0.29.5" xfId="1182" xr:uid="{00000000-0005-0000-0000-000048040000}"/>
    <cellStyle name="%_NRA_model_for_NEMO2 (EMC Update) v0.20_NRA_model_for_NEMO2 (EMC Update) v0.29_NRA_model_for_NEMO2 (EMC Update) v0.29.2_NRA_model_for_NEMO2 (EMC Update) v0.29.4_NRA_model_for_NEMO2 (EMC Update) v0.29.5_NRA_model_for_NEMO2 (EMC Update) v0 30 1" xfId="1183" xr:uid="{00000000-0005-0000-0000-000049040000}"/>
    <cellStyle name="%_NRA_model_for_NEMO2 (EMC Update) v0.20_NRA_model_for_NEMO2 (EMC Update) v0.29_NRA_model_for_NEMO2 (EMC Update) v0.29.2_NRA_model_for_NEMO2 (EMC Update) v0.29.5" xfId="1184" xr:uid="{00000000-0005-0000-0000-00004A040000}"/>
    <cellStyle name="%_NRA_model_for_NEMO2 (EMC Update) v0.20_NRA_model_for_NEMO2 (EMC Update) v0.29_NRA_model_for_NEMO2 (EMC Update) v0.29.2_NRA_model_for_NEMO2 (EMC Update) v0.29.5_NRA_model_for_NEMO2 (EMC Update) v0 30 1" xfId="1185" xr:uid="{00000000-0005-0000-0000-00004B040000}"/>
    <cellStyle name="%_NRA_model_for_NEMO2 (EMC Update) v0.20_NRA_model_for_NEMO2 (EMC Update) v0.29_NRA_model_for_NEMO2 (EMC Update) v0.29.3" xfId="1186" xr:uid="{00000000-0005-0000-0000-00004C040000}"/>
    <cellStyle name="%_NRA_model_for_NEMO2 (EMC Update) v0.20_NRA_model_for_NEMO2 (EMC Update) v0.29_NRA_model_for_NEMO2 (EMC Update) v0.29.3_NRA_model_for_NEMO2 (EMC Update) v0 30 1" xfId="1187" xr:uid="{00000000-0005-0000-0000-00004D040000}"/>
    <cellStyle name="%_NRA_model_for_NEMO2 (EMC Update) v0.20_NRA_model_for_NEMO2 (EMC Update) v0.29_NRA_model_for_NEMO2 (EMC Update) v0.29.3_NRA_model_for_NEMO2 (EMC Update) v0.29.5" xfId="1188" xr:uid="{00000000-0005-0000-0000-00004E040000}"/>
    <cellStyle name="%_NRA_model_for_NEMO2 (EMC Update) v0.20_NRA_model_for_NEMO2 (EMC Update) v0.29_NRA_model_for_NEMO2 (EMC Update) v0.29.3_NRA_model_for_NEMO2 (EMC Update) v0.29.5_NRA_model_for_NEMO2 (EMC Update) v0 30 1" xfId="1189" xr:uid="{00000000-0005-0000-0000-00004F040000}"/>
    <cellStyle name="%_NRA_model_for_NEMO2 (EMC Update) v0.20_NRA_model_for_NEMO2 (EMC Update) v0.29_NRA_model_for_NEMO2 (EMC Update) v0.29.4" xfId="1190" xr:uid="{00000000-0005-0000-0000-000050040000}"/>
    <cellStyle name="%_NRA_model_for_NEMO2 (EMC Update) v0.20_NRA_model_for_NEMO2 (EMC Update) v0.29_NRA_model_for_NEMO2 (EMC Update) v0.29.4_NRA_model_for_NEMO2 (EMC Update) v0 30 1" xfId="1191" xr:uid="{00000000-0005-0000-0000-000051040000}"/>
    <cellStyle name="%_NRA_model_for_NEMO2 (EMC Update) v0.20_NRA_model_for_NEMO2 (EMC Update) v0.29_NRA_model_for_NEMO2 (EMC Update) v0.29.4_NRA_model_for_NEMO2 (EMC Update) v0.29.5" xfId="1192" xr:uid="{00000000-0005-0000-0000-000052040000}"/>
    <cellStyle name="%_NRA_model_for_NEMO2 (EMC Update) v0.20_NRA_model_for_NEMO2 (EMC Update) v0.29_NRA_model_for_NEMO2 (EMC Update) v0.29.4_NRA_model_for_NEMO2 (EMC Update) v0.29.5_NRA_model_for_NEMO2 (EMC Update) v0 30 1" xfId="1193" xr:uid="{00000000-0005-0000-0000-000053040000}"/>
    <cellStyle name="%_NRA_model_for_NEMO2 (EMC Update) v0.20_NRA_model_for_NEMO2 (EMC Update) v0.29_NRA_model_for_NEMO2 (EMC Update) v0.29.5" xfId="1194" xr:uid="{00000000-0005-0000-0000-000054040000}"/>
    <cellStyle name="%_NRA_model_for_NEMO2 (EMC Update) v0.20_NRA_model_for_NEMO2 (EMC Update) v0.29_NRA_model_for_NEMO2 (EMC Update) v0.29.5_NRA_model_for_NEMO2 (EMC Update) v0 30 1" xfId="1195" xr:uid="{00000000-0005-0000-0000-000055040000}"/>
    <cellStyle name="%_NRA_model_for_NEMO2 (EMC Update) v0.21" xfId="1196" xr:uid="{00000000-0005-0000-0000-000056040000}"/>
    <cellStyle name="%_NRA_model_for_NEMO2 (EMC Update) v0.21_NRA_model_for_NEMO2 (EMC Update) v0 30 1" xfId="1197" xr:uid="{00000000-0005-0000-0000-000057040000}"/>
    <cellStyle name="%_NRA_model_for_NEMO2 (EMC Update) v0.21_NRA_model_for_NEMO2 (EMC Update) v0.22" xfId="1198" xr:uid="{00000000-0005-0000-0000-000058040000}"/>
    <cellStyle name="%_NRA_model_for_NEMO2 (EMC Update) v0.21_NRA_model_for_NEMO2 (EMC Update) v0.22_NRA_model_for_NEMO2 (EMC Update) v0 30 1" xfId="1199" xr:uid="{00000000-0005-0000-0000-000059040000}"/>
    <cellStyle name="%_NRA_model_for_NEMO2 (EMC Update) v0.21_NRA_model_for_NEMO2 (EMC Update) v0.22_NRA_model_for_NEMO2 (EMC Update) v0.25" xfId="1200" xr:uid="{00000000-0005-0000-0000-00005A040000}"/>
    <cellStyle name="%_NRA_model_for_NEMO2 (EMC Update) v0.21_NRA_model_for_NEMO2 (EMC Update) v0.22_NRA_model_for_NEMO2 (EMC Update) v0.25_NRA_model_for_NEMO2 (EMC Update) v0 30 1" xfId="1201" xr:uid="{00000000-0005-0000-0000-00005B040000}"/>
    <cellStyle name="%_NRA_model_for_NEMO2 (EMC Update) v0.21_NRA_model_for_NEMO2 (EMC Update) v0.22_NRA_model_for_NEMO2 (EMC Update) v0.25_NRA_model_for_NEMO2 (EMC Update) v0.26" xfId="1202" xr:uid="{00000000-0005-0000-0000-00005C040000}"/>
    <cellStyle name="%_NRA_model_for_NEMO2 (EMC Update) v0.21_NRA_model_for_NEMO2 (EMC Update) v0.22_NRA_model_for_NEMO2 (EMC Update) v0.25_NRA_model_for_NEMO2 (EMC Update) v0.26_NRA_model_for_NEMO2 (EMC Update) v0 30 1" xfId="1203" xr:uid="{00000000-0005-0000-0000-00005D040000}"/>
    <cellStyle name="%_NRA_model_for_NEMO2 (EMC Update) v0.21_NRA_model_for_NEMO2 (EMC Update) v0.22_NRA_model_for_NEMO2 (EMC Update) v0.25_NRA_model_for_NEMO2 (EMC Update) v0.26_NRA_model_for_NEMO2 (EMC Update) v0.29" xfId="1204" xr:uid="{00000000-0005-0000-0000-00005E040000}"/>
    <cellStyle name="%_NRA_model_for_NEMO2 (EMC Update) v0.21_NRA_model_for_NEMO2 (EMC Update) v0.22_NRA_model_for_NEMO2 (EMC Update) v0.25_NRA_model_for_NEMO2 (EMC Update) v0.26_NRA_model_for_NEMO2 (EMC Update) v0.29.2" xfId="1205" xr:uid="{00000000-0005-0000-0000-00005F040000}"/>
    <cellStyle name="%_NRA_model_for_NEMO2 (EMC Update) v0.21_NRA_model_for_NEMO2 (EMC Update) v0.22_NRA_model_for_NEMO2 (EMC Update) v0.25_NRA_model_for_NEMO2 (EMC Update) v0.26_NRA_model_for_NEMO2 (EMC Update) v0.29.2_NRA_model_for_NEMO2 (EMC Update) v0 30 1" xfId="1206" xr:uid="{00000000-0005-0000-0000-000060040000}"/>
    <cellStyle name="%_NRA_model_for_NEMO2 (EMC Update) v0.21_NRA_model_for_NEMO2 (EMC Update) v0.22_NRA_model_for_NEMO2 (EMC Update) v0.25_NRA_model_for_NEMO2 (EMC Update) v0.26_NRA_model_for_NEMO2 (EMC Update) v0.29.2_NRA_model_for_NEMO2 (EMC Update) v0.29.3" xfId="1207" xr:uid="{00000000-0005-0000-0000-000061040000}"/>
    <cellStyle name="%_NRA_model_for_NEMO2 (EMC Update) v0.21_NRA_model_for_NEMO2 (EMC Update) v0.22_NRA_model_for_NEMO2 (EMC Update) v0.25_NRA_model_for_NEMO2 (EMC Update) v0.26_NRA_model_for_NEMO2 (EMC Update) v0.29.2_NRA_model_for_NEMO2 (EMC Update) v0.29.4" xfId="1208" xr:uid="{00000000-0005-0000-0000-000062040000}"/>
    <cellStyle name="%_NRA_model_for_NEMO2 (EMC Update) v0.21_NRA_model_for_NEMO2 (EMC Update) v0.22_NRA_model_for_NEMO2 (EMC Update) v0.25_NRA_model_for_NEMO2 (EMC Update) v0.26_NRA_model_for_NEMO2 (EMC Update) v0.29.2_NRA_model_for_NEMO2 (EMC Update) v0.29.5" xfId="1209" xr:uid="{00000000-0005-0000-0000-000063040000}"/>
    <cellStyle name="%_NRA_model_for_NEMO2 (EMC Update) v0.21_NRA_model_for_NEMO2 (EMC Update) v0.22_NRA_model_for_NEMO2 (EMC Update) v0.25_NRA_model_for_NEMO2 (EMC Update) v0.26_NRA_model_for_NEMO2 (EMC Update) v0.29.3" xfId="1210" xr:uid="{00000000-0005-0000-0000-000064040000}"/>
    <cellStyle name="%_NRA_model_for_NEMO2 (EMC Update) v0.21_NRA_model_for_NEMO2 (EMC Update) v0.22_NRA_model_for_NEMO2 (EMC Update) v0.25_NRA_model_for_NEMO2 (EMC Update) v0.26_NRA_model_for_NEMO2 (EMC Update) v0.29.3_NRA_model_for_NEMO2 (EMC Update) v0 30 1" xfId="1211" xr:uid="{00000000-0005-0000-0000-000065040000}"/>
    <cellStyle name="%_NRA_model_for_NEMO2 (EMC Update) v0.21_NRA_model_for_NEMO2 (EMC Update) v0.22_NRA_model_for_NEMO2 (EMC Update) v0.25_NRA_model_for_NEMO2 (EMC Update) v0.26_NRA_model_for_NEMO2 (EMC Update) v0.29.3_NRA_model_for_NEMO2 (EMC Update) v0.29.5" xfId="1212" xr:uid="{00000000-0005-0000-0000-000066040000}"/>
    <cellStyle name="%_NRA_model_for_NEMO2 (EMC Update) v0.21_NRA_model_for_NEMO2 (EMC Update) v0.22_NRA_model_for_NEMO2 (EMC Update) v0.25_NRA_model_for_NEMO2 (EMC Update) v0.26_NRA_model_for_NEMO2 (EMC Update) v0.29.4" xfId="1213" xr:uid="{00000000-0005-0000-0000-000067040000}"/>
    <cellStyle name="%_NRA_model_for_NEMO2 (EMC Update) v0.21_NRA_model_for_NEMO2 (EMC Update) v0.22_NRA_model_for_NEMO2 (EMC Update) v0.25_NRA_model_for_NEMO2 (EMC Update) v0.26_NRA_model_for_NEMO2 (EMC Update) v0.29.4_NRA_model_for_NEMO2 (EMC Update) v0 30 1" xfId="1214" xr:uid="{00000000-0005-0000-0000-000068040000}"/>
    <cellStyle name="%_NRA_model_for_NEMO2 (EMC Update) v0.21_NRA_model_for_NEMO2 (EMC Update) v0.22_NRA_model_for_NEMO2 (EMC Update) v0.25_NRA_model_for_NEMO2 (EMC Update) v0.26_NRA_model_for_NEMO2 (EMC Update) v0.29.4_NRA_model_for_NEMO2 (EMC Update) v0.29.5" xfId="1215" xr:uid="{00000000-0005-0000-0000-000069040000}"/>
    <cellStyle name="%_NRA_model_for_NEMO2 (EMC Update) v0.21_NRA_model_for_NEMO2 (EMC Update) v0.22_NRA_model_for_NEMO2 (EMC Update) v0.25_NRA_model_for_NEMO2 (EMC Update) v0.26_NRA_model_for_NEMO2 (EMC Update) v0.29.5" xfId="1216" xr:uid="{00000000-0005-0000-0000-00006A040000}"/>
    <cellStyle name="%_NRA_model_for_NEMO2 (EMC Update) v0.21_NRA_model_for_NEMO2 (EMC Update) v0.22_NRA_model_for_NEMO2 (EMC Update) v0.25_NRA_model_for_NEMO2 (EMC Update) v0.26_NRA_model_for_NEMO2 (EMC Update) v0.29.5_NRA_model_for_NEMO2 (EMC Update) v0 30 1" xfId="1217" xr:uid="{00000000-0005-0000-0000-00006B040000}"/>
    <cellStyle name="%_NRA_model_for_NEMO2 (EMC Update) v0.21_NRA_model_for_NEMO2 (EMC Update) v0.22_NRA_model_for_NEMO2 (EMC Update) v0.25_NRA_model_for_NEMO2 (EMC Update) v0.26_NRA_model_for_NEMO2 (EMC Update) v0.29_NRA_model_for_NEMO2 (EMC Update) v0 30 1" xfId="1218" xr:uid="{00000000-0005-0000-0000-00006C040000}"/>
    <cellStyle name="%_NRA_model_for_NEMO2 (EMC Update) v0.21_NRA_model_for_NEMO2 (EMC Update) v0.22_NRA_model_for_NEMO2 (EMC Update) v0.25_NRA_model_for_NEMO2 (EMC Update) v0.26_NRA_model_for_NEMO2 (EMC Update) v0.29_NRA_model_for_NEMO2 (EMC Update) v0.29.2" xfId="1219" xr:uid="{00000000-0005-0000-0000-00006D040000}"/>
    <cellStyle name="%_NRA_model_for_NEMO2 (EMC Update) v0.21_NRA_model_for_NEMO2 (EMC Update) v0.22_NRA_model_for_NEMO2 (EMC Update) v0.25_NRA_model_for_NEMO2 (EMC Update) v0.26_NRA_model_for_NEMO2 (EMC Update) v0.29_NRA_model_for_NEMO2 (EMC Update) v0.29.3" xfId="1220" xr:uid="{00000000-0005-0000-0000-00006E040000}"/>
    <cellStyle name="%_NRA_model_for_NEMO2 (EMC Update) v0.21_NRA_model_for_NEMO2 (EMC Update) v0.22_NRA_model_for_NEMO2 (EMC Update) v0.25_NRA_model_for_NEMO2 (EMC Update) v0.26_NRA_model_for_NEMO2 (EMC Update) v0.29_NRA_model_for_NEMO2 (EMC Update) v0.29.4" xfId="1221" xr:uid="{00000000-0005-0000-0000-00006F040000}"/>
    <cellStyle name="%_NRA_model_for_NEMO2 (EMC Update) v0.21_NRA_model_for_NEMO2 (EMC Update) v0.22_NRA_model_for_NEMO2 (EMC Update) v0.25_NRA_model_for_NEMO2 (EMC Update) v0.26_NRA_model_for_NEMO2 (EMC Update) v0.29_NRA_model_for_NEMO2 (EMC Update) v0.29.5" xfId="1222" xr:uid="{00000000-0005-0000-0000-000070040000}"/>
    <cellStyle name="%_NRA_model_for_NEMO2 (EMC Update) v0.21_NRA_model_for_NEMO2 (EMC Update) v0.22_NRA_model_for_NEMO2 (EMC Update) v0.25_NRA_model_for_NEMO2 (EMC Update) v0.29" xfId="1223" xr:uid="{00000000-0005-0000-0000-000071040000}"/>
    <cellStyle name="%_NRA_model_for_NEMO2 (EMC Update) v0.21_NRA_model_for_NEMO2 (EMC Update) v0.22_NRA_model_for_NEMO2 (EMC Update) v0.25_NRA_model_for_NEMO2 (EMC Update) v0.29.2" xfId="1224" xr:uid="{00000000-0005-0000-0000-000072040000}"/>
    <cellStyle name="%_NRA_model_for_NEMO2 (EMC Update) v0.21_NRA_model_for_NEMO2 (EMC Update) v0.22_NRA_model_for_NEMO2 (EMC Update) v0.25_NRA_model_for_NEMO2 (EMC Update) v0.29.2_NRA_model_for_NEMO2 (EMC Update) v0 30 1" xfId="1225" xr:uid="{00000000-0005-0000-0000-000073040000}"/>
    <cellStyle name="%_NRA_model_for_NEMO2 (EMC Update) v0.21_NRA_model_for_NEMO2 (EMC Update) v0.22_NRA_model_for_NEMO2 (EMC Update) v0.25_NRA_model_for_NEMO2 (EMC Update) v0.29.2_NRA_model_for_NEMO2 (EMC Update) v0.29.3" xfId="1226" xr:uid="{00000000-0005-0000-0000-000074040000}"/>
    <cellStyle name="%_NRA_model_for_NEMO2 (EMC Update) v0.21_NRA_model_for_NEMO2 (EMC Update) v0.22_NRA_model_for_NEMO2 (EMC Update) v0.25_NRA_model_for_NEMO2 (EMC Update) v0.29.2_NRA_model_for_NEMO2 (EMC Update) v0.29.3_NRA_model_for_NEMO2 (EMC Update) v0 30 1" xfId="1227" xr:uid="{00000000-0005-0000-0000-000075040000}"/>
    <cellStyle name="%_NRA_model_for_NEMO2 (EMC Update) v0.21_NRA_model_for_NEMO2 (EMC Update) v0.22_NRA_model_for_NEMO2 (EMC Update) v0.25_NRA_model_for_NEMO2 (EMC Update) v0.29.2_NRA_model_for_NEMO2 (EMC Update) v0.29.3_NRA_model_for_NEMO2 (EMC Update) v0.29.5" xfId="1228" xr:uid="{00000000-0005-0000-0000-000076040000}"/>
    <cellStyle name="%_NRA_model_for_NEMO2 (EMC Update) v0.21_NRA_model_for_NEMO2 (EMC Update) v0.22_NRA_model_for_NEMO2 (EMC Update) v0.25_NRA_model_for_NEMO2 (EMC Update) v0.29.2_NRA_model_for_NEMO2 (EMC Update) v0.29.4" xfId="1229" xr:uid="{00000000-0005-0000-0000-000077040000}"/>
    <cellStyle name="%_NRA_model_for_NEMO2 (EMC Update) v0.21_NRA_model_for_NEMO2 (EMC Update) v0.22_NRA_model_for_NEMO2 (EMC Update) v0.25_NRA_model_for_NEMO2 (EMC Update) v0.29.2_NRA_model_for_NEMO2 (EMC Update) v0.29.4_NRA_model_for_NEMO2 (EMC Update) v0 30 1" xfId="1230" xr:uid="{00000000-0005-0000-0000-000078040000}"/>
    <cellStyle name="%_NRA_model_for_NEMO2 (EMC Update) v0.21_NRA_model_for_NEMO2 (EMC Update) v0.22_NRA_model_for_NEMO2 (EMC Update) v0.25_NRA_model_for_NEMO2 (EMC Update) v0.29.2_NRA_model_for_NEMO2 (EMC Update) v0.29.4_NRA_model_for_NEMO2 (EMC Update) v0.29.5" xfId="1231" xr:uid="{00000000-0005-0000-0000-000079040000}"/>
    <cellStyle name="%_NRA_model_for_NEMO2 (EMC Update) v0.21_NRA_model_for_NEMO2 (EMC Update) v0.22_NRA_model_for_NEMO2 (EMC Update) v0.25_NRA_model_for_NEMO2 (EMC Update) v0.29.2_NRA_model_for_NEMO2 (EMC Update) v0.29.5" xfId="1232" xr:uid="{00000000-0005-0000-0000-00007A040000}"/>
    <cellStyle name="%_NRA_model_for_NEMO2 (EMC Update) v0.21_NRA_model_for_NEMO2 (EMC Update) v0.22_NRA_model_for_NEMO2 (EMC Update) v0.25_NRA_model_for_NEMO2 (EMC Update) v0.29.2_NRA_model_for_NEMO2 (EMC Update) v0.29.5_NRA_model_for_NEMO2 (EMC Update) v0 30 1" xfId="1233" xr:uid="{00000000-0005-0000-0000-00007B040000}"/>
    <cellStyle name="%_NRA_model_for_NEMO2 (EMC Update) v0.21_NRA_model_for_NEMO2 (EMC Update) v0.22_NRA_model_for_NEMO2 (EMC Update) v0.25_NRA_model_for_NEMO2 (EMC Update) v0.29.3" xfId="1234" xr:uid="{00000000-0005-0000-0000-00007C040000}"/>
    <cellStyle name="%_NRA_model_for_NEMO2 (EMC Update) v0.21_NRA_model_for_NEMO2 (EMC Update) v0.22_NRA_model_for_NEMO2 (EMC Update) v0.25_NRA_model_for_NEMO2 (EMC Update) v0.29.3_NRA_model_for_NEMO2 (EMC Update) v0 30 1" xfId="1235" xr:uid="{00000000-0005-0000-0000-00007D040000}"/>
    <cellStyle name="%_NRA_model_for_NEMO2 (EMC Update) v0.21_NRA_model_for_NEMO2 (EMC Update) v0.22_NRA_model_for_NEMO2 (EMC Update) v0.25_NRA_model_for_NEMO2 (EMC Update) v0.29.3_NRA_model_for_NEMO2 (EMC Update) v0.29.5" xfId="1236" xr:uid="{00000000-0005-0000-0000-00007E040000}"/>
    <cellStyle name="%_NRA_model_for_NEMO2 (EMC Update) v0.21_NRA_model_for_NEMO2 (EMC Update) v0.22_NRA_model_for_NEMO2 (EMC Update) v0.25_NRA_model_for_NEMO2 (EMC Update) v0.29.3_NRA_model_for_NEMO2 (EMC Update) v0.29.5_NRA_model_for_NEMO2 (EMC Update) v0 30 1" xfId="1237" xr:uid="{00000000-0005-0000-0000-00007F040000}"/>
    <cellStyle name="%_NRA_model_for_NEMO2 (EMC Update) v0.21_NRA_model_for_NEMO2 (EMC Update) v0.22_NRA_model_for_NEMO2 (EMC Update) v0.25_NRA_model_for_NEMO2 (EMC Update) v0.29.4" xfId="1238" xr:uid="{00000000-0005-0000-0000-000080040000}"/>
    <cellStyle name="%_NRA_model_for_NEMO2 (EMC Update) v0.21_NRA_model_for_NEMO2 (EMC Update) v0.22_NRA_model_for_NEMO2 (EMC Update) v0.25_NRA_model_for_NEMO2 (EMC Update) v0.29.4_NRA_model_for_NEMO2 (EMC Update) v0 30 1" xfId="1239" xr:uid="{00000000-0005-0000-0000-000081040000}"/>
    <cellStyle name="%_NRA_model_for_NEMO2 (EMC Update) v0.21_NRA_model_for_NEMO2 (EMC Update) v0.22_NRA_model_for_NEMO2 (EMC Update) v0.25_NRA_model_for_NEMO2 (EMC Update) v0.29.4_NRA_model_for_NEMO2 (EMC Update) v0.29.5" xfId="1240" xr:uid="{00000000-0005-0000-0000-000082040000}"/>
    <cellStyle name="%_NRA_model_for_NEMO2 (EMC Update) v0.21_NRA_model_for_NEMO2 (EMC Update) v0.22_NRA_model_for_NEMO2 (EMC Update) v0.25_NRA_model_for_NEMO2 (EMC Update) v0.29.4_NRA_model_for_NEMO2 (EMC Update) v0.29.5_NRA_model_for_NEMO2 (EMC Update) v0 30 1" xfId="1241" xr:uid="{00000000-0005-0000-0000-000083040000}"/>
    <cellStyle name="%_NRA_model_for_NEMO2 (EMC Update) v0.21_NRA_model_for_NEMO2 (EMC Update) v0.22_NRA_model_for_NEMO2 (EMC Update) v0.25_NRA_model_for_NEMO2 (EMC Update) v0.29.5" xfId="1242" xr:uid="{00000000-0005-0000-0000-000084040000}"/>
    <cellStyle name="%_NRA_model_for_NEMO2 (EMC Update) v0.21_NRA_model_for_NEMO2 (EMC Update) v0.22_NRA_model_for_NEMO2 (EMC Update) v0.25_NRA_model_for_NEMO2 (EMC Update) v0.29.5_NRA_model_for_NEMO2 (EMC Update) v0 30 1" xfId="1243" xr:uid="{00000000-0005-0000-0000-000085040000}"/>
    <cellStyle name="%_NRA_model_for_NEMO2 (EMC Update) v0.21_NRA_model_for_NEMO2 (EMC Update) v0.22_NRA_model_for_NEMO2 (EMC Update) v0.25_NRA_model_for_NEMO2 (EMC Update) v0.29_NRA_model_for_NEMO2 (EMC Update) v0 30 1" xfId="1244" xr:uid="{00000000-0005-0000-0000-000086040000}"/>
    <cellStyle name="%_NRA_model_for_NEMO2 (EMC Update) v0.21_NRA_model_for_NEMO2 (EMC Update) v0.22_NRA_model_for_NEMO2 (EMC Update) v0.25_NRA_model_for_NEMO2 (EMC Update) v0.29_NRA_model_for_NEMO2 (EMC Update) v0.29.2" xfId="1245" xr:uid="{00000000-0005-0000-0000-000087040000}"/>
    <cellStyle name="%_NRA_model_for_NEMO2 (EMC Update) v0.21_NRA_model_for_NEMO2 (EMC Update) v0.22_NRA_model_for_NEMO2 (EMC Update) v0.25_NRA_model_for_NEMO2 (EMC Update) v0.29_NRA_model_for_NEMO2 (EMC Update) v0.29.2_NRA_model_for_NEMO2 (EMC Update) v0 30 1" xfId="1246" xr:uid="{00000000-0005-0000-0000-000088040000}"/>
    <cellStyle name="%_NRA_model_for_NEMO2 (EMC Update) v0.21_NRA_model_for_NEMO2 (EMC Update) v0.22_NRA_model_for_NEMO2 (EMC Update) v0.25_NRA_model_for_NEMO2 (EMC Update) v0.29_NRA_model_for_NEMO2 (EMC Update) v0.29.2_NRA_model_for_NEMO2 (EMC Update) v0.29.3" xfId="1247" xr:uid="{00000000-0005-0000-0000-000089040000}"/>
    <cellStyle name="%_NRA_model_for_NEMO2 (EMC Update) v0.21_NRA_model_for_NEMO2 (EMC Update) v0.22_NRA_model_for_NEMO2 (EMC Update) v0.25_NRA_model_for_NEMO2 (EMC Update) v0.29_NRA_model_for_NEMO2 (EMC Update) v0.29.2_NRA_model_for_NEMO2 (EMC Update) v0.29.4" xfId="1248" xr:uid="{00000000-0005-0000-0000-00008A040000}"/>
    <cellStyle name="%_NRA_model_for_NEMO2 (EMC Update) v0.21_NRA_model_for_NEMO2 (EMC Update) v0.22_NRA_model_for_NEMO2 (EMC Update) v0.25_NRA_model_for_NEMO2 (EMC Update) v0.29_NRA_model_for_NEMO2 (EMC Update) v0.29.2_NRA_model_for_NEMO2 (EMC Update) v0.29.5" xfId="1249" xr:uid="{00000000-0005-0000-0000-00008B040000}"/>
    <cellStyle name="%_NRA_model_for_NEMO2 (EMC Update) v0.21_NRA_model_for_NEMO2 (EMC Update) v0.22_NRA_model_for_NEMO2 (EMC Update) v0.25_NRA_model_for_NEMO2 (EMC Update) v0.29_NRA_model_for_NEMO2 (EMC Update) v0.29.3" xfId="1250" xr:uid="{00000000-0005-0000-0000-00008C040000}"/>
    <cellStyle name="%_NRA_model_for_NEMO2 (EMC Update) v0.21_NRA_model_for_NEMO2 (EMC Update) v0.22_NRA_model_for_NEMO2 (EMC Update) v0.25_NRA_model_for_NEMO2 (EMC Update) v0.29_NRA_model_for_NEMO2 (EMC Update) v0.29.3_NRA_model_for_NEMO2 (EMC Update) v0 30 1" xfId="1251" xr:uid="{00000000-0005-0000-0000-00008D040000}"/>
    <cellStyle name="%_NRA_model_for_NEMO2 (EMC Update) v0.21_NRA_model_for_NEMO2 (EMC Update) v0.22_NRA_model_for_NEMO2 (EMC Update) v0.25_NRA_model_for_NEMO2 (EMC Update) v0.29_NRA_model_for_NEMO2 (EMC Update) v0.29.3_NRA_model_for_NEMO2 (EMC Update) v0.29.5" xfId="1252" xr:uid="{00000000-0005-0000-0000-00008E040000}"/>
    <cellStyle name="%_NRA_model_for_NEMO2 (EMC Update) v0.21_NRA_model_for_NEMO2 (EMC Update) v0.22_NRA_model_for_NEMO2 (EMC Update) v0.25_NRA_model_for_NEMO2 (EMC Update) v0.29_NRA_model_for_NEMO2 (EMC Update) v0.29.4" xfId="1253" xr:uid="{00000000-0005-0000-0000-00008F040000}"/>
    <cellStyle name="%_NRA_model_for_NEMO2 (EMC Update) v0.21_NRA_model_for_NEMO2 (EMC Update) v0.22_NRA_model_for_NEMO2 (EMC Update) v0.25_NRA_model_for_NEMO2 (EMC Update) v0.29_NRA_model_for_NEMO2 (EMC Update) v0.29.4_NRA_model_for_NEMO2 (EMC Update) v0 30 1" xfId="1254" xr:uid="{00000000-0005-0000-0000-000090040000}"/>
    <cellStyle name="%_NRA_model_for_NEMO2 (EMC Update) v0.21_NRA_model_for_NEMO2 (EMC Update) v0.22_NRA_model_for_NEMO2 (EMC Update) v0.25_NRA_model_for_NEMO2 (EMC Update) v0.29_NRA_model_for_NEMO2 (EMC Update) v0.29.4_NRA_model_for_NEMO2 (EMC Update) v0.29.5" xfId="1255" xr:uid="{00000000-0005-0000-0000-000091040000}"/>
    <cellStyle name="%_NRA_model_for_NEMO2 (EMC Update) v0.21_NRA_model_for_NEMO2 (EMC Update) v0.22_NRA_model_for_NEMO2 (EMC Update) v0.25_NRA_model_for_NEMO2 (EMC Update) v0.29_NRA_model_for_NEMO2 (EMC Update) v0.29.5" xfId="1256" xr:uid="{00000000-0005-0000-0000-000092040000}"/>
    <cellStyle name="%_NRA_model_for_NEMO2 (EMC Update) v0.21_NRA_model_for_NEMO2 (EMC Update) v0.22_NRA_model_for_NEMO2 (EMC Update) v0.25_NRA_model_for_NEMO2 (EMC Update) v0.29_NRA_model_for_NEMO2 (EMC Update) v0.29.5_NRA_model_for_NEMO2 (EMC Update) v0 30 1" xfId="1257" xr:uid="{00000000-0005-0000-0000-000093040000}"/>
    <cellStyle name="%_NRA_model_for_NEMO2 (EMC Update) v0.21_NRA_model_for_NEMO2 (EMC Update) v0.22_NRA_model_for_NEMO2 (EMC Update) v0.26" xfId="1258" xr:uid="{00000000-0005-0000-0000-000094040000}"/>
    <cellStyle name="%_NRA_model_for_NEMO2 (EMC Update) v0.21_NRA_model_for_NEMO2 (EMC Update) v0.22_NRA_model_for_NEMO2 (EMC Update) v0.26_NRA_model_for_NEMO2 (EMC Update) v0 30 1" xfId="1259" xr:uid="{00000000-0005-0000-0000-000095040000}"/>
    <cellStyle name="%_NRA_model_for_NEMO2 (EMC Update) v0.21_NRA_model_for_NEMO2 (EMC Update) v0.22_NRA_model_for_NEMO2 (EMC Update) v0.26_NRA_model_for_NEMO2 (EMC Update) v0.29" xfId="1260" xr:uid="{00000000-0005-0000-0000-000096040000}"/>
    <cellStyle name="%_NRA_model_for_NEMO2 (EMC Update) v0.21_NRA_model_for_NEMO2 (EMC Update) v0.22_NRA_model_for_NEMO2 (EMC Update) v0.26_NRA_model_for_NEMO2 (EMC Update) v0.29.2" xfId="1261" xr:uid="{00000000-0005-0000-0000-000097040000}"/>
    <cellStyle name="%_NRA_model_for_NEMO2 (EMC Update) v0.21_NRA_model_for_NEMO2 (EMC Update) v0.22_NRA_model_for_NEMO2 (EMC Update) v0.26_NRA_model_for_NEMO2 (EMC Update) v0.29.2_NRA_model_for_NEMO2 (EMC Update) v0 30 1" xfId="1262" xr:uid="{00000000-0005-0000-0000-000098040000}"/>
    <cellStyle name="%_NRA_model_for_NEMO2 (EMC Update) v0.21_NRA_model_for_NEMO2 (EMC Update) v0.22_NRA_model_for_NEMO2 (EMC Update) v0.26_NRA_model_for_NEMO2 (EMC Update) v0.29.2_NRA_model_for_NEMO2 (EMC Update) v0.29.3" xfId="1263" xr:uid="{00000000-0005-0000-0000-000099040000}"/>
    <cellStyle name="%_NRA_model_for_NEMO2 (EMC Update) v0.21_NRA_model_for_NEMO2 (EMC Update) v0.22_NRA_model_for_NEMO2 (EMC Update) v0.26_NRA_model_for_NEMO2 (EMC Update) v0.29.2_NRA_model_for_NEMO2 (EMC Update) v0.29.3_NRA_model_for_NEMO2 (EMC Update) v0 30 1" xfId="1264" xr:uid="{00000000-0005-0000-0000-00009A040000}"/>
    <cellStyle name="%_NRA_model_for_NEMO2 (EMC Update) v0.21_NRA_model_for_NEMO2 (EMC Update) v0.22_NRA_model_for_NEMO2 (EMC Update) v0.26_NRA_model_for_NEMO2 (EMC Update) v0.29.2_NRA_model_for_NEMO2 (EMC Update) v0.29.3_NRA_model_for_NEMO2 (EMC Update) v0.29.5" xfId="1265" xr:uid="{00000000-0005-0000-0000-00009B040000}"/>
    <cellStyle name="%_NRA_model_for_NEMO2 (EMC Update) v0.21_NRA_model_for_NEMO2 (EMC Update) v0.22_NRA_model_for_NEMO2 (EMC Update) v0.26_NRA_model_for_NEMO2 (EMC Update) v0.29.2_NRA_model_for_NEMO2 (EMC Update) v0.29.4" xfId="1266" xr:uid="{00000000-0005-0000-0000-00009C040000}"/>
    <cellStyle name="%_NRA_model_for_NEMO2 (EMC Update) v0.21_NRA_model_for_NEMO2 (EMC Update) v0.22_NRA_model_for_NEMO2 (EMC Update) v0.26_NRA_model_for_NEMO2 (EMC Update) v0.29.2_NRA_model_for_NEMO2 (EMC Update) v0.29.4_NRA_model_for_NEMO2 (EMC Update) v0 30 1" xfId="1267" xr:uid="{00000000-0005-0000-0000-00009D040000}"/>
    <cellStyle name="%_NRA_model_for_NEMO2 (EMC Update) v0.21_NRA_model_for_NEMO2 (EMC Update) v0.22_NRA_model_for_NEMO2 (EMC Update) v0.26_NRA_model_for_NEMO2 (EMC Update) v0.29.2_NRA_model_for_NEMO2 (EMC Update) v0.29.4_NRA_model_for_NEMO2 (EMC Update) v0.29.5" xfId="1268" xr:uid="{00000000-0005-0000-0000-00009E040000}"/>
    <cellStyle name="%_NRA_model_for_NEMO2 (EMC Update) v0.21_NRA_model_for_NEMO2 (EMC Update) v0.22_NRA_model_for_NEMO2 (EMC Update) v0.26_NRA_model_for_NEMO2 (EMC Update) v0.29.2_NRA_model_for_NEMO2 (EMC Update) v0.29.5" xfId="1269" xr:uid="{00000000-0005-0000-0000-00009F040000}"/>
    <cellStyle name="%_NRA_model_for_NEMO2 (EMC Update) v0.21_NRA_model_for_NEMO2 (EMC Update) v0.22_NRA_model_for_NEMO2 (EMC Update) v0.26_NRA_model_for_NEMO2 (EMC Update) v0.29.2_NRA_model_for_NEMO2 (EMC Update) v0.29.5_NRA_model_for_NEMO2 (EMC Update) v0 30 1" xfId="1270" xr:uid="{00000000-0005-0000-0000-0000A0040000}"/>
    <cellStyle name="%_NRA_model_for_NEMO2 (EMC Update) v0.21_NRA_model_for_NEMO2 (EMC Update) v0.22_NRA_model_for_NEMO2 (EMC Update) v0.26_NRA_model_for_NEMO2 (EMC Update) v0.29.3" xfId="1271" xr:uid="{00000000-0005-0000-0000-0000A1040000}"/>
    <cellStyle name="%_NRA_model_for_NEMO2 (EMC Update) v0.21_NRA_model_for_NEMO2 (EMC Update) v0.22_NRA_model_for_NEMO2 (EMC Update) v0.26_NRA_model_for_NEMO2 (EMC Update) v0.29.3_NRA_model_for_NEMO2 (EMC Update) v0 30 1" xfId="1272" xr:uid="{00000000-0005-0000-0000-0000A2040000}"/>
    <cellStyle name="%_NRA_model_for_NEMO2 (EMC Update) v0.21_NRA_model_for_NEMO2 (EMC Update) v0.22_NRA_model_for_NEMO2 (EMC Update) v0.26_NRA_model_for_NEMO2 (EMC Update) v0.29.3_NRA_model_for_NEMO2 (EMC Update) v0.29.5" xfId="1273" xr:uid="{00000000-0005-0000-0000-0000A3040000}"/>
    <cellStyle name="%_NRA_model_for_NEMO2 (EMC Update) v0.21_NRA_model_for_NEMO2 (EMC Update) v0.22_NRA_model_for_NEMO2 (EMC Update) v0.26_NRA_model_for_NEMO2 (EMC Update) v0.29.3_NRA_model_for_NEMO2 (EMC Update) v0.29.5_NRA_model_for_NEMO2 (EMC Update) v0 30 1" xfId="1274" xr:uid="{00000000-0005-0000-0000-0000A4040000}"/>
    <cellStyle name="%_NRA_model_for_NEMO2 (EMC Update) v0.21_NRA_model_for_NEMO2 (EMC Update) v0.22_NRA_model_for_NEMO2 (EMC Update) v0.26_NRA_model_for_NEMO2 (EMC Update) v0.29.4" xfId="1275" xr:uid="{00000000-0005-0000-0000-0000A5040000}"/>
    <cellStyle name="%_NRA_model_for_NEMO2 (EMC Update) v0.21_NRA_model_for_NEMO2 (EMC Update) v0.22_NRA_model_for_NEMO2 (EMC Update) v0.26_NRA_model_for_NEMO2 (EMC Update) v0.29.4_NRA_model_for_NEMO2 (EMC Update) v0 30 1" xfId="1276" xr:uid="{00000000-0005-0000-0000-0000A6040000}"/>
    <cellStyle name="%_NRA_model_for_NEMO2 (EMC Update) v0.21_NRA_model_for_NEMO2 (EMC Update) v0.22_NRA_model_for_NEMO2 (EMC Update) v0.26_NRA_model_for_NEMO2 (EMC Update) v0.29.4_NRA_model_for_NEMO2 (EMC Update) v0.29.5" xfId="1277" xr:uid="{00000000-0005-0000-0000-0000A7040000}"/>
    <cellStyle name="%_NRA_model_for_NEMO2 (EMC Update) v0.21_NRA_model_for_NEMO2 (EMC Update) v0.22_NRA_model_for_NEMO2 (EMC Update) v0.26_NRA_model_for_NEMO2 (EMC Update) v0.29.4_NRA_model_for_NEMO2 (EMC Update) v0.29.5_NRA_model_for_NEMO2 (EMC Update) v0 30 1" xfId="1278" xr:uid="{00000000-0005-0000-0000-0000A8040000}"/>
    <cellStyle name="%_NRA_model_for_NEMO2 (EMC Update) v0.21_NRA_model_for_NEMO2 (EMC Update) v0.22_NRA_model_for_NEMO2 (EMC Update) v0.26_NRA_model_for_NEMO2 (EMC Update) v0.29.5" xfId="1279" xr:uid="{00000000-0005-0000-0000-0000A9040000}"/>
    <cellStyle name="%_NRA_model_for_NEMO2 (EMC Update) v0.21_NRA_model_for_NEMO2 (EMC Update) v0.22_NRA_model_for_NEMO2 (EMC Update) v0.26_NRA_model_for_NEMO2 (EMC Update) v0.29.5_NRA_model_for_NEMO2 (EMC Update) v0 30 1" xfId="1280" xr:uid="{00000000-0005-0000-0000-0000AA040000}"/>
    <cellStyle name="%_NRA_model_for_NEMO2 (EMC Update) v0.21_NRA_model_for_NEMO2 (EMC Update) v0.22_NRA_model_for_NEMO2 (EMC Update) v0.26_NRA_model_for_NEMO2 (EMC Update) v0.29_NRA_model_for_NEMO2 (EMC Update) v0 30 1" xfId="1281" xr:uid="{00000000-0005-0000-0000-0000AB040000}"/>
    <cellStyle name="%_NRA_model_for_NEMO2 (EMC Update) v0.21_NRA_model_for_NEMO2 (EMC Update) v0.22_NRA_model_for_NEMO2 (EMC Update) v0.26_NRA_model_for_NEMO2 (EMC Update) v0.29_NRA_model_for_NEMO2 (EMC Update) v0.29.2" xfId="1282" xr:uid="{00000000-0005-0000-0000-0000AC040000}"/>
    <cellStyle name="%_NRA_model_for_NEMO2 (EMC Update) v0.21_NRA_model_for_NEMO2 (EMC Update) v0.22_NRA_model_for_NEMO2 (EMC Update) v0.26_NRA_model_for_NEMO2 (EMC Update) v0.29_NRA_model_for_NEMO2 (EMC Update) v0.29.2_NRA_model_for_NEMO2 (EMC Update) v0 30 1" xfId="1283" xr:uid="{00000000-0005-0000-0000-0000AD040000}"/>
    <cellStyle name="%_NRA_model_for_NEMO2 (EMC Update) v0.21_NRA_model_for_NEMO2 (EMC Update) v0.22_NRA_model_for_NEMO2 (EMC Update) v0.26_NRA_model_for_NEMO2 (EMC Update) v0.29_NRA_model_for_NEMO2 (EMC Update) v0.29.2_NRA_model_for_NEMO2 (EMC Update) v0.29.3" xfId="1284" xr:uid="{00000000-0005-0000-0000-0000AE040000}"/>
    <cellStyle name="%_NRA_model_for_NEMO2 (EMC Update) v0.21_NRA_model_for_NEMO2 (EMC Update) v0.22_NRA_model_for_NEMO2 (EMC Update) v0.26_NRA_model_for_NEMO2 (EMC Update) v0.29_NRA_model_for_NEMO2 (EMC Update) v0.29.2_NRA_model_for_NEMO2 (EMC Update) v0.29.4" xfId="1285" xr:uid="{00000000-0005-0000-0000-0000AF040000}"/>
    <cellStyle name="%_NRA_model_for_NEMO2 (EMC Update) v0.21_NRA_model_for_NEMO2 (EMC Update) v0.22_NRA_model_for_NEMO2 (EMC Update) v0.26_NRA_model_for_NEMO2 (EMC Update) v0.29_NRA_model_for_NEMO2 (EMC Update) v0.29.2_NRA_model_for_NEMO2 (EMC Update) v0.29.5" xfId="1286" xr:uid="{00000000-0005-0000-0000-0000B0040000}"/>
    <cellStyle name="%_NRA_model_for_NEMO2 (EMC Update) v0.21_NRA_model_for_NEMO2 (EMC Update) v0.22_NRA_model_for_NEMO2 (EMC Update) v0.26_NRA_model_for_NEMO2 (EMC Update) v0.29_NRA_model_for_NEMO2 (EMC Update) v0.29.3" xfId="1287" xr:uid="{00000000-0005-0000-0000-0000B1040000}"/>
    <cellStyle name="%_NRA_model_for_NEMO2 (EMC Update) v0.21_NRA_model_for_NEMO2 (EMC Update) v0.22_NRA_model_for_NEMO2 (EMC Update) v0.26_NRA_model_for_NEMO2 (EMC Update) v0.29_NRA_model_for_NEMO2 (EMC Update) v0.29.3_NRA_model_for_NEMO2 (EMC Update) v0 30 1" xfId="1288" xr:uid="{00000000-0005-0000-0000-0000B2040000}"/>
    <cellStyle name="%_NRA_model_for_NEMO2 (EMC Update) v0.21_NRA_model_for_NEMO2 (EMC Update) v0.22_NRA_model_for_NEMO2 (EMC Update) v0.26_NRA_model_for_NEMO2 (EMC Update) v0.29_NRA_model_for_NEMO2 (EMC Update) v0.29.3_NRA_model_for_NEMO2 (EMC Update) v0.29.5" xfId="1289" xr:uid="{00000000-0005-0000-0000-0000B3040000}"/>
    <cellStyle name="%_NRA_model_for_NEMO2 (EMC Update) v0.21_NRA_model_for_NEMO2 (EMC Update) v0.22_NRA_model_for_NEMO2 (EMC Update) v0.26_NRA_model_for_NEMO2 (EMC Update) v0.29_NRA_model_for_NEMO2 (EMC Update) v0.29.4" xfId="1290" xr:uid="{00000000-0005-0000-0000-0000B4040000}"/>
    <cellStyle name="%_NRA_model_for_NEMO2 (EMC Update) v0.21_NRA_model_for_NEMO2 (EMC Update) v0.22_NRA_model_for_NEMO2 (EMC Update) v0.26_NRA_model_for_NEMO2 (EMC Update) v0.29_NRA_model_for_NEMO2 (EMC Update) v0.29.4_NRA_model_for_NEMO2 (EMC Update) v0 30 1" xfId="1291" xr:uid="{00000000-0005-0000-0000-0000B5040000}"/>
    <cellStyle name="%_NRA_model_for_NEMO2 (EMC Update) v0.21_NRA_model_for_NEMO2 (EMC Update) v0.22_NRA_model_for_NEMO2 (EMC Update) v0.26_NRA_model_for_NEMO2 (EMC Update) v0.29_NRA_model_for_NEMO2 (EMC Update) v0.29.4_NRA_model_for_NEMO2 (EMC Update) v0.29.5" xfId="1292" xr:uid="{00000000-0005-0000-0000-0000B6040000}"/>
    <cellStyle name="%_NRA_model_for_NEMO2 (EMC Update) v0.21_NRA_model_for_NEMO2 (EMC Update) v0.22_NRA_model_for_NEMO2 (EMC Update) v0.26_NRA_model_for_NEMO2 (EMC Update) v0.29_NRA_model_for_NEMO2 (EMC Update) v0.29.5" xfId="1293" xr:uid="{00000000-0005-0000-0000-0000B7040000}"/>
    <cellStyle name="%_NRA_model_for_NEMO2 (EMC Update) v0.21_NRA_model_for_NEMO2 (EMC Update) v0.22_NRA_model_for_NEMO2 (EMC Update) v0.26_NRA_model_for_NEMO2 (EMC Update) v0.29_NRA_model_for_NEMO2 (EMC Update) v0.29.5_NRA_model_for_NEMO2 (EMC Update) v0 30 1" xfId="1294" xr:uid="{00000000-0005-0000-0000-0000B8040000}"/>
    <cellStyle name="%_NRA_model_for_NEMO2 (EMC Update) v0.21_NRA_model_for_NEMO2 (EMC Update) v0.22_NRA_model_for_NEMO2 (EMC Update) v0.29" xfId="1295" xr:uid="{00000000-0005-0000-0000-0000B9040000}"/>
    <cellStyle name="%_NRA_model_for_NEMO2 (EMC Update) v0.21_NRA_model_for_NEMO2 (EMC Update) v0.22_NRA_model_for_NEMO2 (EMC Update) v0.29.2" xfId="1296" xr:uid="{00000000-0005-0000-0000-0000BA040000}"/>
    <cellStyle name="%_NRA_model_for_NEMO2 (EMC Update) v0.21_NRA_model_for_NEMO2 (EMC Update) v0.22_NRA_model_for_NEMO2 (EMC Update) v0.29.2_NRA_model_for_NEMO2 (EMC Update) v0 30 1" xfId="1297" xr:uid="{00000000-0005-0000-0000-0000BB040000}"/>
    <cellStyle name="%_NRA_model_for_NEMO2 (EMC Update) v0.21_NRA_model_for_NEMO2 (EMC Update) v0.22_NRA_model_for_NEMO2 (EMC Update) v0.29.2_NRA_model_for_NEMO2 (EMC Update) v0.29.3" xfId="1298" xr:uid="{00000000-0005-0000-0000-0000BC040000}"/>
    <cellStyle name="%_NRA_model_for_NEMO2 (EMC Update) v0.21_NRA_model_for_NEMO2 (EMC Update) v0.22_NRA_model_for_NEMO2 (EMC Update) v0.29.2_NRA_model_for_NEMO2 (EMC Update) v0.29.3_NRA_model_for_NEMO2 (EMC Update) v0 30 1" xfId="1299" xr:uid="{00000000-0005-0000-0000-0000BD040000}"/>
    <cellStyle name="%_NRA_model_for_NEMO2 (EMC Update) v0.21_NRA_model_for_NEMO2 (EMC Update) v0.22_NRA_model_for_NEMO2 (EMC Update) v0.29.2_NRA_model_for_NEMO2 (EMC Update) v0.29.3_NRA_model_for_NEMO2 (EMC Update) v0.29.5" xfId="1300" xr:uid="{00000000-0005-0000-0000-0000BE040000}"/>
    <cellStyle name="%_NRA_model_for_NEMO2 (EMC Update) v0.21_NRA_model_for_NEMO2 (EMC Update) v0.22_NRA_model_for_NEMO2 (EMC Update) v0.29.2_NRA_model_for_NEMO2 (EMC Update) v0.29.3_NRA_model_for_NEMO2 (EMC Update) v0.29.5_NRA_model_for_NEMO2 (EMC Update) v0 30 1" xfId="1301" xr:uid="{00000000-0005-0000-0000-0000BF040000}"/>
    <cellStyle name="%_NRA_model_for_NEMO2 (EMC Update) v0.21_NRA_model_for_NEMO2 (EMC Update) v0.22_NRA_model_for_NEMO2 (EMC Update) v0.29.2_NRA_model_for_NEMO2 (EMC Update) v0.29.4" xfId="1302" xr:uid="{00000000-0005-0000-0000-0000C0040000}"/>
    <cellStyle name="%_NRA_model_for_NEMO2 (EMC Update) v0.21_NRA_model_for_NEMO2 (EMC Update) v0.22_NRA_model_for_NEMO2 (EMC Update) v0.29.2_NRA_model_for_NEMO2 (EMC Update) v0.29.4_NRA_model_for_NEMO2 (EMC Update) v0 30 1" xfId="1303" xr:uid="{00000000-0005-0000-0000-0000C1040000}"/>
    <cellStyle name="%_NRA_model_for_NEMO2 (EMC Update) v0.21_NRA_model_for_NEMO2 (EMC Update) v0.22_NRA_model_for_NEMO2 (EMC Update) v0.29.2_NRA_model_for_NEMO2 (EMC Update) v0.29.4_NRA_model_for_NEMO2 (EMC Update) v0.29.5" xfId="1304" xr:uid="{00000000-0005-0000-0000-0000C2040000}"/>
    <cellStyle name="%_NRA_model_for_NEMO2 (EMC Update) v0.21_NRA_model_for_NEMO2 (EMC Update) v0.22_NRA_model_for_NEMO2 (EMC Update) v0.29.2_NRA_model_for_NEMO2 (EMC Update) v0.29.4_NRA_model_for_NEMO2 (EMC Update) v0.29.5_NRA_model_for_NEMO2 (EMC Update) v0 30 1" xfId="1305" xr:uid="{00000000-0005-0000-0000-0000C3040000}"/>
    <cellStyle name="%_NRA_model_for_NEMO2 (EMC Update) v0.21_NRA_model_for_NEMO2 (EMC Update) v0.22_NRA_model_for_NEMO2 (EMC Update) v0.29.2_NRA_model_for_NEMO2 (EMC Update) v0.29.5" xfId="1306" xr:uid="{00000000-0005-0000-0000-0000C4040000}"/>
    <cellStyle name="%_NRA_model_for_NEMO2 (EMC Update) v0.21_NRA_model_for_NEMO2 (EMC Update) v0.22_NRA_model_for_NEMO2 (EMC Update) v0.29.2_NRA_model_for_NEMO2 (EMC Update) v0.29.5_NRA_model_for_NEMO2 (EMC Update) v0 30 1" xfId="1307" xr:uid="{00000000-0005-0000-0000-0000C5040000}"/>
    <cellStyle name="%_NRA_model_for_NEMO2 (EMC Update) v0.21_NRA_model_for_NEMO2 (EMC Update) v0.22_NRA_model_for_NEMO2 (EMC Update) v0.29.3" xfId="1308" xr:uid="{00000000-0005-0000-0000-0000C6040000}"/>
    <cellStyle name="%_NRA_model_for_NEMO2 (EMC Update) v0.21_NRA_model_for_NEMO2 (EMC Update) v0.22_NRA_model_for_NEMO2 (EMC Update) v0.29.3_NRA_model_for_NEMO2 (EMC Update) v0 30 1" xfId="1309" xr:uid="{00000000-0005-0000-0000-0000C7040000}"/>
    <cellStyle name="%_NRA_model_for_NEMO2 (EMC Update) v0.21_NRA_model_for_NEMO2 (EMC Update) v0.22_NRA_model_for_NEMO2 (EMC Update) v0.29.3_NRA_model_for_NEMO2 (EMC Update) v0.29.5" xfId="1310" xr:uid="{00000000-0005-0000-0000-0000C8040000}"/>
    <cellStyle name="%_NRA_model_for_NEMO2 (EMC Update) v0.21_NRA_model_for_NEMO2 (EMC Update) v0.22_NRA_model_for_NEMO2 (EMC Update) v0.29.3_NRA_model_for_NEMO2 (EMC Update) v0.29.5_NRA_model_for_NEMO2 (EMC Update) v0 30 1" xfId="1311" xr:uid="{00000000-0005-0000-0000-0000C9040000}"/>
    <cellStyle name="%_NRA_model_for_NEMO2 (EMC Update) v0.21_NRA_model_for_NEMO2 (EMC Update) v0.22_NRA_model_for_NEMO2 (EMC Update) v0.29.4" xfId="1312" xr:uid="{00000000-0005-0000-0000-0000CA040000}"/>
    <cellStyle name="%_NRA_model_for_NEMO2 (EMC Update) v0.21_NRA_model_for_NEMO2 (EMC Update) v0.22_NRA_model_for_NEMO2 (EMC Update) v0.29.4_NRA_model_for_NEMO2 (EMC Update) v0 30 1" xfId="1313" xr:uid="{00000000-0005-0000-0000-0000CB040000}"/>
    <cellStyle name="%_NRA_model_for_NEMO2 (EMC Update) v0.21_NRA_model_for_NEMO2 (EMC Update) v0.22_NRA_model_for_NEMO2 (EMC Update) v0.29.4_NRA_model_for_NEMO2 (EMC Update) v0.29.5" xfId="1314" xr:uid="{00000000-0005-0000-0000-0000CC040000}"/>
    <cellStyle name="%_NRA_model_for_NEMO2 (EMC Update) v0.21_NRA_model_for_NEMO2 (EMC Update) v0.22_NRA_model_for_NEMO2 (EMC Update) v0.29.4_NRA_model_for_NEMO2 (EMC Update) v0.29.5_NRA_model_for_NEMO2 (EMC Update) v0 30 1" xfId="1315" xr:uid="{00000000-0005-0000-0000-0000CD040000}"/>
    <cellStyle name="%_NRA_model_for_NEMO2 (EMC Update) v0.21_NRA_model_for_NEMO2 (EMC Update) v0.22_NRA_model_for_NEMO2 (EMC Update) v0.29.5" xfId="1316" xr:uid="{00000000-0005-0000-0000-0000CE040000}"/>
    <cellStyle name="%_NRA_model_for_NEMO2 (EMC Update) v0.21_NRA_model_for_NEMO2 (EMC Update) v0.22_NRA_model_for_NEMO2 (EMC Update) v0.29.5_NRA_model_for_NEMO2 (EMC Update) v0 30 1" xfId="1317" xr:uid="{00000000-0005-0000-0000-0000CF040000}"/>
    <cellStyle name="%_NRA_model_for_NEMO2 (EMC Update) v0.21_NRA_model_for_NEMO2 (EMC Update) v0.22_NRA_model_for_NEMO2 (EMC Update) v0.29_NRA_model_for_NEMO2 (EMC Update) v0 30 1" xfId="1318" xr:uid="{00000000-0005-0000-0000-0000D0040000}"/>
    <cellStyle name="%_NRA_model_for_NEMO2 (EMC Update) v0.21_NRA_model_for_NEMO2 (EMC Update) v0.22_NRA_model_for_NEMO2 (EMC Update) v0.29_NRA_model_for_NEMO2 (EMC Update) v0.29.2" xfId="1319" xr:uid="{00000000-0005-0000-0000-0000D1040000}"/>
    <cellStyle name="%_NRA_model_for_NEMO2 (EMC Update) v0.21_NRA_model_for_NEMO2 (EMC Update) v0.22_NRA_model_for_NEMO2 (EMC Update) v0.29_NRA_model_for_NEMO2 (EMC Update) v0.29.2_NRA_model_for_NEMO2 (EMC Update) v0 30 1" xfId="1320" xr:uid="{00000000-0005-0000-0000-0000D2040000}"/>
    <cellStyle name="%_NRA_model_for_NEMO2 (EMC Update) v0.21_NRA_model_for_NEMO2 (EMC Update) v0.22_NRA_model_for_NEMO2 (EMC Update) v0.29_NRA_model_for_NEMO2 (EMC Update) v0.29.2_NRA_model_for_NEMO2 (EMC Update) v0.29.3" xfId="1321" xr:uid="{00000000-0005-0000-0000-0000D3040000}"/>
    <cellStyle name="%_NRA_model_for_NEMO2 (EMC Update) v0.21_NRA_model_for_NEMO2 (EMC Update) v0.22_NRA_model_for_NEMO2 (EMC Update) v0.29_NRA_model_for_NEMO2 (EMC Update) v0.29.2_NRA_model_for_NEMO2 (EMC Update) v0.29.3_NRA_model_for_NEMO2 (EMC Update) v0 30 1" xfId="1322" xr:uid="{00000000-0005-0000-0000-0000D4040000}"/>
    <cellStyle name="%_NRA_model_for_NEMO2 (EMC Update) v0.21_NRA_model_for_NEMO2 (EMC Update) v0.22_NRA_model_for_NEMO2 (EMC Update) v0.29_NRA_model_for_NEMO2 (EMC Update) v0.29.2_NRA_model_for_NEMO2 (EMC Update) v0.29.3_NRA_model_for_NEMO2 (EMC Update) v0.29.5" xfId="1323" xr:uid="{00000000-0005-0000-0000-0000D5040000}"/>
    <cellStyle name="%_NRA_model_for_NEMO2 (EMC Update) v0.21_NRA_model_for_NEMO2 (EMC Update) v0.22_NRA_model_for_NEMO2 (EMC Update) v0.29_NRA_model_for_NEMO2 (EMC Update) v0.29.2_NRA_model_for_NEMO2 (EMC Update) v0.29.4" xfId="1324" xr:uid="{00000000-0005-0000-0000-0000D6040000}"/>
    <cellStyle name="%_NRA_model_for_NEMO2 (EMC Update) v0.21_NRA_model_for_NEMO2 (EMC Update) v0.22_NRA_model_for_NEMO2 (EMC Update) v0.29_NRA_model_for_NEMO2 (EMC Update) v0.29.2_NRA_model_for_NEMO2 (EMC Update) v0.29.4_NRA_model_for_NEMO2 (EMC Update) v0 30 1" xfId="1325" xr:uid="{00000000-0005-0000-0000-0000D7040000}"/>
    <cellStyle name="%_NRA_model_for_NEMO2 (EMC Update) v0.21_NRA_model_for_NEMO2 (EMC Update) v0.22_NRA_model_for_NEMO2 (EMC Update) v0.29_NRA_model_for_NEMO2 (EMC Update) v0.29.2_NRA_model_for_NEMO2 (EMC Update) v0.29.4_NRA_model_for_NEMO2 (EMC Update) v0.29.5" xfId="1326" xr:uid="{00000000-0005-0000-0000-0000D8040000}"/>
    <cellStyle name="%_NRA_model_for_NEMO2 (EMC Update) v0.21_NRA_model_for_NEMO2 (EMC Update) v0.22_NRA_model_for_NEMO2 (EMC Update) v0.29_NRA_model_for_NEMO2 (EMC Update) v0.29.2_NRA_model_for_NEMO2 (EMC Update) v0.29.5" xfId="1327" xr:uid="{00000000-0005-0000-0000-0000D9040000}"/>
    <cellStyle name="%_NRA_model_for_NEMO2 (EMC Update) v0.21_NRA_model_for_NEMO2 (EMC Update) v0.22_NRA_model_for_NEMO2 (EMC Update) v0.29_NRA_model_for_NEMO2 (EMC Update) v0.29.2_NRA_model_for_NEMO2 (EMC Update) v0.29.5_NRA_model_for_NEMO2 (EMC Update) v0 30 1" xfId="1328" xr:uid="{00000000-0005-0000-0000-0000DA040000}"/>
    <cellStyle name="%_NRA_model_for_NEMO2 (EMC Update) v0.21_NRA_model_for_NEMO2 (EMC Update) v0.22_NRA_model_for_NEMO2 (EMC Update) v0.29_NRA_model_for_NEMO2 (EMC Update) v0.29.3" xfId="1329" xr:uid="{00000000-0005-0000-0000-0000DB040000}"/>
    <cellStyle name="%_NRA_model_for_NEMO2 (EMC Update) v0.21_NRA_model_for_NEMO2 (EMC Update) v0.22_NRA_model_for_NEMO2 (EMC Update) v0.29_NRA_model_for_NEMO2 (EMC Update) v0.29.3_NRA_model_for_NEMO2 (EMC Update) v0 30 1" xfId="1330" xr:uid="{00000000-0005-0000-0000-0000DC040000}"/>
    <cellStyle name="%_NRA_model_for_NEMO2 (EMC Update) v0.21_NRA_model_for_NEMO2 (EMC Update) v0.22_NRA_model_for_NEMO2 (EMC Update) v0.29_NRA_model_for_NEMO2 (EMC Update) v0.29.3_NRA_model_for_NEMO2 (EMC Update) v0.29.5" xfId="1331" xr:uid="{00000000-0005-0000-0000-0000DD040000}"/>
    <cellStyle name="%_NRA_model_for_NEMO2 (EMC Update) v0.21_NRA_model_for_NEMO2 (EMC Update) v0.22_NRA_model_for_NEMO2 (EMC Update) v0.29_NRA_model_for_NEMO2 (EMC Update) v0.29.3_NRA_model_for_NEMO2 (EMC Update) v0.29.5_NRA_model_for_NEMO2 (EMC Update) v0 30 1" xfId="1332" xr:uid="{00000000-0005-0000-0000-0000DE040000}"/>
    <cellStyle name="%_NRA_model_for_NEMO2 (EMC Update) v0.21_NRA_model_for_NEMO2 (EMC Update) v0.22_NRA_model_for_NEMO2 (EMC Update) v0.29_NRA_model_for_NEMO2 (EMC Update) v0.29.4" xfId="1333" xr:uid="{00000000-0005-0000-0000-0000DF040000}"/>
    <cellStyle name="%_NRA_model_for_NEMO2 (EMC Update) v0.21_NRA_model_for_NEMO2 (EMC Update) v0.22_NRA_model_for_NEMO2 (EMC Update) v0.29_NRA_model_for_NEMO2 (EMC Update) v0.29.4_NRA_model_for_NEMO2 (EMC Update) v0 30 1" xfId="1334" xr:uid="{00000000-0005-0000-0000-0000E0040000}"/>
    <cellStyle name="%_NRA_model_for_NEMO2 (EMC Update) v0.21_NRA_model_for_NEMO2 (EMC Update) v0.22_NRA_model_for_NEMO2 (EMC Update) v0.29_NRA_model_for_NEMO2 (EMC Update) v0.29.4_NRA_model_for_NEMO2 (EMC Update) v0.29.5" xfId="1335" xr:uid="{00000000-0005-0000-0000-0000E1040000}"/>
    <cellStyle name="%_NRA_model_for_NEMO2 (EMC Update) v0.21_NRA_model_for_NEMO2 (EMC Update) v0.22_NRA_model_for_NEMO2 (EMC Update) v0.29_NRA_model_for_NEMO2 (EMC Update) v0.29.4_NRA_model_for_NEMO2 (EMC Update) v0.29.5_NRA_model_for_NEMO2 (EMC Update) v0 30 1" xfId="1336" xr:uid="{00000000-0005-0000-0000-0000E2040000}"/>
    <cellStyle name="%_NRA_model_for_NEMO2 (EMC Update) v0.21_NRA_model_for_NEMO2 (EMC Update) v0.22_NRA_model_for_NEMO2 (EMC Update) v0.29_NRA_model_for_NEMO2 (EMC Update) v0.29.5" xfId="1337" xr:uid="{00000000-0005-0000-0000-0000E3040000}"/>
    <cellStyle name="%_NRA_model_for_NEMO2 (EMC Update) v0.21_NRA_model_for_NEMO2 (EMC Update) v0.22_NRA_model_for_NEMO2 (EMC Update) v0.29_NRA_model_for_NEMO2 (EMC Update) v0.29.5_NRA_model_for_NEMO2 (EMC Update) v0 30 1" xfId="1338" xr:uid="{00000000-0005-0000-0000-0000E4040000}"/>
    <cellStyle name="%_NRA_model_for_NEMO2 (EMC Update) v0.21_NRA_model_for_NEMO2 (EMC Update) v0.25" xfId="1339" xr:uid="{00000000-0005-0000-0000-0000E5040000}"/>
    <cellStyle name="%_NRA_model_for_NEMO2 (EMC Update) v0.21_NRA_model_for_NEMO2 (EMC Update) v0.25_NRA_model_for_NEMO2 (EMC Update) v0 30 1" xfId="1340" xr:uid="{00000000-0005-0000-0000-0000E6040000}"/>
    <cellStyle name="%_NRA_model_for_NEMO2 (EMC Update) v0.21_NRA_model_for_NEMO2 (EMC Update) v0.25_NRA_model_for_NEMO2 (EMC Update) v0.26" xfId="1341" xr:uid="{00000000-0005-0000-0000-0000E7040000}"/>
    <cellStyle name="%_NRA_model_for_NEMO2 (EMC Update) v0.21_NRA_model_for_NEMO2 (EMC Update) v0.25_NRA_model_for_NEMO2 (EMC Update) v0.26_NRA_model_for_NEMO2 (EMC Update) v0 30 1" xfId="1342" xr:uid="{00000000-0005-0000-0000-0000E8040000}"/>
    <cellStyle name="%_NRA_model_for_NEMO2 (EMC Update) v0.21_NRA_model_for_NEMO2 (EMC Update) v0.25_NRA_model_for_NEMO2 (EMC Update) v0.26_NRA_model_for_NEMO2 (EMC Update) v0.29" xfId="1343" xr:uid="{00000000-0005-0000-0000-0000E9040000}"/>
    <cellStyle name="%_NRA_model_for_NEMO2 (EMC Update) v0.21_NRA_model_for_NEMO2 (EMC Update) v0.25_NRA_model_for_NEMO2 (EMC Update) v0.26_NRA_model_for_NEMO2 (EMC Update) v0.29.2" xfId="1344" xr:uid="{00000000-0005-0000-0000-0000EA040000}"/>
    <cellStyle name="%_NRA_model_for_NEMO2 (EMC Update) v0.21_NRA_model_for_NEMO2 (EMC Update) v0.25_NRA_model_for_NEMO2 (EMC Update) v0.26_NRA_model_for_NEMO2 (EMC Update) v0.29.2_NRA_model_for_NEMO2 (EMC Update) v0 30 1" xfId="1345" xr:uid="{00000000-0005-0000-0000-0000EB040000}"/>
    <cellStyle name="%_NRA_model_for_NEMO2 (EMC Update) v0.21_NRA_model_for_NEMO2 (EMC Update) v0.25_NRA_model_for_NEMO2 (EMC Update) v0.26_NRA_model_for_NEMO2 (EMC Update) v0.29.2_NRA_model_for_NEMO2 (EMC Update) v0.29.3" xfId="1346" xr:uid="{00000000-0005-0000-0000-0000EC040000}"/>
    <cellStyle name="%_NRA_model_for_NEMO2 (EMC Update) v0.21_NRA_model_for_NEMO2 (EMC Update) v0.25_NRA_model_for_NEMO2 (EMC Update) v0.26_NRA_model_for_NEMO2 (EMC Update) v0.29.2_NRA_model_for_NEMO2 (EMC Update) v0.29.3_NRA_model_for_NEMO2 (EMC Update) v0 30 1" xfId="1347" xr:uid="{00000000-0005-0000-0000-0000ED040000}"/>
    <cellStyle name="%_NRA_model_for_NEMO2 (EMC Update) v0.21_NRA_model_for_NEMO2 (EMC Update) v0.25_NRA_model_for_NEMO2 (EMC Update) v0.26_NRA_model_for_NEMO2 (EMC Update) v0.29.2_NRA_model_for_NEMO2 (EMC Update) v0.29.3_NRA_model_for_NEMO2 (EMC Update) v0.29.5" xfId="1348" xr:uid="{00000000-0005-0000-0000-0000EE040000}"/>
    <cellStyle name="%_NRA_model_for_NEMO2 (EMC Update) v0.21_NRA_model_for_NEMO2 (EMC Update) v0.25_NRA_model_for_NEMO2 (EMC Update) v0.26_NRA_model_for_NEMO2 (EMC Update) v0.29.2_NRA_model_for_NEMO2 (EMC Update) v0.29.4" xfId="1349" xr:uid="{00000000-0005-0000-0000-0000EF040000}"/>
    <cellStyle name="%_NRA_model_for_NEMO2 (EMC Update) v0.21_NRA_model_for_NEMO2 (EMC Update) v0.25_NRA_model_for_NEMO2 (EMC Update) v0.26_NRA_model_for_NEMO2 (EMC Update) v0.29.2_NRA_model_for_NEMO2 (EMC Update) v0.29.4_NRA_model_for_NEMO2 (EMC Update) v0 30 1" xfId="1350" xr:uid="{00000000-0005-0000-0000-0000F0040000}"/>
    <cellStyle name="%_NRA_model_for_NEMO2 (EMC Update) v0.21_NRA_model_for_NEMO2 (EMC Update) v0.25_NRA_model_for_NEMO2 (EMC Update) v0.26_NRA_model_for_NEMO2 (EMC Update) v0.29.2_NRA_model_for_NEMO2 (EMC Update) v0.29.4_NRA_model_for_NEMO2 (EMC Update) v0.29.5" xfId="1351" xr:uid="{00000000-0005-0000-0000-0000F1040000}"/>
    <cellStyle name="%_NRA_model_for_NEMO2 (EMC Update) v0.21_NRA_model_for_NEMO2 (EMC Update) v0.25_NRA_model_for_NEMO2 (EMC Update) v0.26_NRA_model_for_NEMO2 (EMC Update) v0.29.2_NRA_model_for_NEMO2 (EMC Update) v0.29.5" xfId="1352" xr:uid="{00000000-0005-0000-0000-0000F2040000}"/>
    <cellStyle name="%_NRA_model_for_NEMO2 (EMC Update) v0.21_NRA_model_for_NEMO2 (EMC Update) v0.25_NRA_model_for_NEMO2 (EMC Update) v0.26_NRA_model_for_NEMO2 (EMC Update) v0.29.2_NRA_model_for_NEMO2 (EMC Update) v0.29.5_NRA_model_for_NEMO2 (EMC Update) v0 30 1" xfId="1353" xr:uid="{00000000-0005-0000-0000-0000F3040000}"/>
    <cellStyle name="%_NRA_model_for_NEMO2 (EMC Update) v0.21_NRA_model_for_NEMO2 (EMC Update) v0.25_NRA_model_for_NEMO2 (EMC Update) v0.26_NRA_model_for_NEMO2 (EMC Update) v0.29.3" xfId="1354" xr:uid="{00000000-0005-0000-0000-0000F4040000}"/>
    <cellStyle name="%_NRA_model_for_NEMO2 (EMC Update) v0.21_NRA_model_for_NEMO2 (EMC Update) v0.25_NRA_model_for_NEMO2 (EMC Update) v0.26_NRA_model_for_NEMO2 (EMC Update) v0.29.3_NRA_model_for_NEMO2 (EMC Update) v0 30 1" xfId="1355" xr:uid="{00000000-0005-0000-0000-0000F5040000}"/>
    <cellStyle name="%_NRA_model_for_NEMO2 (EMC Update) v0.21_NRA_model_for_NEMO2 (EMC Update) v0.25_NRA_model_for_NEMO2 (EMC Update) v0.26_NRA_model_for_NEMO2 (EMC Update) v0.29.3_NRA_model_for_NEMO2 (EMC Update) v0.29.5" xfId="1356" xr:uid="{00000000-0005-0000-0000-0000F6040000}"/>
    <cellStyle name="%_NRA_model_for_NEMO2 (EMC Update) v0.21_NRA_model_for_NEMO2 (EMC Update) v0.25_NRA_model_for_NEMO2 (EMC Update) v0.26_NRA_model_for_NEMO2 (EMC Update) v0.29.3_NRA_model_for_NEMO2 (EMC Update) v0.29.5_NRA_model_for_NEMO2 (EMC Update) v0 30 1" xfId="1357" xr:uid="{00000000-0005-0000-0000-0000F7040000}"/>
    <cellStyle name="%_NRA_model_for_NEMO2 (EMC Update) v0.21_NRA_model_for_NEMO2 (EMC Update) v0.25_NRA_model_for_NEMO2 (EMC Update) v0.26_NRA_model_for_NEMO2 (EMC Update) v0.29.4" xfId="1358" xr:uid="{00000000-0005-0000-0000-0000F8040000}"/>
    <cellStyle name="%_NRA_model_for_NEMO2 (EMC Update) v0.21_NRA_model_for_NEMO2 (EMC Update) v0.25_NRA_model_for_NEMO2 (EMC Update) v0.26_NRA_model_for_NEMO2 (EMC Update) v0.29.4_NRA_model_for_NEMO2 (EMC Update) v0 30 1" xfId="1359" xr:uid="{00000000-0005-0000-0000-0000F9040000}"/>
    <cellStyle name="%_NRA_model_for_NEMO2 (EMC Update) v0.21_NRA_model_for_NEMO2 (EMC Update) v0.25_NRA_model_for_NEMO2 (EMC Update) v0.26_NRA_model_for_NEMO2 (EMC Update) v0.29.4_NRA_model_for_NEMO2 (EMC Update) v0.29.5" xfId="1360" xr:uid="{00000000-0005-0000-0000-0000FA040000}"/>
    <cellStyle name="%_NRA_model_for_NEMO2 (EMC Update) v0.21_NRA_model_for_NEMO2 (EMC Update) v0.25_NRA_model_for_NEMO2 (EMC Update) v0.26_NRA_model_for_NEMO2 (EMC Update) v0.29.4_NRA_model_for_NEMO2 (EMC Update) v0.29.5_NRA_model_for_NEMO2 (EMC Update) v0 30 1" xfId="1361" xr:uid="{00000000-0005-0000-0000-0000FB040000}"/>
    <cellStyle name="%_NRA_model_for_NEMO2 (EMC Update) v0.21_NRA_model_for_NEMO2 (EMC Update) v0.25_NRA_model_for_NEMO2 (EMC Update) v0.26_NRA_model_for_NEMO2 (EMC Update) v0.29.5" xfId="1362" xr:uid="{00000000-0005-0000-0000-0000FC040000}"/>
    <cellStyle name="%_NRA_model_for_NEMO2 (EMC Update) v0.21_NRA_model_for_NEMO2 (EMC Update) v0.25_NRA_model_for_NEMO2 (EMC Update) v0.26_NRA_model_for_NEMO2 (EMC Update) v0.29.5_NRA_model_for_NEMO2 (EMC Update) v0 30 1" xfId="1363" xr:uid="{00000000-0005-0000-0000-0000FD040000}"/>
    <cellStyle name="%_NRA_model_for_NEMO2 (EMC Update) v0.21_NRA_model_for_NEMO2 (EMC Update) v0.25_NRA_model_for_NEMO2 (EMC Update) v0.26_NRA_model_for_NEMO2 (EMC Update) v0.29_NRA_model_for_NEMO2 (EMC Update) v0 30 1" xfId="1364" xr:uid="{00000000-0005-0000-0000-0000FE040000}"/>
    <cellStyle name="%_NRA_model_for_NEMO2 (EMC Update) v0.21_NRA_model_for_NEMO2 (EMC Update) v0.25_NRA_model_for_NEMO2 (EMC Update) v0.26_NRA_model_for_NEMO2 (EMC Update) v0.29_NRA_model_for_NEMO2 (EMC Update) v0.29.2" xfId="1365" xr:uid="{00000000-0005-0000-0000-0000FF040000}"/>
    <cellStyle name="%_NRA_model_for_NEMO2 (EMC Update) v0.21_NRA_model_for_NEMO2 (EMC Update) v0.25_NRA_model_for_NEMO2 (EMC Update) v0.26_NRA_model_for_NEMO2 (EMC Update) v0.29_NRA_model_for_NEMO2 (EMC Update) v0.29.2_NRA_model_for_NEMO2 (EMC Update) v0 30 1" xfId="1366" xr:uid="{00000000-0005-0000-0000-000000050000}"/>
    <cellStyle name="%_NRA_model_for_NEMO2 (EMC Update) v0.21_NRA_model_for_NEMO2 (EMC Update) v0.25_NRA_model_for_NEMO2 (EMC Update) v0.26_NRA_model_for_NEMO2 (EMC Update) v0.29_NRA_model_for_NEMO2 (EMC Update) v0.29.2_NRA_model_for_NEMO2 (EMC Update) v0.29.3" xfId="1367" xr:uid="{00000000-0005-0000-0000-000001050000}"/>
    <cellStyle name="%_NRA_model_for_NEMO2 (EMC Update) v0.21_NRA_model_for_NEMO2 (EMC Update) v0.25_NRA_model_for_NEMO2 (EMC Update) v0.26_NRA_model_for_NEMO2 (EMC Update) v0.29_NRA_model_for_NEMO2 (EMC Update) v0.29.2_NRA_model_for_NEMO2 (EMC Update) v0.29.4" xfId="1368" xr:uid="{00000000-0005-0000-0000-000002050000}"/>
    <cellStyle name="%_NRA_model_for_NEMO2 (EMC Update) v0.21_NRA_model_for_NEMO2 (EMC Update) v0.25_NRA_model_for_NEMO2 (EMC Update) v0.26_NRA_model_for_NEMO2 (EMC Update) v0.29_NRA_model_for_NEMO2 (EMC Update) v0.29.2_NRA_model_for_NEMO2 (EMC Update) v0.29.5" xfId="1369" xr:uid="{00000000-0005-0000-0000-000003050000}"/>
    <cellStyle name="%_NRA_model_for_NEMO2 (EMC Update) v0.21_NRA_model_for_NEMO2 (EMC Update) v0.25_NRA_model_for_NEMO2 (EMC Update) v0.26_NRA_model_for_NEMO2 (EMC Update) v0.29_NRA_model_for_NEMO2 (EMC Update) v0.29.3" xfId="1370" xr:uid="{00000000-0005-0000-0000-000004050000}"/>
    <cellStyle name="%_NRA_model_for_NEMO2 (EMC Update) v0.21_NRA_model_for_NEMO2 (EMC Update) v0.25_NRA_model_for_NEMO2 (EMC Update) v0.26_NRA_model_for_NEMO2 (EMC Update) v0.29_NRA_model_for_NEMO2 (EMC Update) v0.29.3_NRA_model_for_NEMO2 (EMC Update) v0 30 1" xfId="1371" xr:uid="{00000000-0005-0000-0000-000005050000}"/>
    <cellStyle name="%_NRA_model_for_NEMO2 (EMC Update) v0.21_NRA_model_for_NEMO2 (EMC Update) v0.25_NRA_model_for_NEMO2 (EMC Update) v0.26_NRA_model_for_NEMO2 (EMC Update) v0.29_NRA_model_for_NEMO2 (EMC Update) v0.29.3_NRA_model_for_NEMO2 (EMC Update) v0.29.5" xfId="1372" xr:uid="{00000000-0005-0000-0000-000006050000}"/>
    <cellStyle name="%_NRA_model_for_NEMO2 (EMC Update) v0.21_NRA_model_for_NEMO2 (EMC Update) v0.25_NRA_model_for_NEMO2 (EMC Update) v0.26_NRA_model_for_NEMO2 (EMC Update) v0.29_NRA_model_for_NEMO2 (EMC Update) v0.29.4" xfId="1373" xr:uid="{00000000-0005-0000-0000-000007050000}"/>
    <cellStyle name="%_NRA_model_for_NEMO2 (EMC Update) v0.21_NRA_model_for_NEMO2 (EMC Update) v0.25_NRA_model_for_NEMO2 (EMC Update) v0.26_NRA_model_for_NEMO2 (EMC Update) v0.29_NRA_model_for_NEMO2 (EMC Update) v0.29.4_NRA_model_for_NEMO2 (EMC Update) v0 30 1" xfId="1374" xr:uid="{00000000-0005-0000-0000-000008050000}"/>
    <cellStyle name="%_NRA_model_for_NEMO2 (EMC Update) v0.21_NRA_model_for_NEMO2 (EMC Update) v0.25_NRA_model_for_NEMO2 (EMC Update) v0.26_NRA_model_for_NEMO2 (EMC Update) v0.29_NRA_model_for_NEMO2 (EMC Update) v0.29.4_NRA_model_for_NEMO2 (EMC Update) v0.29.5" xfId="1375" xr:uid="{00000000-0005-0000-0000-000009050000}"/>
    <cellStyle name="%_NRA_model_for_NEMO2 (EMC Update) v0.21_NRA_model_for_NEMO2 (EMC Update) v0.25_NRA_model_for_NEMO2 (EMC Update) v0.26_NRA_model_for_NEMO2 (EMC Update) v0.29_NRA_model_for_NEMO2 (EMC Update) v0.29.5" xfId="1376" xr:uid="{00000000-0005-0000-0000-00000A050000}"/>
    <cellStyle name="%_NRA_model_for_NEMO2 (EMC Update) v0.21_NRA_model_for_NEMO2 (EMC Update) v0.25_NRA_model_for_NEMO2 (EMC Update) v0.26_NRA_model_for_NEMO2 (EMC Update) v0.29_NRA_model_for_NEMO2 (EMC Update) v0.29.5_NRA_model_for_NEMO2 (EMC Update) v0 30 1" xfId="1377" xr:uid="{00000000-0005-0000-0000-00000B050000}"/>
    <cellStyle name="%_NRA_model_for_NEMO2 (EMC Update) v0.21_NRA_model_for_NEMO2 (EMC Update) v0.25_NRA_model_for_NEMO2 (EMC Update) v0.29" xfId="1378" xr:uid="{00000000-0005-0000-0000-00000C050000}"/>
    <cellStyle name="%_NRA_model_for_NEMO2 (EMC Update) v0.21_NRA_model_for_NEMO2 (EMC Update) v0.25_NRA_model_for_NEMO2 (EMC Update) v0.29.2" xfId="1379" xr:uid="{00000000-0005-0000-0000-00000D050000}"/>
    <cellStyle name="%_NRA_model_for_NEMO2 (EMC Update) v0.21_NRA_model_for_NEMO2 (EMC Update) v0.25_NRA_model_for_NEMO2 (EMC Update) v0.29.2_NRA_model_for_NEMO2 (EMC Update) v0 30 1" xfId="1380" xr:uid="{00000000-0005-0000-0000-00000E050000}"/>
    <cellStyle name="%_NRA_model_for_NEMO2 (EMC Update) v0.21_NRA_model_for_NEMO2 (EMC Update) v0.25_NRA_model_for_NEMO2 (EMC Update) v0.29.2_NRA_model_for_NEMO2 (EMC Update) v0.29.3" xfId="1381" xr:uid="{00000000-0005-0000-0000-00000F050000}"/>
    <cellStyle name="%_NRA_model_for_NEMO2 (EMC Update) v0.21_NRA_model_for_NEMO2 (EMC Update) v0.25_NRA_model_for_NEMO2 (EMC Update) v0.29.2_NRA_model_for_NEMO2 (EMC Update) v0.29.3_NRA_model_for_NEMO2 (EMC Update) v0 30 1" xfId="1382" xr:uid="{00000000-0005-0000-0000-000010050000}"/>
    <cellStyle name="%_NRA_model_for_NEMO2 (EMC Update) v0.21_NRA_model_for_NEMO2 (EMC Update) v0.25_NRA_model_for_NEMO2 (EMC Update) v0.29.2_NRA_model_for_NEMO2 (EMC Update) v0.29.3_NRA_model_for_NEMO2 (EMC Update) v0.29.5" xfId="1383" xr:uid="{00000000-0005-0000-0000-000011050000}"/>
    <cellStyle name="%_NRA_model_for_NEMO2 (EMC Update) v0.21_NRA_model_for_NEMO2 (EMC Update) v0.25_NRA_model_for_NEMO2 (EMC Update) v0.29.2_NRA_model_for_NEMO2 (EMC Update) v0.29.3_NRA_model_for_NEMO2 (EMC Update) v0.29.5_NRA_model_for_NEMO2 (EMC Update) v0 30 1" xfId="1384" xr:uid="{00000000-0005-0000-0000-000012050000}"/>
    <cellStyle name="%_NRA_model_for_NEMO2 (EMC Update) v0.21_NRA_model_for_NEMO2 (EMC Update) v0.25_NRA_model_for_NEMO2 (EMC Update) v0.29.2_NRA_model_for_NEMO2 (EMC Update) v0.29.4" xfId="1385" xr:uid="{00000000-0005-0000-0000-000013050000}"/>
    <cellStyle name="%_NRA_model_for_NEMO2 (EMC Update) v0.21_NRA_model_for_NEMO2 (EMC Update) v0.25_NRA_model_for_NEMO2 (EMC Update) v0.29.2_NRA_model_for_NEMO2 (EMC Update) v0.29.4_NRA_model_for_NEMO2 (EMC Update) v0 30 1" xfId="1386" xr:uid="{00000000-0005-0000-0000-000014050000}"/>
    <cellStyle name="%_NRA_model_for_NEMO2 (EMC Update) v0.21_NRA_model_for_NEMO2 (EMC Update) v0.25_NRA_model_for_NEMO2 (EMC Update) v0.29.2_NRA_model_for_NEMO2 (EMC Update) v0.29.4_NRA_model_for_NEMO2 (EMC Update) v0.29.5" xfId="1387" xr:uid="{00000000-0005-0000-0000-000015050000}"/>
    <cellStyle name="%_NRA_model_for_NEMO2 (EMC Update) v0.21_NRA_model_for_NEMO2 (EMC Update) v0.25_NRA_model_for_NEMO2 (EMC Update) v0.29.2_NRA_model_for_NEMO2 (EMC Update) v0.29.4_NRA_model_for_NEMO2 (EMC Update) v0.29.5_NRA_model_for_NEMO2 (EMC Update) v0 30 1" xfId="1388" xr:uid="{00000000-0005-0000-0000-000016050000}"/>
    <cellStyle name="%_NRA_model_for_NEMO2 (EMC Update) v0.21_NRA_model_for_NEMO2 (EMC Update) v0.25_NRA_model_for_NEMO2 (EMC Update) v0.29.2_NRA_model_for_NEMO2 (EMC Update) v0.29.5" xfId="1389" xr:uid="{00000000-0005-0000-0000-000017050000}"/>
    <cellStyle name="%_NRA_model_for_NEMO2 (EMC Update) v0.21_NRA_model_for_NEMO2 (EMC Update) v0.25_NRA_model_for_NEMO2 (EMC Update) v0.29.2_NRA_model_for_NEMO2 (EMC Update) v0.29.5_NRA_model_for_NEMO2 (EMC Update) v0 30 1" xfId="1390" xr:uid="{00000000-0005-0000-0000-000018050000}"/>
    <cellStyle name="%_NRA_model_for_NEMO2 (EMC Update) v0.21_NRA_model_for_NEMO2 (EMC Update) v0.25_NRA_model_for_NEMO2 (EMC Update) v0.29.3" xfId="1391" xr:uid="{00000000-0005-0000-0000-000019050000}"/>
    <cellStyle name="%_NRA_model_for_NEMO2 (EMC Update) v0.21_NRA_model_for_NEMO2 (EMC Update) v0.25_NRA_model_for_NEMO2 (EMC Update) v0.29.3_NRA_model_for_NEMO2 (EMC Update) v0 30 1" xfId="1392" xr:uid="{00000000-0005-0000-0000-00001A050000}"/>
    <cellStyle name="%_NRA_model_for_NEMO2 (EMC Update) v0.21_NRA_model_for_NEMO2 (EMC Update) v0.25_NRA_model_for_NEMO2 (EMC Update) v0.29.3_NRA_model_for_NEMO2 (EMC Update) v0.29.5" xfId="1393" xr:uid="{00000000-0005-0000-0000-00001B050000}"/>
    <cellStyle name="%_NRA_model_for_NEMO2 (EMC Update) v0.21_NRA_model_for_NEMO2 (EMC Update) v0.25_NRA_model_for_NEMO2 (EMC Update) v0.29.3_NRA_model_for_NEMO2 (EMC Update) v0.29.5_NRA_model_for_NEMO2 (EMC Update) v0 30 1" xfId="1394" xr:uid="{00000000-0005-0000-0000-00001C050000}"/>
    <cellStyle name="%_NRA_model_for_NEMO2 (EMC Update) v0.21_NRA_model_for_NEMO2 (EMC Update) v0.25_NRA_model_for_NEMO2 (EMC Update) v0.29.4" xfId="1395" xr:uid="{00000000-0005-0000-0000-00001D050000}"/>
    <cellStyle name="%_NRA_model_for_NEMO2 (EMC Update) v0.21_NRA_model_for_NEMO2 (EMC Update) v0.25_NRA_model_for_NEMO2 (EMC Update) v0.29.4_NRA_model_for_NEMO2 (EMC Update) v0 30 1" xfId="1396" xr:uid="{00000000-0005-0000-0000-00001E050000}"/>
    <cellStyle name="%_NRA_model_for_NEMO2 (EMC Update) v0.21_NRA_model_for_NEMO2 (EMC Update) v0.25_NRA_model_for_NEMO2 (EMC Update) v0.29.4_NRA_model_for_NEMO2 (EMC Update) v0.29.5" xfId="1397" xr:uid="{00000000-0005-0000-0000-00001F050000}"/>
    <cellStyle name="%_NRA_model_for_NEMO2 (EMC Update) v0.21_NRA_model_for_NEMO2 (EMC Update) v0.25_NRA_model_for_NEMO2 (EMC Update) v0.29.4_NRA_model_for_NEMO2 (EMC Update) v0.29.5_NRA_model_for_NEMO2 (EMC Update) v0 30 1" xfId="1398" xr:uid="{00000000-0005-0000-0000-000020050000}"/>
    <cellStyle name="%_NRA_model_for_NEMO2 (EMC Update) v0.21_NRA_model_for_NEMO2 (EMC Update) v0.25_NRA_model_for_NEMO2 (EMC Update) v0.29.5" xfId="1399" xr:uid="{00000000-0005-0000-0000-000021050000}"/>
    <cellStyle name="%_NRA_model_for_NEMO2 (EMC Update) v0.21_NRA_model_for_NEMO2 (EMC Update) v0.25_NRA_model_for_NEMO2 (EMC Update) v0.29.5_NRA_model_for_NEMO2 (EMC Update) v0 30 1" xfId="1400" xr:uid="{00000000-0005-0000-0000-000022050000}"/>
    <cellStyle name="%_NRA_model_for_NEMO2 (EMC Update) v0.21_NRA_model_for_NEMO2 (EMC Update) v0.25_NRA_model_for_NEMO2 (EMC Update) v0.29_NRA_model_for_NEMO2 (EMC Update) v0 30 1" xfId="1401" xr:uid="{00000000-0005-0000-0000-000023050000}"/>
    <cellStyle name="%_NRA_model_for_NEMO2 (EMC Update) v0.21_NRA_model_for_NEMO2 (EMC Update) v0.25_NRA_model_for_NEMO2 (EMC Update) v0.29_NRA_model_for_NEMO2 (EMC Update) v0.29.2" xfId="1402" xr:uid="{00000000-0005-0000-0000-000024050000}"/>
    <cellStyle name="%_NRA_model_for_NEMO2 (EMC Update) v0.21_NRA_model_for_NEMO2 (EMC Update) v0.25_NRA_model_for_NEMO2 (EMC Update) v0.29_NRA_model_for_NEMO2 (EMC Update) v0.29.2_NRA_model_for_NEMO2 (EMC Update) v0 30 1" xfId="1403" xr:uid="{00000000-0005-0000-0000-000025050000}"/>
    <cellStyle name="%_NRA_model_for_NEMO2 (EMC Update) v0.21_NRA_model_for_NEMO2 (EMC Update) v0.25_NRA_model_for_NEMO2 (EMC Update) v0.29_NRA_model_for_NEMO2 (EMC Update) v0.29.2_NRA_model_for_NEMO2 (EMC Update) v0.29.3" xfId="1404" xr:uid="{00000000-0005-0000-0000-000026050000}"/>
    <cellStyle name="%_NRA_model_for_NEMO2 (EMC Update) v0.21_NRA_model_for_NEMO2 (EMC Update) v0.25_NRA_model_for_NEMO2 (EMC Update) v0.29_NRA_model_for_NEMO2 (EMC Update) v0.29.2_NRA_model_for_NEMO2 (EMC Update) v0.29.3_NRA_model_for_NEMO2 (EMC Update) v0 30 1" xfId="1405" xr:uid="{00000000-0005-0000-0000-000027050000}"/>
    <cellStyle name="%_NRA_model_for_NEMO2 (EMC Update) v0.21_NRA_model_for_NEMO2 (EMC Update) v0.25_NRA_model_for_NEMO2 (EMC Update) v0.29_NRA_model_for_NEMO2 (EMC Update) v0.29.2_NRA_model_for_NEMO2 (EMC Update) v0.29.3_NRA_model_for_NEMO2 (EMC Update) v0.29.5" xfId="1406" xr:uid="{00000000-0005-0000-0000-000028050000}"/>
    <cellStyle name="%_NRA_model_for_NEMO2 (EMC Update) v0.21_NRA_model_for_NEMO2 (EMC Update) v0.25_NRA_model_for_NEMO2 (EMC Update) v0.29_NRA_model_for_NEMO2 (EMC Update) v0.29.2_NRA_model_for_NEMO2 (EMC Update) v0.29.4" xfId="1407" xr:uid="{00000000-0005-0000-0000-000029050000}"/>
    <cellStyle name="%_NRA_model_for_NEMO2 (EMC Update) v0.21_NRA_model_for_NEMO2 (EMC Update) v0.25_NRA_model_for_NEMO2 (EMC Update) v0.29_NRA_model_for_NEMO2 (EMC Update) v0.29.2_NRA_model_for_NEMO2 (EMC Update) v0.29.4_NRA_model_for_NEMO2 (EMC Update) v0 30 1" xfId="1408" xr:uid="{00000000-0005-0000-0000-00002A050000}"/>
    <cellStyle name="%_NRA_model_for_NEMO2 (EMC Update) v0.21_NRA_model_for_NEMO2 (EMC Update) v0.25_NRA_model_for_NEMO2 (EMC Update) v0.29_NRA_model_for_NEMO2 (EMC Update) v0.29.2_NRA_model_for_NEMO2 (EMC Update) v0.29.4_NRA_model_for_NEMO2 (EMC Update) v0.29.5" xfId="1409" xr:uid="{00000000-0005-0000-0000-00002B050000}"/>
    <cellStyle name="%_NRA_model_for_NEMO2 (EMC Update) v0.21_NRA_model_for_NEMO2 (EMC Update) v0.25_NRA_model_for_NEMO2 (EMC Update) v0.29_NRA_model_for_NEMO2 (EMC Update) v0.29.2_NRA_model_for_NEMO2 (EMC Update) v0.29.5" xfId="1410" xr:uid="{00000000-0005-0000-0000-00002C050000}"/>
    <cellStyle name="%_NRA_model_for_NEMO2 (EMC Update) v0.21_NRA_model_for_NEMO2 (EMC Update) v0.25_NRA_model_for_NEMO2 (EMC Update) v0.29_NRA_model_for_NEMO2 (EMC Update) v0.29.2_NRA_model_for_NEMO2 (EMC Update) v0.29.5_NRA_model_for_NEMO2 (EMC Update) v0 30 1" xfId="1411" xr:uid="{00000000-0005-0000-0000-00002D050000}"/>
    <cellStyle name="%_NRA_model_for_NEMO2 (EMC Update) v0.21_NRA_model_for_NEMO2 (EMC Update) v0.25_NRA_model_for_NEMO2 (EMC Update) v0.29_NRA_model_for_NEMO2 (EMC Update) v0.29.3" xfId="1412" xr:uid="{00000000-0005-0000-0000-00002E050000}"/>
    <cellStyle name="%_NRA_model_for_NEMO2 (EMC Update) v0.21_NRA_model_for_NEMO2 (EMC Update) v0.25_NRA_model_for_NEMO2 (EMC Update) v0.29_NRA_model_for_NEMO2 (EMC Update) v0.29.3_NRA_model_for_NEMO2 (EMC Update) v0 30 1" xfId="1413" xr:uid="{00000000-0005-0000-0000-00002F050000}"/>
    <cellStyle name="%_NRA_model_for_NEMO2 (EMC Update) v0.21_NRA_model_for_NEMO2 (EMC Update) v0.25_NRA_model_for_NEMO2 (EMC Update) v0.29_NRA_model_for_NEMO2 (EMC Update) v0.29.3_NRA_model_for_NEMO2 (EMC Update) v0.29.5" xfId="1414" xr:uid="{00000000-0005-0000-0000-000030050000}"/>
    <cellStyle name="%_NRA_model_for_NEMO2 (EMC Update) v0.21_NRA_model_for_NEMO2 (EMC Update) v0.25_NRA_model_for_NEMO2 (EMC Update) v0.29_NRA_model_for_NEMO2 (EMC Update) v0.29.3_NRA_model_for_NEMO2 (EMC Update) v0.29.5_NRA_model_for_NEMO2 (EMC Update) v0 30 1" xfId="1415" xr:uid="{00000000-0005-0000-0000-000031050000}"/>
    <cellStyle name="%_NRA_model_for_NEMO2 (EMC Update) v0.21_NRA_model_for_NEMO2 (EMC Update) v0.25_NRA_model_for_NEMO2 (EMC Update) v0.29_NRA_model_for_NEMO2 (EMC Update) v0.29.4" xfId="1416" xr:uid="{00000000-0005-0000-0000-000032050000}"/>
    <cellStyle name="%_NRA_model_for_NEMO2 (EMC Update) v0.21_NRA_model_for_NEMO2 (EMC Update) v0.25_NRA_model_for_NEMO2 (EMC Update) v0.29_NRA_model_for_NEMO2 (EMC Update) v0.29.4_NRA_model_for_NEMO2 (EMC Update) v0 30 1" xfId="1417" xr:uid="{00000000-0005-0000-0000-000033050000}"/>
    <cellStyle name="%_NRA_model_for_NEMO2 (EMC Update) v0.21_NRA_model_for_NEMO2 (EMC Update) v0.25_NRA_model_for_NEMO2 (EMC Update) v0.29_NRA_model_for_NEMO2 (EMC Update) v0.29.4_NRA_model_for_NEMO2 (EMC Update) v0.29.5" xfId="1418" xr:uid="{00000000-0005-0000-0000-000034050000}"/>
    <cellStyle name="%_NRA_model_for_NEMO2 (EMC Update) v0.21_NRA_model_for_NEMO2 (EMC Update) v0.25_NRA_model_for_NEMO2 (EMC Update) v0.29_NRA_model_for_NEMO2 (EMC Update) v0.29.4_NRA_model_for_NEMO2 (EMC Update) v0.29.5_NRA_model_for_NEMO2 (EMC Update) v0 30 1" xfId="1419" xr:uid="{00000000-0005-0000-0000-000035050000}"/>
    <cellStyle name="%_NRA_model_for_NEMO2 (EMC Update) v0.21_NRA_model_for_NEMO2 (EMC Update) v0.25_NRA_model_for_NEMO2 (EMC Update) v0.29_NRA_model_for_NEMO2 (EMC Update) v0.29.5" xfId="1420" xr:uid="{00000000-0005-0000-0000-000036050000}"/>
    <cellStyle name="%_NRA_model_for_NEMO2 (EMC Update) v0.21_NRA_model_for_NEMO2 (EMC Update) v0.25_NRA_model_for_NEMO2 (EMC Update) v0.29_NRA_model_for_NEMO2 (EMC Update) v0.29.5_NRA_model_for_NEMO2 (EMC Update) v0 30 1" xfId="1421" xr:uid="{00000000-0005-0000-0000-000037050000}"/>
    <cellStyle name="%_NRA_model_for_NEMO2 (EMC Update) v0.21_NRA_model_for_NEMO2 (EMC Update) v0.26" xfId="1422" xr:uid="{00000000-0005-0000-0000-000038050000}"/>
    <cellStyle name="%_NRA_model_for_NEMO2 (EMC Update) v0.21_NRA_model_for_NEMO2 (EMC Update) v0.26_NRA_model_for_NEMO2 (EMC Update) v0 30 1" xfId="1423" xr:uid="{00000000-0005-0000-0000-000039050000}"/>
    <cellStyle name="%_NRA_model_for_NEMO2 (EMC Update) v0.21_NRA_model_for_NEMO2 (EMC Update) v0.26_NRA_model_for_NEMO2 (EMC Update) v0.29" xfId="1424" xr:uid="{00000000-0005-0000-0000-00003A050000}"/>
    <cellStyle name="%_NRA_model_for_NEMO2 (EMC Update) v0.21_NRA_model_for_NEMO2 (EMC Update) v0.26_NRA_model_for_NEMO2 (EMC Update) v0.29.2" xfId="1425" xr:uid="{00000000-0005-0000-0000-00003B050000}"/>
    <cellStyle name="%_NRA_model_for_NEMO2 (EMC Update) v0.21_NRA_model_for_NEMO2 (EMC Update) v0.26_NRA_model_for_NEMO2 (EMC Update) v0.29.2_NRA_model_for_NEMO2 (EMC Update) v0 30 1" xfId="1426" xr:uid="{00000000-0005-0000-0000-00003C050000}"/>
    <cellStyle name="%_NRA_model_for_NEMO2 (EMC Update) v0.21_NRA_model_for_NEMO2 (EMC Update) v0.26_NRA_model_for_NEMO2 (EMC Update) v0.29.2_NRA_model_for_NEMO2 (EMC Update) v0.29.3" xfId="1427" xr:uid="{00000000-0005-0000-0000-00003D050000}"/>
    <cellStyle name="%_NRA_model_for_NEMO2 (EMC Update) v0.21_NRA_model_for_NEMO2 (EMC Update) v0.26_NRA_model_for_NEMO2 (EMC Update) v0.29.2_NRA_model_for_NEMO2 (EMC Update) v0.29.3_NRA_model_for_NEMO2 (EMC Update) v0 30 1" xfId="1428" xr:uid="{00000000-0005-0000-0000-00003E050000}"/>
    <cellStyle name="%_NRA_model_for_NEMO2 (EMC Update) v0.21_NRA_model_for_NEMO2 (EMC Update) v0.26_NRA_model_for_NEMO2 (EMC Update) v0.29.2_NRA_model_for_NEMO2 (EMC Update) v0.29.3_NRA_model_for_NEMO2 (EMC Update) v0.29.5" xfId="1429" xr:uid="{00000000-0005-0000-0000-00003F050000}"/>
    <cellStyle name="%_NRA_model_for_NEMO2 (EMC Update) v0.21_NRA_model_for_NEMO2 (EMC Update) v0.26_NRA_model_for_NEMO2 (EMC Update) v0.29.2_NRA_model_for_NEMO2 (EMC Update) v0.29.3_NRA_model_for_NEMO2 (EMC Update) v0.29.5_NRA_model_for_NEMO2 (EMC Update) v0 30 1" xfId="1430" xr:uid="{00000000-0005-0000-0000-000040050000}"/>
    <cellStyle name="%_NRA_model_for_NEMO2 (EMC Update) v0.21_NRA_model_for_NEMO2 (EMC Update) v0.26_NRA_model_for_NEMO2 (EMC Update) v0.29.2_NRA_model_for_NEMO2 (EMC Update) v0.29.4" xfId="1431" xr:uid="{00000000-0005-0000-0000-000041050000}"/>
    <cellStyle name="%_NRA_model_for_NEMO2 (EMC Update) v0.21_NRA_model_for_NEMO2 (EMC Update) v0.26_NRA_model_for_NEMO2 (EMC Update) v0.29.2_NRA_model_for_NEMO2 (EMC Update) v0.29.4_NRA_model_for_NEMO2 (EMC Update) v0 30 1" xfId="1432" xr:uid="{00000000-0005-0000-0000-000042050000}"/>
    <cellStyle name="%_NRA_model_for_NEMO2 (EMC Update) v0.21_NRA_model_for_NEMO2 (EMC Update) v0.26_NRA_model_for_NEMO2 (EMC Update) v0.29.2_NRA_model_for_NEMO2 (EMC Update) v0.29.4_NRA_model_for_NEMO2 (EMC Update) v0.29.5" xfId="1433" xr:uid="{00000000-0005-0000-0000-000043050000}"/>
    <cellStyle name="%_NRA_model_for_NEMO2 (EMC Update) v0.21_NRA_model_for_NEMO2 (EMC Update) v0.26_NRA_model_for_NEMO2 (EMC Update) v0.29.2_NRA_model_for_NEMO2 (EMC Update) v0.29.4_NRA_model_for_NEMO2 (EMC Update) v0.29.5_NRA_model_for_NEMO2 (EMC Update) v0 30 1" xfId="1434" xr:uid="{00000000-0005-0000-0000-000044050000}"/>
    <cellStyle name="%_NRA_model_for_NEMO2 (EMC Update) v0.21_NRA_model_for_NEMO2 (EMC Update) v0.26_NRA_model_for_NEMO2 (EMC Update) v0.29.2_NRA_model_for_NEMO2 (EMC Update) v0.29.5" xfId="1435" xr:uid="{00000000-0005-0000-0000-000045050000}"/>
    <cellStyle name="%_NRA_model_for_NEMO2 (EMC Update) v0.21_NRA_model_for_NEMO2 (EMC Update) v0.26_NRA_model_for_NEMO2 (EMC Update) v0.29.2_NRA_model_for_NEMO2 (EMC Update) v0.29.5_NRA_model_for_NEMO2 (EMC Update) v0 30 1" xfId="1436" xr:uid="{00000000-0005-0000-0000-000046050000}"/>
    <cellStyle name="%_NRA_model_for_NEMO2 (EMC Update) v0.21_NRA_model_for_NEMO2 (EMC Update) v0.26_NRA_model_for_NEMO2 (EMC Update) v0.29.3" xfId="1437" xr:uid="{00000000-0005-0000-0000-000047050000}"/>
    <cellStyle name="%_NRA_model_for_NEMO2 (EMC Update) v0.21_NRA_model_for_NEMO2 (EMC Update) v0.26_NRA_model_for_NEMO2 (EMC Update) v0.29.3_NRA_model_for_NEMO2 (EMC Update) v0 30 1" xfId="1438" xr:uid="{00000000-0005-0000-0000-000048050000}"/>
    <cellStyle name="%_NRA_model_for_NEMO2 (EMC Update) v0.21_NRA_model_for_NEMO2 (EMC Update) v0.26_NRA_model_for_NEMO2 (EMC Update) v0.29.3_NRA_model_for_NEMO2 (EMC Update) v0.29.5" xfId="1439" xr:uid="{00000000-0005-0000-0000-000049050000}"/>
    <cellStyle name="%_NRA_model_for_NEMO2 (EMC Update) v0.21_NRA_model_for_NEMO2 (EMC Update) v0.26_NRA_model_for_NEMO2 (EMC Update) v0.29.3_NRA_model_for_NEMO2 (EMC Update) v0.29.5_NRA_model_for_NEMO2 (EMC Update) v0 30 1" xfId="1440" xr:uid="{00000000-0005-0000-0000-00004A050000}"/>
    <cellStyle name="%_NRA_model_for_NEMO2 (EMC Update) v0.21_NRA_model_for_NEMO2 (EMC Update) v0.26_NRA_model_for_NEMO2 (EMC Update) v0.29.4" xfId="1441" xr:uid="{00000000-0005-0000-0000-00004B050000}"/>
    <cellStyle name="%_NRA_model_for_NEMO2 (EMC Update) v0.21_NRA_model_for_NEMO2 (EMC Update) v0.26_NRA_model_for_NEMO2 (EMC Update) v0.29.4_NRA_model_for_NEMO2 (EMC Update) v0 30 1" xfId="1442" xr:uid="{00000000-0005-0000-0000-00004C050000}"/>
    <cellStyle name="%_NRA_model_for_NEMO2 (EMC Update) v0.21_NRA_model_for_NEMO2 (EMC Update) v0.26_NRA_model_for_NEMO2 (EMC Update) v0.29.4_NRA_model_for_NEMO2 (EMC Update) v0.29.5" xfId="1443" xr:uid="{00000000-0005-0000-0000-00004D050000}"/>
    <cellStyle name="%_NRA_model_for_NEMO2 (EMC Update) v0.21_NRA_model_for_NEMO2 (EMC Update) v0.26_NRA_model_for_NEMO2 (EMC Update) v0.29.4_NRA_model_for_NEMO2 (EMC Update) v0.29.5_NRA_model_for_NEMO2 (EMC Update) v0 30 1" xfId="1444" xr:uid="{00000000-0005-0000-0000-00004E050000}"/>
    <cellStyle name="%_NRA_model_for_NEMO2 (EMC Update) v0.21_NRA_model_for_NEMO2 (EMC Update) v0.26_NRA_model_for_NEMO2 (EMC Update) v0.29.5" xfId="1445" xr:uid="{00000000-0005-0000-0000-00004F050000}"/>
    <cellStyle name="%_NRA_model_for_NEMO2 (EMC Update) v0.21_NRA_model_for_NEMO2 (EMC Update) v0.26_NRA_model_for_NEMO2 (EMC Update) v0.29.5_NRA_model_for_NEMO2 (EMC Update) v0 30 1" xfId="1446" xr:uid="{00000000-0005-0000-0000-000050050000}"/>
    <cellStyle name="%_NRA_model_for_NEMO2 (EMC Update) v0.21_NRA_model_for_NEMO2 (EMC Update) v0.26_NRA_model_for_NEMO2 (EMC Update) v0.29_NRA_model_for_NEMO2 (EMC Update) v0 30 1" xfId="1447" xr:uid="{00000000-0005-0000-0000-000051050000}"/>
    <cellStyle name="%_NRA_model_for_NEMO2 (EMC Update) v0.21_NRA_model_for_NEMO2 (EMC Update) v0.26_NRA_model_for_NEMO2 (EMC Update) v0.29_NRA_model_for_NEMO2 (EMC Update) v0.29.2" xfId="1448" xr:uid="{00000000-0005-0000-0000-000052050000}"/>
    <cellStyle name="%_NRA_model_for_NEMO2 (EMC Update) v0.21_NRA_model_for_NEMO2 (EMC Update) v0.26_NRA_model_for_NEMO2 (EMC Update) v0.29_NRA_model_for_NEMO2 (EMC Update) v0.29.2_NRA_model_for_NEMO2 (EMC Update) v0 30 1" xfId="1449" xr:uid="{00000000-0005-0000-0000-000053050000}"/>
    <cellStyle name="%_NRA_model_for_NEMO2 (EMC Update) v0.21_NRA_model_for_NEMO2 (EMC Update) v0.26_NRA_model_for_NEMO2 (EMC Update) v0.29_NRA_model_for_NEMO2 (EMC Update) v0.29.2_NRA_model_for_NEMO2 (EMC Update) v0.29.3" xfId="1450" xr:uid="{00000000-0005-0000-0000-000054050000}"/>
    <cellStyle name="%_NRA_model_for_NEMO2 (EMC Update) v0.21_NRA_model_for_NEMO2 (EMC Update) v0.26_NRA_model_for_NEMO2 (EMC Update) v0.29_NRA_model_for_NEMO2 (EMC Update) v0.29.2_NRA_model_for_NEMO2 (EMC Update) v0.29.3_NRA_model_for_NEMO2 (EMC Update) v0 30 1" xfId="1451" xr:uid="{00000000-0005-0000-0000-000055050000}"/>
    <cellStyle name="%_NRA_model_for_NEMO2 (EMC Update) v0.21_NRA_model_for_NEMO2 (EMC Update) v0.26_NRA_model_for_NEMO2 (EMC Update) v0.29_NRA_model_for_NEMO2 (EMC Update) v0.29.2_NRA_model_for_NEMO2 (EMC Update) v0.29.3_NRA_model_for_NEMO2 (EMC Update) v0.29.5" xfId="1452" xr:uid="{00000000-0005-0000-0000-000056050000}"/>
    <cellStyle name="%_NRA_model_for_NEMO2 (EMC Update) v0.21_NRA_model_for_NEMO2 (EMC Update) v0.26_NRA_model_for_NEMO2 (EMC Update) v0.29_NRA_model_for_NEMO2 (EMC Update) v0.29.2_NRA_model_for_NEMO2 (EMC Update) v0.29.4" xfId="1453" xr:uid="{00000000-0005-0000-0000-000057050000}"/>
    <cellStyle name="%_NRA_model_for_NEMO2 (EMC Update) v0.21_NRA_model_for_NEMO2 (EMC Update) v0.26_NRA_model_for_NEMO2 (EMC Update) v0.29_NRA_model_for_NEMO2 (EMC Update) v0.29.2_NRA_model_for_NEMO2 (EMC Update) v0.29.4_NRA_model_for_NEMO2 (EMC Update) v0 30 1" xfId="1454" xr:uid="{00000000-0005-0000-0000-000058050000}"/>
    <cellStyle name="%_NRA_model_for_NEMO2 (EMC Update) v0.21_NRA_model_for_NEMO2 (EMC Update) v0.26_NRA_model_for_NEMO2 (EMC Update) v0.29_NRA_model_for_NEMO2 (EMC Update) v0.29.2_NRA_model_for_NEMO2 (EMC Update) v0.29.4_NRA_model_for_NEMO2 (EMC Update) v0.29.5" xfId="1455" xr:uid="{00000000-0005-0000-0000-000059050000}"/>
    <cellStyle name="%_NRA_model_for_NEMO2 (EMC Update) v0.21_NRA_model_for_NEMO2 (EMC Update) v0.26_NRA_model_for_NEMO2 (EMC Update) v0.29_NRA_model_for_NEMO2 (EMC Update) v0.29.2_NRA_model_for_NEMO2 (EMC Update) v0.29.5" xfId="1456" xr:uid="{00000000-0005-0000-0000-00005A050000}"/>
    <cellStyle name="%_NRA_model_for_NEMO2 (EMC Update) v0.21_NRA_model_for_NEMO2 (EMC Update) v0.26_NRA_model_for_NEMO2 (EMC Update) v0.29_NRA_model_for_NEMO2 (EMC Update) v0.29.2_NRA_model_for_NEMO2 (EMC Update) v0.29.5_NRA_model_for_NEMO2 (EMC Update) v0 30 1" xfId="1457" xr:uid="{00000000-0005-0000-0000-00005B050000}"/>
    <cellStyle name="%_NRA_model_for_NEMO2 (EMC Update) v0.21_NRA_model_for_NEMO2 (EMC Update) v0.26_NRA_model_for_NEMO2 (EMC Update) v0.29_NRA_model_for_NEMO2 (EMC Update) v0.29.3" xfId="1458" xr:uid="{00000000-0005-0000-0000-00005C050000}"/>
    <cellStyle name="%_NRA_model_for_NEMO2 (EMC Update) v0.21_NRA_model_for_NEMO2 (EMC Update) v0.26_NRA_model_for_NEMO2 (EMC Update) v0.29_NRA_model_for_NEMO2 (EMC Update) v0.29.3_NRA_model_for_NEMO2 (EMC Update) v0 30 1" xfId="1459" xr:uid="{00000000-0005-0000-0000-00005D050000}"/>
    <cellStyle name="%_NRA_model_for_NEMO2 (EMC Update) v0.21_NRA_model_for_NEMO2 (EMC Update) v0.26_NRA_model_for_NEMO2 (EMC Update) v0.29_NRA_model_for_NEMO2 (EMC Update) v0.29.3_NRA_model_for_NEMO2 (EMC Update) v0.29.5" xfId="1460" xr:uid="{00000000-0005-0000-0000-00005E050000}"/>
    <cellStyle name="%_NRA_model_for_NEMO2 (EMC Update) v0.21_NRA_model_for_NEMO2 (EMC Update) v0.26_NRA_model_for_NEMO2 (EMC Update) v0.29_NRA_model_for_NEMO2 (EMC Update) v0.29.3_NRA_model_for_NEMO2 (EMC Update) v0.29.5_NRA_model_for_NEMO2 (EMC Update) v0 30 1" xfId="1461" xr:uid="{00000000-0005-0000-0000-00005F050000}"/>
    <cellStyle name="%_NRA_model_for_NEMO2 (EMC Update) v0.21_NRA_model_for_NEMO2 (EMC Update) v0.26_NRA_model_for_NEMO2 (EMC Update) v0.29_NRA_model_for_NEMO2 (EMC Update) v0.29.4" xfId="1462" xr:uid="{00000000-0005-0000-0000-000060050000}"/>
    <cellStyle name="%_NRA_model_for_NEMO2 (EMC Update) v0.21_NRA_model_for_NEMO2 (EMC Update) v0.26_NRA_model_for_NEMO2 (EMC Update) v0.29_NRA_model_for_NEMO2 (EMC Update) v0.29.4_NRA_model_for_NEMO2 (EMC Update) v0 30 1" xfId="1463" xr:uid="{00000000-0005-0000-0000-000061050000}"/>
    <cellStyle name="%_NRA_model_for_NEMO2 (EMC Update) v0.21_NRA_model_for_NEMO2 (EMC Update) v0.26_NRA_model_for_NEMO2 (EMC Update) v0.29_NRA_model_for_NEMO2 (EMC Update) v0.29.4_NRA_model_for_NEMO2 (EMC Update) v0.29.5" xfId="1464" xr:uid="{00000000-0005-0000-0000-000062050000}"/>
    <cellStyle name="%_NRA_model_for_NEMO2 (EMC Update) v0.21_NRA_model_for_NEMO2 (EMC Update) v0.26_NRA_model_for_NEMO2 (EMC Update) v0.29_NRA_model_for_NEMO2 (EMC Update) v0.29.4_NRA_model_for_NEMO2 (EMC Update) v0.29.5_NRA_model_for_NEMO2 (EMC Update) v0 30 1" xfId="1465" xr:uid="{00000000-0005-0000-0000-000063050000}"/>
    <cellStyle name="%_NRA_model_for_NEMO2 (EMC Update) v0.21_NRA_model_for_NEMO2 (EMC Update) v0.26_NRA_model_for_NEMO2 (EMC Update) v0.29_NRA_model_for_NEMO2 (EMC Update) v0.29.5" xfId="1466" xr:uid="{00000000-0005-0000-0000-000064050000}"/>
    <cellStyle name="%_NRA_model_for_NEMO2 (EMC Update) v0.21_NRA_model_for_NEMO2 (EMC Update) v0.26_NRA_model_for_NEMO2 (EMC Update) v0.29_NRA_model_for_NEMO2 (EMC Update) v0.29.5_NRA_model_for_NEMO2 (EMC Update) v0 30 1" xfId="1467" xr:uid="{00000000-0005-0000-0000-000065050000}"/>
    <cellStyle name="%_NRA_model_for_NEMO2 (EMC Update) v0.21_NRA_model_for_NEMO2 (EMC Update) v0.29" xfId="1468" xr:uid="{00000000-0005-0000-0000-000066050000}"/>
    <cellStyle name="%_NRA_model_for_NEMO2 (EMC Update) v0.21_NRA_model_for_NEMO2 (EMC Update) v0.29.2" xfId="1469" xr:uid="{00000000-0005-0000-0000-000067050000}"/>
    <cellStyle name="%_NRA_model_for_NEMO2 (EMC Update) v0.21_NRA_model_for_NEMO2 (EMC Update) v0.29.2_NRA_model_for_NEMO2 (EMC Update) v0 30 1" xfId="1470" xr:uid="{00000000-0005-0000-0000-000068050000}"/>
    <cellStyle name="%_NRA_model_for_NEMO2 (EMC Update) v0.21_NRA_model_for_NEMO2 (EMC Update) v0.29.2_NRA_model_for_NEMO2 (EMC Update) v0.29.3" xfId="1471" xr:uid="{00000000-0005-0000-0000-000069050000}"/>
    <cellStyle name="%_NRA_model_for_NEMO2 (EMC Update) v0.21_NRA_model_for_NEMO2 (EMC Update) v0.29.2_NRA_model_for_NEMO2 (EMC Update) v0.29.3_NRA_model_for_NEMO2 (EMC Update) v0 30 1" xfId="1472" xr:uid="{00000000-0005-0000-0000-00006A050000}"/>
    <cellStyle name="%_NRA_model_for_NEMO2 (EMC Update) v0.21_NRA_model_for_NEMO2 (EMC Update) v0.29.2_NRA_model_for_NEMO2 (EMC Update) v0.29.3_NRA_model_for_NEMO2 (EMC Update) v0.29.5" xfId="1473" xr:uid="{00000000-0005-0000-0000-00006B050000}"/>
    <cellStyle name="%_NRA_model_for_NEMO2 (EMC Update) v0.21_NRA_model_for_NEMO2 (EMC Update) v0.29.2_NRA_model_for_NEMO2 (EMC Update) v0.29.3_NRA_model_for_NEMO2 (EMC Update) v0.29.5_NRA_model_for_NEMO2 (EMC Update) v0 30 1" xfId="1474" xr:uid="{00000000-0005-0000-0000-00006C050000}"/>
    <cellStyle name="%_NRA_model_for_NEMO2 (EMC Update) v0.21_NRA_model_for_NEMO2 (EMC Update) v0.29.2_NRA_model_for_NEMO2 (EMC Update) v0.29.4" xfId="1475" xr:uid="{00000000-0005-0000-0000-00006D050000}"/>
    <cellStyle name="%_NRA_model_for_NEMO2 (EMC Update) v0.21_NRA_model_for_NEMO2 (EMC Update) v0.29.2_NRA_model_for_NEMO2 (EMC Update) v0.29.4_NRA_model_for_NEMO2 (EMC Update) v0 30 1" xfId="1476" xr:uid="{00000000-0005-0000-0000-00006E050000}"/>
    <cellStyle name="%_NRA_model_for_NEMO2 (EMC Update) v0.21_NRA_model_for_NEMO2 (EMC Update) v0.29.2_NRA_model_for_NEMO2 (EMC Update) v0.29.4_NRA_model_for_NEMO2 (EMC Update) v0.29.5" xfId="1477" xr:uid="{00000000-0005-0000-0000-00006F050000}"/>
    <cellStyle name="%_NRA_model_for_NEMO2 (EMC Update) v0.21_NRA_model_for_NEMO2 (EMC Update) v0.29.2_NRA_model_for_NEMO2 (EMC Update) v0.29.4_NRA_model_for_NEMO2 (EMC Update) v0.29.5_NRA_model_for_NEMO2 (EMC Update) v0 30 1" xfId="1478" xr:uid="{00000000-0005-0000-0000-000070050000}"/>
    <cellStyle name="%_NRA_model_for_NEMO2 (EMC Update) v0.21_NRA_model_for_NEMO2 (EMC Update) v0.29.2_NRA_model_for_NEMO2 (EMC Update) v0.29.5" xfId="1479" xr:uid="{00000000-0005-0000-0000-000071050000}"/>
    <cellStyle name="%_NRA_model_for_NEMO2 (EMC Update) v0.21_NRA_model_for_NEMO2 (EMC Update) v0.29.2_NRA_model_for_NEMO2 (EMC Update) v0.29.5_NRA_model_for_NEMO2 (EMC Update) v0 30 1" xfId="1480" xr:uid="{00000000-0005-0000-0000-000072050000}"/>
    <cellStyle name="%_NRA_model_for_NEMO2 (EMC Update) v0.21_NRA_model_for_NEMO2 (EMC Update) v0.29.3" xfId="1481" xr:uid="{00000000-0005-0000-0000-000073050000}"/>
    <cellStyle name="%_NRA_model_for_NEMO2 (EMC Update) v0.21_NRA_model_for_NEMO2 (EMC Update) v0.29.3_NRA_model_for_NEMO2 (EMC Update) v0 30 1" xfId="1482" xr:uid="{00000000-0005-0000-0000-000074050000}"/>
    <cellStyle name="%_NRA_model_for_NEMO2 (EMC Update) v0.21_NRA_model_for_NEMO2 (EMC Update) v0.29.3_NRA_model_for_NEMO2 (EMC Update) v0.29.5" xfId="1483" xr:uid="{00000000-0005-0000-0000-000075050000}"/>
    <cellStyle name="%_NRA_model_for_NEMO2 (EMC Update) v0.21_NRA_model_for_NEMO2 (EMC Update) v0.29.3_NRA_model_for_NEMO2 (EMC Update) v0.29.5_NRA_model_for_NEMO2 (EMC Update) v0 30 1" xfId="1484" xr:uid="{00000000-0005-0000-0000-000076050000}"/>
    <cellStyle name="%_NRA_model_for_NEMO2 (EMC Update) v0.21_NRA_model_for_NEMO2 (EMC Update) v0.29.4" xfId="1485" xr:uid="{00000000-0005-0000-0000-000077050000}"/>
    <cellStyle name="%_NRA_model_for_NEMO2 (EMC Update) v0.21_NRA_model_for_NEMO2 (EMC Update) v0.29.4_NRA_model_for_NEMO2 (EMC Update) v0 30 1" xfId="1486" xr:uid="{00000000-0005-0000-0000-000078050000}"/>
    <cellStyle name="%_NRA_model_for_NEMO2 (EMC Update) v0.21_NRA_model_for_NEMO2 (EMC Update) v0.29.4_NRA_model_for_NEMO2 (EMC Update) v0.29.5" xfId="1487" xr:uid="{00000000-0005-0000-0000-000079050000}"/>
    <cellStyle name="%_NRA_model_for_NEMO2 (EMC Update) v0.21_NRA_model_for_NEMO2 (EMC Update) v0.29.4_NRA_model_for_NEMO2 (EMC Update) v0.29.5_NRA_model_for_NEMO2 (EMC Update) v0 30 1" xfId="1488" xr:uid="{00000000-0005-0000-0000-00007A050000}"/>
    <cellStyle name="%_NRA_model_for_NEMO2 (EMC Update) v0.21_NRA_model_for_NEMO2 (EMC Update) v0.29.5" xfId="1489" xr:uid="{00000000-0005-0000-0000-00007B050000}"/>
    <cellStyle name="%_NRA_model_for_NEMO2 (EMC Update) v0.21_NRA_model_for_NEMO2 (EMC Update) v0.29.5_NRA_model_for_NEMO2 (EMC Update) v0 30 1" xfId="1490" xr:uid="{00000000-0005-0000-0000-00007C050000}"/>
    <cellStyle name="%_NRA_model_for_NEMO2 (EMC Update) v0.21_NRA_model_for_NEMO2 (EMC Update) v0.29_NRA_model_for_NEMO2 (EMC Update) v0 30 1" xfId="1491" xr:uid="{00000000-0005-0000-0000-00007D050000}"/>
    <cellStyle name="%_NRA_model_for_NEMO2 (EMC Update) v0.21_NRA_model_for_NEMO2 (EMC Update) v0.29_NRA_model_for_NEMO2 (EMC Update) v0.29.2" xfId="1492" xr:uid="{00000000-0005-0000-0000-00007E050000}"/>
    <cellStyle name="%_NRA_model_for_NEMO2 (EMC Update) v0.21_NRA_model_for_NEMO2 (EMC Update) v0.29_NRA_model_for_NEMO2 (EMC Update) v0.29.2_NRA_model_for_NEMO2 (EMC Update) v0 30 1" xfId="1493" xr:uid="{00000000-0005-0000-0000-00007F050000}"/>
    <cellStyle name="%_NRA_model_for_NEMO2 (EMC Update) v0.21_NRA_model_for_NEMO2 (EMC Update) v0.29_NRA_model_for_NEMO2 (EMC Update) v0.29.2_NRA_model_for_NEMO2 (EMC Update) v0.29.3" xfId="1494" xr:uid="{00000000-0005-0000-0000-000080050000}"/>
    <cellStyle name="%_NRA_model_for_NEMO2 (EMC Update) v0.21_NRA_model_for_NEMO2 (EMC Update) v0.29_NRA_model_for_NEMO2 (EMC Update) v0.29.2_NRA_model_for_NEMO2 (EMC Update) v0.29.3_NRA_model_for_NEMO2 (EMC Update) v0 30 1" xfId="1495" xr:uid="{00000000-0005-0000-0000-000081050000}"/>
    <cellStyle name="%_NRA_model_for_NEMO2 (EMC Update) v0.21_NRA_model_for_NEMO2 (EMC Update) v0.29_NRA_model_for_NEMO2 (EMC Update) v0.29.2_NRA_model_for_NEMO2 (EMC Update) v0.29.3_NRA_model_for_NEMO2 (EMC Update) v0.29.5" xfId="1496" xr:uid="{00000000-0005-0000-0000-000082050000}"/>
    <cellStyle name="%_NRA_model_for_NEMO2 (EMC Update) v0.21_NRA_model_for_NEMO2 (EMC Update) v0.29_NRA_model_for_NEMO2 (EMC Update) v0.29.2_NRA_model_for_NEMO2 (EMC Update) v0.29.3_NRA_model_for_NEMO2 (EMC Update) v0.29.5_NRA_model_for_NEMO2 (EMC Update) v0 30 1" xfId="1497" xr:uid="{00000000-0005-0000-0000-000083050000}"/>
    <cellStyle name="%_NRA_model_for_NEMO2 (EMC Update) v0.21_NRA_model_for_NEMO2 (EMC Update) v0.29_NRA_model_for_NEMO2 (EMC Update) v0.29.2_NRA_model_for_NEMO2 (EMC Update) v0.29.4" xfId="1498" xr:uid="{00000000-0005-0000-0000-000084050000}"/>
    <cellStyle name="%_NRA_model_for_NEMO2 (EMC Update) v0.21_NRA_model_for_NEMO2 (EMC Update) v0.29_NRA_model_for_NEMO2 (EMC Update) v0.29.2_NRA_model_for_NEMO2 (EMC Update) v0.29.4_NRA_model_for_NEMO2 (EMC Update) v0 30 1" xfId="1499" xr:uid="{00000000-0005-0000-0000-000085050000}"/>
    <cellStyle name="%_NRA_model_for_NEMO2 (EMC Update) v0.21_NRA_model_for_NEMO2 (EMC Update) v0.29_NRA_model_for_NEMO2 (EMC Update) v0.29.2_NRA_model_for_NEMO2 (EMC Update) v0.29.4_NRA_model_for_NEMO2 (EMC Update) v0.29.5" xfId="1500" xr:uid="{00000000-0005-0000-0000-000086050000}"/>
    <cellStyle name="%_NRA_model_for_NEMO2 (EMC Update) v0.21_NRA_model_for_NEMO2 (EMC Update) v0.29_NRA_model_for_NEMO2 (EMC Update) v0.29.2_NRA_model_for_NEMO2 (EMC Update) v0.29.4_NRA_model_for_NEMO2 (EMC Update) v0.29.5_NRA_model_for_NEMO2 (EMC Update) v0 30 1" xfId="1501" xr:uid="{00000000-0005-0000-0000-000087050000}"/>
    <cellStyle name="%_NRA_model_for_NEMO2 (EMC Update) v0.21_NRA_model_for_NEMO2 (EMC Update) v0.29_NRA_model_for_NEMO2 (EMC Update) v0.29.2_NRA_model_for_NEMO2 (EMC Update) v0.29.5" xfId="1502" xr:uid="{00000000-0005-0000-0000-000088050000}"/>
    <cellStyle name="%_NRA_model_for_NEMO2 (EMC Update) v0.21_NRA_model_for_NEMO2 (EMC Update) v0.29_NRA_model_for_NEMO2 (EMC Update) v0.29.2_NRA_model_for_NEMO2 (EMC Update) v0.29.5_NRA_model_for_NEMO2 (EMC Update) v0 30 1" xfId="1503" xr:uid="{00000000-0005-0000-0000-000089050000}"/>
    <cellStyle name="%_NRA_model_for_NEMO2 (EMC Update) v0.21_NRA_model_for_NEMO2 (EMC Update) v0.29_NRA_model_for_NEMO2 (EMC Update) v0.29.3" xfId="1504" xr:uid="{00000000-0005-0000-0000-00008A050000}"/>
    <cellStyle name="%_NRA_model_for_NEMO2 (EMC Update) v0.21_NRA_model_for_NEMO2 (EMC Update) v0.29_NRA_model_for_NEMO2 (EMC Update) v0.29.3_NRA_model_for_NEMO2 (EMC Update) v0 30 1" xfId="1505" xr:uid="{00000000-0005-0000-0000-00008B050000}"/>
    <cellStyle name="%_NRA_model_for_NEMO2 (EMC Update) v0.21_NRA_model_for_NEMO2 (EMC Update) v0.29_NRA_model_for_NEMO2 (EMC Update) v0.29.3_NRA_model_for_NEMO2 (EMC Update) v0.29.5" xfId="1506" xr:uid="{00000000-0005-0000-0000-00008C050000}"/>
    <cellStyle name="%_NRA_model_for_NEMO2 (EMC Update) v0.21_NRA_model_for_NEMO2 (EMC Update) v0.29_NRA_model_for_NEMO2 (EMC Update) v0.29.3_NRA_model_for_NEMO2 (EMC Update) v0.29.5_NRA_model_for_NEMO2 (EMC Update) v0 30 1" xfId="1507" xr:uid="{00000000-0005-0000-0000-00008D050000}"/>
    <cellStyle name="%_NRA_model_for_NEMO2 (EMC Update) v0.21_NRA_model_for_NEMO2 (EMC Update) v0.29_NRA_model_for_NEMO2 (EMC Update) v0.29.4" xfId="1508" xr:uid="{00000000-0005-0000-0000-00008E050000}"/>
    <cellStyle name="%_NRA_model_for_NEMO2 (EMC Update) v0.21_NRA_model_for_NEMO2 (EMC Update) v0.29_NRA_model_for_NEMO2 (EMC Update) v0.29.4_NRA_model_for_NEMO2 (EMC Update) v0 30 1" xfId="1509" xr:uid="{00000000-0005-0000-0000-00008F050000}"/>
    <cellStyle name="%_NRA_model_for_NEMO2 (EMC Update) v0.21_NRA_model_for_NEMO2 (EMC Update) v0.29_NRA_model_for_NEMO2 (EMC Update) v0.29.4_NRA_model_for_NEMO2 (EMC Update) v0.29.5" xfId="1510" xr:uid="{00000000-0005-0000-0000-000090050000}"/>
    <cellStyle name="%_NRA_model_for_NEMO2 (EMC Update) v0.21_NRA_model_for_NEMO2 (EMC Update) v0.29_NRA_model_for_NEMO2 (EMC Update) v0.29.4_NRA_model_for_NEMO2 (EMC Update) v0.29.5_NRA_model_for_NEMO2 (EMC Update) v0 30 1" xfId="1511" xr:uid="{00000000-0005-0000-0000-000091050000}"/>
    <cellStyle name="%_NRA_model_for_NEMO2 (EMC Update) v0.21_NRA_model_for_NEMO2 (EMC Update) v0.29_NRA_model_for_NEMO2 (EMC Update) v0.29.5" xfId="1512" xr:uid="{00000000-0005-0000-0000-000092050000}"/>
    <cellStyle name="%_NRA_model_for_NEMO2 (EMC Update) v0.21_NRA_model_for_NEMO2 (EMC Update) v0.29_NRA_model_for_NEMO2 (EMC Update) v0.29.5_NRA_model_for_NEMO2 (EMC Update) v0 30 1" xfId="1513" xr:uid="{00000000-0005-0000-0000-000093050000}"/>
    <cellStyle name="%_NRA_model_for_NEMO2 (EMC Update) v0.22" xfId="1514" xr:uid="{00000000-0005-0000-0000-000094050000}"/>
    <cellStyle name="%_NRA_model_for_NEMO2 (EMC Update) v0.22_NRA_model_for_NEMO2 (EMC Update) v0 30 1" xfId="1515" xr:uid="{00000000-0005-0000-0000-000095050000}"/>
    <cellStyle name="%_NRA_model_for_NEMO2 (EMC Update) v0.22_NRA_model_for_NEMO2 (EMC Update) v0.25" xfId="1516" xr:uid="{00000000-0005-0000-0000-000096050000}"/>
    <cellStyle name="%_NRA_model_for_NEMO2 (EMC Update) v0.22_NRA_model_for_NEMO2 (EMC Update) v0.25_NRA_model_for_NEMO2 (EMC Update) v0 30 1" xfId="1517" xr:uid="{00000000-0005-0000-0000-000097050000}"/>
    <cellStyle name="%_NRA_model_for_NEMO2 (EMC Update) v0.22_NRA_model_for_NEMO2 (EMC Update) v0.25_NRA_model_for_NEMO2 (EMC Update) v0.26" xfId="1518" xr:uid="{00000000-0005-0000-0000-000098050000}"/>
    <cellStyle name="%_NRA_model_for_NEMO2 (EMC Update) v0.22_NRA_model_for_NEMO2 (EMC Update) v0.25_NRA_model_for_NEMO2 (EMC Update) v0.26_NRA_model_for_NEMO2 (EMC Update) v0 30 1" xfId="1519" xr:uid="{00000000-0005-0000-0000-000099050000}"/>
    <cellStyle name="%_NRA_model_for_NEMO2 (EMC Update) v0.22_NRA_model_for_NEMO2 (EMC Update) v0.25_NRA_model_for_NEMO2 (EMC Update) v0.26_NRA_model_for_NEMO2 (EMC Update) v0.29" xfId="1520" xr:uid="{00000000-0005-0000-0000-00009A050000}"/>
    <cellStyle name="%_NRA_model_for_NEMO2 (EMC Update) v0.22_NRA_model_for_NEMO2 (EMC Update) v0.25_NRA_model_for_NEMO2 (EMC Update) v0.26_NRA_model_for_NEMO2 (EMC Update) v0.29.2" xfId="1521" xr:uid="{00000000-0005-0000-0000-00009B050000}"/>
    <cellStyle name="%_NRA_model_for_NEMO2 (EMC Update) v0.22_NRA_model_for_NEMO2 (EMC Update) v0.25_NRA_model_for_NEMO2 (EMC Update) v0.26_NRA_model_for_NEMO2 (EMC Update) v0.29.2_NRA_model_for_NEMO2 (EMC Update) v0 30 1" xfId="1522" xr:uid="{00000000-0005-0000-0000-00009C050000}"/>
    <cellStyle name="%_NRA_model_for_NEMO2 (EMC Update) v0.22_NRA_model_for_NEMO2 (EMC Update) v0.25_NRA_model_for_NEMO2 (EMC Update) v0.26_NRA_model_for_NEMO2 (EMC Update) v0.29.2_NRA_model_for_NEMO2 (EMC Update) v0.29.3" xfId="1523" xr:uid="{00000000-0005-0000-0000-00009D050000}"/>
    <cellStyle name="%_NRA_model_for_NEMO2 (EMC Update) v0.22_NRA_model_for_NEMO2 (EMC Update) v0.25_NRA_model_for_NEMO2 (EMC Update) v0.26_NRA_model_for_NEMO2 (EMC Update) v0.29.2_NRA_model_for_NEMO2 (EMC Update) v0.29.3_NRA_model_for_NEMO2 (EMC Update) v0 30 1" xfId="1524" xr:uid="{00000000-0005-0000-0000-00009E050000}"/>
    <cellStyle name="%_NRA_model_for_NEMO2 (EMC Update) v0.22_NRA_model_for_NEMO2 (EMC Update) v0.25_NRA_model_for_NEMO2 (EMC Update) v0.26_NRA_model_for_NEMO2 (EMC Update) v0.29.2_NRA_model_for_NEMO2 (EMC Update) v0.29.3_NRA_model_for_NEMO2 (EMC Update) v0.29.5" xfId="1525" xr:uid="{00000000-0005-0000-0000-00009F050000}"/>
    <cellStyle name="%_NRA_model_for_NEMO2 (EMC Update) v0.22_NRA_model_for_NEMO2 (EMC Update) v0.25_NRA_model_for_NEMO2 (EMC Update) v0.26_NRA_model_for_NEMO2 (EMC Update) v0.29.2_NRA_model_for_NEMO2 (EMC Update) v0.29.4" xfId="1526" xr:uid="{00000000-0005-0000-0000-0000A0050000}"/>
    <cellStyle name="%_NRA_model_for_NEMO2 (EMC Update) v0.22_NRA_model_for_NEMO2 (EMC Update) v0.25_NRA_model_for_NEMO2 (EMC Update) v0.26_NRA_model_for_NEMO2 (EMC Update) v0.29.2_NRA_model_for_NEMO2 (EMC Update) v0.29.4_NRA_model_for_NEMO2 (EMC Update) v0 30 1" xfId="1527" xr:uid="{00000000-0005-0000-0000-0000A1050000}"/>
    <cellStyle name="%_NRA_model_for_NEMO2 (EMC Update) v0.22_NRA_model_for_NEMO2 (EMC Update) v0.25_NRA_model_for_NEMO2 (EMC Update) v0.26_NRA_model_for_NEMO2 (EMC Update) v0.29.2_NRA_model_for_NEMO2 (EMC Update) v0.29.4_NRA_model_for_NEMO2 (EMC Update) v0.29.5" xfId="1528" xr:uid="{00000000-0005-0000-0000-0000A2050000}"/>
    <cellStyle name="%_NRA_model_for_NEMO2 (EMC Update) v0.22_NRA_model_for_NEMO2 (EMC Update) v0.25_NRA_model_for_NEMO2 (EMC Update) v0.26_NRA_model_for_NEMO2 (EMC Update) v0.29.2_NRA_model_for_NEMO2 (EMC Update) v0.29.5" xfId="1529" xr:uid="{00000000-0005-0000-0000-0000A3050000}"/>
    <cellStyle name="%_NRA_model_for_NEMO2 (EMC Update) v0.22_NRA_model_for_NEMO2 (EMC Update) v0.25_NRA_model_for_NEMO2 (EMC Update) v0.26_NRA_model_for_NEMO2 (EMC Update) v0.29.2_NRA_model_for_NEMO2 (EMC Update) v0.29.5_NRA_model_for_NEMO2 (EMC Update) v0 30 1" xfId="1530" xr:uid="{00000000-0005-0000-0000-0000A4050000}"/>
    <cellStyle name="%_NRA_model_for_NEMO2 (EMC Update) v0.22_NRA_model_for_NEMO2 (EMC Update) v0.25_NRA_model_for_NEMO2 (EMC Update) v0.26_NRA_model_for_NEMO2 (EMC Update) v0.29.3" xfId="1531" xr:uid="{00000000-0005-0000-0000-0000A5050000}"/>
    <cellStyle name="%_NRA_model_for_NEMO2 (EMC Update) v0.22_NRA_model_for_NEMO2 (EMC Update) v0.25_NRA_model_for_NEMO2 (EMC Update) v0.26_NRA_model_for_NEMO2 (EMC Update) v0.29.3_NRA_model_for_NEMO2 (EMC Update) v0 30 1" xfId="1532" xr:uid="{00000000-0005-0000-0000-0000A6050000}"/>
    <cellStyle name="%_NRA_model_for_NEMO2 (EMC Update) v0.22_NRA_model_for_NEMO2 (EMC Update) v0.25_NRA_model_for_NEMO2 (EMC Update) v0.26_NRA_model_for_NEMO2 (EMC Update) v0.29.3_NRA_model_for_NEMO2 (EMC Update) v0.29.5" xfId="1533" xr:uid="{00000000-0005-0000-0000-0000A7050000}"/>
    <cellStyle name="%_NRA_model_for_NEMO2 (EMC Update) v0.22_NRA_model_for_NEMO2 (EMC Update) v0.25_NRA_model_for_NEMO2 (EMC Update) v0.26_NRA_model_for_NEMO2 (EMC Update) v0.29.3_NRA_model_for_NEMO2 (EMC Update) v0.29.5_NRA_model_for_NEMO2 (EMC Update) v0 30 1" xfId="1534" xr:uid="{00000000-0005-0000-0000-0000A8050000}"/>
    <cellStyle name="%_NRA_model_for_NEMO2 (EMC Update) v0.22_NRA_model_for_NEMO2 (EMC Update) v0.25_NRA_model_for_NEMO2 (EMC Update) v0.26_NRA_model_for_NEMO2 (EMC Update) v0.29.4" xfId="1535" xr:uid="{00000000-0005-0000-0000-0000A9050000}"/>
    <cellStyle name="%_NRA_model_for_NEMO2 (EMC Update) v0.22_NRA_model_for_NEMO2 (EMC Update) v0.25_NRA_model_for_NEMO2 (EMC Update) v0.26_NRA_model_for_NEMO2 (EMC Update) v0.29.4_NRA_model_for_NEMO2 (EMC Update) v0 30 1" xfId="1536" xr:uid="{00000000-0005-0000-0000-0000AA050000}"/>
    <cellStyle name="%_NRA_model_for_NEMO2 (EMC Update) v0.22_NRA_model_for_NEMO2 (EMC Update) v0.25_NRA_model_for_NEMO2 (EMC Update) v0.26_NRA_model_for_NEMO2 (EMC Update) v0.29.4_NRA_model_for_NEMO2 (EMC Update) v0.29.5" xfId="1537" xr:uid="{00000000-0005-0000-0000-0000AB050000}"/>
    <cellStyle name="%_NRA_model_for_NEMO2 (EMC Update) v0.22_NRA_model_for_NEMO2 (EMC Update) v0.25_NRA_model_for_NEMO2 (EMC Update) v0.26_NRA_model_for_NEMO2 (EMC Update) v0.29.4_NRA_model_for_NEMO2 (EMC Update) v0.29.5_NRA_model_for_NEMO2 (EMC Update) v0 30 1" xfId="1538" xr:uid="{00000000-0005-0000-0000-0000AC050000}"/>
    <cellStyle name="%_NRA_model_for_NEMO2 (EMC Update) v0.22_NRA_model_for_NEMO2 (EMC Update) v0.25_NRA_model_for_NEMO2 (EMC Update) v0.26_NRA_model_for_NEMO2 (EMC Update) v0.29.5" xfId="1539" xr:uid="{00000000-0005-0000-0000-0000AD050000}"/>
    <cellStyle name="%_NRA_model_for_NEMO2 (EMC Update) v0.22_NRA_model_for_NEMO2 (EMC Update) v0.25_NRA_model_for_NEMO2 (EMC Update) v0.26_NRA_model_for_NEMO2 (EMC Update) v0.29.5_NRA_model_for_NEMO2 (EMC Update) v0 30 1" xfId="1540" xr:uid="{00000000-0005-0000-0000-0000AE050000}"/>
    <cellStyle name="%_NRA_model_for_NEMO2 (EMC Update) v0.22_NRA_model_for_NEMO2 (EMC Update) v0.25_NRA_model_for_NEMO2 (EMC Update) v0.26_NRA_model_for_NEMO2 (EMC Update) v0.29_NRA_model_for_NEMO2 (EMC Update) v0 30 1" xfId="1541" xr:uid="{00000000-0005-0000-0000-0000AF050000}"/>
    <cellStyle name="%_NRA_model_for_NEMO2 (EMC Update) v0.22_NRA_model_for_NEMO2 (EMC Update) v0.25_NRA_model_for_NEMO2 (EMC Update) v0.26_NRA_model_for_NEMO2 (EMC Update) v0.29_NRA_model_for_NEMO2 (EMC Update) v0.29.2" xfId="1542" xr:uid="{00000000-0005-0000-0000-0000B0050000}"/>
    <cellStyle name="%_NRA_model_for_NEMO2 (EMC Update) v0.22_NRA_model_for_NEMO2 (EMC Update) v0.25_NRA_model_for_NEMO2 (EMC Update) v0.26_NRA_model_for_NEMO2 (EMC Update) v0.29_NRA_model_for_NEMO2 (EMC Update) v0.29.2_NRA_model_for_NEMO2 (EMC Update) v0 30 1" xfId="1543" xr:uid="{00000000-0005-0000-0000-0000B1050000}"/>
    <cellStyle name="%_NRA_model_for_NEMO2 (EMC Update) v0.22_NRA_model_for_NEMO2 (EMC Update) v0.25_NRA_model_for_NEMO2 (EMC Update) v0.26_NRA_model_for_NEMO2 (EMC Update) v0.29_NRA_model_for_NEMO2 (EMC Update) v0.29.2_NRA_model_for_NEMO2 (EMC Update) v0.29.3" xfId="1544" xr:uid="{00000000-0005-0000-0000-0000B2050000}"/>
    <cellStyle name="%_NRA_model_for_NEMO2 (EMC Update) v0.22_NRA_model_for_NEMO2 (EMC Update) v0.25_NRA_model_for_NEMO2 (EMC Update) v0.26_NRA_model_for_NEMO2 (EMC Update) v0.29_NRA_model_for_NEMO2 (EMC Update) v0.29.2_NRA_model_for_NEMO2 (EMC Update) v0.29.4" xfId="1545" xr:uid="{00000000-0005-0000-0000-0000B3050000}"/>
    <cellStyle name="%_NRA_model_for_NEMO2 (EMC Update) v0.22_NRA_model_for_NEMO2 (EMC Update) v0.25_NRA_model_for_NEMO2 (EMC Update) v0.26_NRA_model_for_NEMO2 (EMC Update) v0.29_NRA_model_for_NEMO2 (EMC Update) v0.29.2_NRA_model_for_NEMO2 (EMC Update) v0.29.5" xfId="1546" xr:uid="{00000000-0005-0000-0000-0000B4050000}"/>
    <cellStyle name="%_NRA_model_for_NEMO2 (EMC Update) v0.22_NRA_model_for_NEMO2 (EMC Update) v0.25_NRA_model_for_NEMO2 (EMC Update) v0.26_NRA_model_for_NEMO2 (EMC Update) v0.29_NRA_model_for_NEMO2 (EMC Update) v0.29.3" xfId="1547" xr:uid="{00000000-0005-0000-0000-0000B5050000}"/>
    <cellStyle name="%_NRA_model_for_NEMO2 (EMC Update) v0.22_NRA_model_for_NEMO2 (EMC Update) v0.25_NRA_model_for_NEMO2 (EMC Update) v0.26_NRA_model_for_NEMO2 (EMC Update) v0.29_NRA_model_for_NEMO2 (EMC Update) v0.29.3_NRA_model_for_NEMO2 (EMC Update) v0 30 1" xfId="1548" xr:uid="{00000000-0005-0000-0000-0000B6050000}"/>
    <cellStyle name="%_NRA_model_for_NEMO2 (EMC Update) v0.22_NRA_model_for_NEMO2 (EMC Update) v0.25_NRA_model_for_NEMO2 (EMC Update) v0.26_NRA_model_for_NEMO2 (EMC Update) v0.29_NRA_model_for_NEMO2 (EMC Update) v0.29.3_NRA_model_for_NEMO2 (EMC Update) v0.29.5" xfId="1549" xr:uid="{00000000-0005-0000-0000-0000B7050000}"/>
    <cellStyle name="%_NRA_model_for_NEMO2 (EMC Update) v0.22_NRA_model_for_NEMO2 (EMC Update) v0.25_NRA_model_for_NEMO2 (EMC Update) v0.26_NRA_model_for_NEMO2 (EMC Update) v0.29_NRA_model_for_NEMO2 (EMC Update) v0.29.4" xfId="1550" xr:uid="{00000000-0005-0000-0000-0000B8050000}"/>
    <cellStyle name="%_NRA_model_for_NEMO2 (EMC Update) v0.22_NRA_model_for_NEMO2 (EMC Update) v0.25_NRA_model_for_NEMO2 (EMC Update) v0.26_NRA_model_for_NEMO2 (EMC Update) v0.29_NRA_model_for_NEMO2 (EMC Update) v0.29.4_NRA_model_for_NEMO2 (EMC Update) v0 30 1" xfId="1551" xr:uid="{00000000-0005-0000-0000-0000B9050000}"/>
    <cellStyle name="%_NRA_model_for_NEMO2 (EMC Update) v0.22_NRA_model_for_NEMO2 (EMC Update) v0.25_NRA_model_for_NEMO2 (EMC Update) v0.26_NRA_model_for_NEMO2 (EMC Update) v0.29_NRA_model_for_NEMO2 (EMC Update) v0.29.4_NRA_model_for_NEMO2 (EMC Update) v0.29.5" xfId="1552" xr:uid="{00000000-0005-0000-0000-0000BA050000}"/>
    <cellStyle name="%_NRA_model_for_NEMO2 (EMC Update) v0.22_NRA_model_for_NEMO2 (EMC Update) v0.25_NRA_model_for_NEMO2 (EMC Update) v0.26_NRA_model_for_NEMO2 (EMC Update) v0.29_NRA_model_for_NEMO2 (EMC Update) v0.29.5" xfId="1553" xr:uid="{00000000-0005-0000-0000-0000BB050000}"/>
    <cellStyle name="%_NRA_model_for_NEMO2 (EMC Update) v0.22_NRA_model_for_NEMO2 (EMC Update) v0.25_NRA_model_for_NEMO2 (EMC Update) v0.26_NRA_model_for_NEMO2 (EMC Update) v0.29_NRA_model_for_NEMO2 (EMC Update) v0.29.5_NRA_model_for_NEMO2 (EMC Update) v0 30 1" xfId="1554" xr:uid="{00000000-0005-0000-0000-0000BC050000}"/>
    <cellStyle name="%_NRA_model_for_NEMO2 (EMC Update) v0.22_NRA_model_for_NEMO2 (EMC Update) v0.25_NRA_model_for_NEMO2 (EMC Update) v0.29" xfId="1555" xr:uid="{00000000-0005-0000-0000-0000BD050000}"/>
    <cellStyle name="%_NRA_model_for_NEMO2 (EMC Update) v0.22_NRA_model_for_NEMO2 (EMC Update) v0.25_NRA_model_for_NEMO2 (EMC Update) v0.29.2" xfId="1556" xr:uid="{00000000-0005-0000-0000-0000BE050000}"/>
    <cellStyle name="%_NRA_model_for_NEMO2 (EMC Update) v0.22_NRA_model_for_NEMO2 (EMC Update) v0.25_NRA_model_for_NEMO2 (EMC Update) v0.29.2_NRA_model_for_NEMO2 (EMC Update) v0 30 1" xfId="1557" xr:uid="{00000000-0005-0000-0000-0000BF050000}"/>
    <cellStyle name="%_NRA_model_for_NEMO2 (EMC Update) v0.22_NRA_model_for_NEMO2 (EMC Update) v0.25_NRA_model_for_NEMO2 (EMC Update) v0.29.2_NRA_model_for_NEMO2 (EMC Update) v0.29.3" xfId="1558" xr:uid="{00000000-0005-0000-0000-0000C0050000}"/>
    <cellStyle name="%_NRA_model_for_NEMO2 (EMC Update) v0.22_NRA_model_for_NEMO2 (EMC Update) v0.25_NRA_model_for_NEMO2 (EMC Update) v0.29.2_NRA_model_for_NEMO2 (EMC Update) v0.29.3_NRA_model_for_NEMO2 (EMC Update) v0 30 1" xfId="1559" xr:uid="{00000000-0005-0000-0000-0000C1050000}"/>
    <cellStyle name="%_NRA_model_for_NEMO2 (EMC Update) v0.22_NRA_model_for_NEMO2 (EMC Update) v0.25_NRA_model_for_NEMO2 (EMC Update) v0.29.2_NRA_model_for_NEMO2 (EMC Update) v0.29.3_NRA_model_for_NEMO2 (EMC Update) v0.29.5" xfId="1560" xr:uid="{00000000-0005-0000-0000-0000C2050000}"/>
    <cellStyle name="%_NRA_model_for_NEMO2 (EMC Update) v0.22_NRA_model_for_NEMO2 (EMC Update) v0.25_NRA_model_for_NEMO2 (EMC Update) v0.29.2_NRA_model_for_NEMO2 (EMC Update) v0.29.3_NRA_model_for_NEMO2 (EMC Update) v0.29.5_NRA_model_for_NEMO2 (EMC Update) v0 30 1" xfId="1561" xr:uid="{00000000-0005-0000-0000-0000C3050000}"/>
    <cellStyle name="%_NRA_model_for_NEMO2 (EMC Update) v0.22_NRA_model_for_NEMO2 (EMC Update) v0.25_NRA_model_for_NEMO2 (EMC Update) v0.29.2_NRA_model_for_NEMO2 (EMC Update) v0.29.4" xfId="1562" xr:uid="{00000000-0005-0000-0000-0000C4050000}"/>
    <cellStyle name="%_NRA_model_for_NEMO2 (EMC Update) v0.22_NRA_model_for_NEMO2 (EMC Update) v0.25_NRA_model_for_NEMO2 (EMC Update) v0.29.2_NRA_model_for_NEMO2 (EMC Update) v0.29.4_NRA_model_for_NEMO2 (EMC Update) v0 30 1" xfId="1563" xr:uid="{00000000-0005-0000-0000-0000C5050000}"/>
    <cellStyle name="%_NRA_model_for_NEMO2 (EMC Update) v0.22_NRA_model_for_NEMO2 (EMC Update) v0.25_NRA_model_for_NEMO2 (EMC Update) v0.29.2_NRA_model_for_NEMO2 (EMC Update) v0.29.4_NRA_model_for_NEMO2 (EMC Update) v0.29.5" xfId="1564" xr:uid="{00000000-0005-0000-0000-0000C6050000}"/>
    <cellStyle name="%_NRA_model_for_NEMO2 (EMC Update) v0.22_NRA_model_for_NEMO2 (EMC Update) v0.25_NRA_model_for_NEMO2 (EMC Update) v0.29.2_NRA_model_for_NEMO2 (EMC Update) v0.29.4_NRA_model_for_NEMO2 (EMC Update) v0.29.5_NRA_model_for_NEMO2 (EMC Update) v0 30 1" xfId="1565" xr:uid="{00000000-0005-0000-0000-0000C7050000}"/>
    <cellStyle name="%_NRA_model_for_NEMO2 (EMC Update) v0.22_NRA_model_for_NEMO2 (EMC Update) v0.25_NRA_model_for_NEMO2 (EMC Update) v0.29.2_NRA_model_for_NEMO2 (EMC Update) v0.29.5" xfId="1566" xr:uid="{00000000-0005-0000-0000-0000C8050000}"/>
    <cellStyle name="%_NRA_model_for_NEMO2 (EMC Update) v0.22_NRA_model_for_NEMO2 (EMC Update) v0.25_NRA_model_for_NEMO2 (EMC Update) v0.29.2_NRA_model_for_NEMO2 (EMC Update) v0.29.5_NRA_model_for_NEMO2 (EMC Update) v0 30 1" xfId="1567" xr:uid="{00000000-0005-0000-0000-0000C9050000}"/>
    <cellStyle name="%_NRA_model_for_NEMO2 (EMC Update) v0.22_NRA_model_for_NEMO2 (EMC Update) v0.25_NRA_model_for_NEMO2 (EMC Update) v0.29.3" xfId="1568" xr:uid="{00000000-0005-0000-0000-0000CA050000}"/>
    <cellStyle name="%_NRA_model_for_NEMO2 (EMC Update) v0.22_NRA_model_for_NEMO2 (EMC Update) v0.25_NRA_model_for_NEMO2 (EMC Update) v0.29.3_NRA_model_for_NEMO2 (EMC Update) v0 30 1" xfId="1569" xr:uid="{00000000-0005-0000-0000-0000CB050000}"/>
    <cellStyle name="%_NRA_model_for_NEMO2 (EMC Update) v0.22_NRA_model_for_NEMO2 (EMC Update) v0.25_NRA_model_for_NEMO2 (EMC Update) v0.29.3_NRA_model_for_NEMO2 (EMC Update) v0.29.5" xfId="1570" xr:uid="{00000000-0005-0000-0000-0000CC050000}"/>
    <cellStyle name="%_NRA_model_for_NEMO2 (EMC Update) v0.22_NRA_model_for_NEMO2 (EMC Update) v0.25_NRA_model_for_NEMO2 (EMC Update) v0.29.3_NRA_model_for_NEMO2 (EMC Update) v0.29.5_NRA_model_for_NEMO2 (EMC Update) v0 30 1" xfId="1571" xr:uid="{00000000-0005-0000-0000-0000CD050000}"/>
    <cellStyle name="%_NRA_model_for_NEMO2 (EMC Update) v0.22_NRA_model_for_NEMO2 (EMC Update) v0.25_NRA_model_for_NEMO2 (EMC Update) v0.29.4" xfId="1572" xr:uid="{00000000-0005-0000-0000-0000CE050000}"/>
    <cellStyle name="%_NRA_model_for_NEMO2 (EMC Update) v0.22_NRA_model_for_NEMO2 (EMC Update) v0.25_NRA_model_for_NEMO2 (EMC Update) v0.29.4_NRA_model_for_NEMO2 (EMC Update) v0 30 1" xfId="1573" xr:uid="{00000000-0005-0000-0000-0000CF050000}"/>
    <cellStyle name="%_NRA_model_for_NEMO2 (EMC Update) v0.22_NRA_model_for_NEMO2 (EMC Update) v0.25_NRA_model_for_NEMO2 (EMC Update) v0.29.4_NRA_model_for_NEMO2 (EMC Update) v0.29.5" xfId="1574" xr:uid="{00000000-0005-0000-0000-0000D0050000}"/>
    <cellStyle name="%_NRA_model_for_NEMO2 (EMC Update) v0.22_NRA_model_for_NEMO2 (EMC Update) v0.25_NRA_model_for_NEMO2 (EMC Update) v0.29.4_NRA_model_for_NEMO2 (EMC Update) v0.29.5_NRA_model_for_NEMO2 (EMC Update) v0 30 1" xfId="1575" xr:uid="{00000000-0005-0000-0000-0000D1050000}"/>
    <cellStyle name="%_NRA_model_for_NEMO2 (EMC Update) v0.22_NRA_model_for_NEMO2 (EMC Update) v0.25_NRA_model_for_NEMO2 (EMC Update) v0.29.5" xfId="1576" xr:uid="{00000000-0005-0000-0000-0000D2050000}"/>
    <cellStyle name="%_NRA_model_for_NEMO2 (EMC Update) v0.22_NRA_model_for_NEMO2 (EMC Update) v0.25_NRA_model_for_NEMO2 (EMC Update) v0.29.5_NRA_model_for_NEMO2 (EMC Update) v0 30 1" xfId="1577" xr:uid="{00000000-0005-0000-0000-0000D3050000}"/>
    <cellStyle name="%_NRA_model_for_NEMO2 (EMC Update) v0.22_NRA_model_for_NEMO2 (EMC Update) v0.25_NRA_model_for_NEMO2 (EMC Update) v0.29_NRA_model_for_NEMO2 (EMC Update) v0 30 1" xfId="1578" xr:uid="{00000000-0005-0000-0000-0000D4050000}"/>
    <cellStyle name="%_NRA_model_for_NEMO2 (EMC Update) v0.22_NRA_model_for_NEMO2 (EMC Update) v0.25_NRA_model_for_NEMO2 (EMC Update) v0.29_NRA_model_for_NEMO2 (EMC Update) v0.29.2" xfId="1579" xr:uid="{00000000-0005-0000-0000-0000D5050000}"/>
    <cellStyle name="%_NRA_model_for_NEMO2 (EMC Update) v0.22_NRA_model_for_NEMO2 (EMC Update) v0.25_NRA_model_for_NEMO2 (EMC Update) v0.29_NRA_model_for_NEMO2 (EMC Update) v0.29.2_NRA_model_for_NEMO2 (EMC Update) v0 30 1" xfId="1580" xr:uid="{00000000-0005-0000-0000-0000D6050000}"/>
    <cellStyle name="%_NRA_model_for_NEMO2 (EMC Update) v0.22_NRA_model_for_NEMO2 (EMC Update) v0.25_NRA_model_for_NEMO2 (EMC Update) v0.29_NRA_model_for_NEMO2 (EMC Update) v0.29.2_NRA_model_for_NEMO2 (EMC Update) v0.29.3" xfId="1581" xr:uid="{00000000-0005-0000-0000-0000D7050000}"/>
    <cellStyle name="%_NRA_model_for_NEMO2 (EMC Update) v0.22_NRA_model_for_NEMO2 (EMC Update) v0.25_NRA_model_for_NEMO2 (EMC Update) v0.29_NRA_model_for_NEMO2 (EMC Update) v0.29.2_NRA_model_for_NEMO2 (EMC Update) v0.29.3_NRA_model_for_NEMO2 (EMC Update) v0 30 1" xfId="1582" xr:uid="{00000000-0005-0000-0000-0000D8050000}"/>
    <cellStyle name="%_NRA_model_for_NEMO2 (EMC Update) v0.22_NRA_model_for_NEMO2 (EMC Update) v0.25_NRA_model_for_NEMO2 (EMC Update) v0.29_NRA_model_for_NEMO2 (EMC Update) v0.29.2_NRA_model_for_NEMO2 (EMC Update) v0.29.3_NRA_model_for_NEMO2 (EMC Update) v0.29.5" xfId="1583" xr:uid="{00000000-0005-0000-0000-0000D9050000}"/>
    <cellStyle name="%_NRA_model_for_NEMO2 (EMC Update) v0.22_NRA_model_for_NEMO2 (EMC Update) v0.25_NRA_model_for_NEMO2 (EMC Update) v0.29_NRA_model_for_NEMO2 (EMC Update) v0.29.2_NRA_model_for_NEMO2 (EMC Update) v0.29.4" xfId="1584" xr:uid="{00000000-0005-0000-0000-0000DA050000}"/>
    <cellStyle name="%_NRA_model_for_NEMO2 (EMC Update) v0.22_NRA_model_for_NEMO2 (EMC Update) v0.25_NRA_model_for_NEMO2 (EMC Update) v0.29_NRA_model_for_NEMO2 (EMC Update) v0.29.2_NRA_model_for_NEMO2 (EMC Update) v0.29.4_NRA_model_for_NEMO2 (EMC Update) v0 30 1" xfId="1585" xr:uid="{00000000-0005-0000-0000-0000DB050000}"/>
    <cellStyle name="%_NRA_model_for_NEMO2 (EMC Update) v0.22_NRA_model_for_NEMO2 (EMC Update) v0.25_NRA_model_for_NEMO2 (EMC Update) v0.29_NRA_model_for_NEMO2 (EMC Update) v0.29.2_NRA_model_for_NEMO2 (EMC Update) v0.29.4_NRA_model_for_NEMO2 (EMC Update) v0.29.5" xfId="1586" xr:uid="{00000000-0005-0000-0000-0000DC050000}"/>
    <cellStyle name="%_NRA_model_for_NEMO2 (EMC Update) v0.22_NRA_model_for_NEMO2 (EMC Update) v0.25_NRA_model_for_NEMO2 (EMC Update) v0.29_NRA_model_for_NEMO2 (EMC Update) v0.29.2_NRA_model_for_NEMO2 (EMC Update) v0.29.5" xfId="1587" xr:uid="{00000000-0005-0000-0000-0000DD050000}"/>
    <cellStyle name="%_NRA_model_for_NEMO2 (EMC Update) v0.22_NRA_model_for_NEMO2 (EMC Update) v0.25_NRA_model_for_NEMO2 (EMC Update) v0.29_NRA_model_for_NEMO2 (EMC Update) v0.29.2_NRA_model_for_NEMO2 (EMC Update) v0.29.5_NRA_model_for_NEMO2 (EMC Update) v0 30 1" xfId="1588" xr:uid="{00000000-0005-0000-0000-0000DE050000}"/>
    <cellStyle name="%_NRA_model_for_NEMO2 (EMC Update) v0.22_NRA_model_for_NEMO2 (EMC Update) v0.25_NRA_model_for_NEMO2 (EMC Update) v0.29_NRA_model_for_NEMO2 (EMC Update) v0.29.3" xfId="1589" xr:uid="{00000000-0005-0000-0000-0000DF050000}"/>
    <cellStyle name="%_NRA_model_for_NEMO2 (EMC Update) v0.22_NRA_model_for_NEMO2 (EMC Update) v0.25_NRA_model_for_NEMO2 (EMC Update) v0.29_NRA_model_for_NEMO2 (EMC Update) v0.29.3_NRA_model_for_NEMO2 (EMC Update) v0 30 1" xfId="1590" xr:uid="{00000000-0005-0000-0000-0000E0050000}"/>
    <cellStyle name="%_NRA_model_for_NEMO2 (EMC Update) v0.22_NRA_model_for_NEMO2 (EMC Update) v0.25_NRA_model_for_NEMO2 (EMC Update) v0.29_NRA_model_for_NEMO2 (EMC Update) v0.29.3_NRA_model_for_NEMO2 (EMC Update) v0.29.5" xfId="1591" xr:uid="{00000000-0005-0000-0000-0000E1050000}"/>
    <cellStyle name="%_NRA_model_for_NEMO2 (EMC Update) v0.22_NRA_model_for_NEMO2 (EMC Update) v0.25_NRA_model_for_NEMO2 (EMC Update) v0.29_NRA_model_for_NEMO2 (EMC Update) v0.29.3_NRA_model_for_NEMO2 (EMC Update) v0.29.5_NRA_model_for_NEMO2 (EMC Update) v0 30 1" xfId="1592" xr:uid="{00000000-0005-0000-0000-0000E2050000}"/>
    <cellStyle name="%_NRA_model_for_NEMO2 (EMC Update) v0.22_NRA_model_for_NEMO2 (EMC Update) v0.25_NRA_model_for_NEMO2 (EMC Update) v0.29_NRA_model_for_NEMO2 (EMC Update) v0.29.4" xfId="1593" xr:uid="{00000000-0005-0000-0000-0000E3050000}"/>
    <cellStyle name="%_NRA_model_for_NEMO2 (EMC Update) v0.22_NRA_model_for_NEMO2 (EMC Update) v0.25_NRA_model_for_NEMO2 (EMC Update) v0.29_NRA_model_for_NEMO2 (EMC Update) v0.29.4_NRA_model_for_NEMO2 (EMC Update) v0 30 1" xfId="1594" xr:uid="{00000000-0005-0000-0000-0000E4050000}"/>
    <cellStyle name="%_NRA_model_for_NEMO2 (EMC Update) v0.22_NRA_model_for_NEMO2 (EMC Update) v0.25_NRA_model_for_NEMO2 (EMC Update) v0.29_NRA_model_for_NEMO2 (EMC Update) v0.29.4_NRA_model_for_NEMO2 (EMC Update) v0.29.5" xfId="1595" xr:uid="{00000000-0005-0000-0000-0000E5050000}"/>
    <cellStyle name="%_NRA_model_for_NEMO2 (EMC Update) v0.22_NRA_model_for_NEMO2 (EMC Update) v0.25_NRA_model_for_NEMO2 (EMC Update) v0.29_NRA_model_for_NEMO2 (EMC Update) v0.29.4_NRA_model_for_NEMO2 (EMC Update) v0.29.5_NRA_model_for_NEMO2 (EMC Update) v0 30 1" xfId="1596" xr:uid="{00000000-0005-0000-0000-0000E6050000}"/>
    <cellStyle name="%_NRA_model_for_NEMO2 (EMC Update) v0.22_NRA_model_for_NEMO2 (EMC Update) v0.25_NRA_model_for_NEMO2 (EMC Update) v0.29_NRA_model_for_NEMO2 (EMC Update) v0.29.5" xfId="1597" xr:uid="{00000000-0005-0000-0000-0000E7050000}"/>
    <cellStyle name="%_NRA_model_for_NEMO2 (EMC Update) v0.22_NRA_model_for_NEMO2 (EMC Update) v0.25_NRA_model_for_NEMO2 (EMC Update) v0.29_NRA_model_for_NEMO2 (EMC Update) v0.29.5_NRA_model_for_NEMO2 (EMC Update) v0 30 1" xfId="1598" xr:uid="{00000000-0005-0000-0000-0000E8050000}"/>
    <cellStyle name="%_NRA_model_for_NEMO2 (EMC Update) v0.22_NRA_model_for_NEMO2 (EMC Update) v0.26" xfId="1599" xr:uid="{00000000-0005-0000-0000-0000E9050000}"/>
    <cellStyle name="%_NRA_model_for_NEMO2 (EMC Update) v0.22_NRA_model_for_NEMO2 (EMC Update) v0.26_NRA_model_for_NEMO2 (EMC Update) v0 30 1" xfId="1600" xr:uid="{00000000-0005-0000-0000-0000EA050000}"/>
    <cellStyle name="%_NRA_model_for_NEMO2 (EMC Update) v0.22_NRA_model_for_NEMO2 (EMC Update) v0.26_NRA_model_for_NEMO2 (EMC Update) v0.29" xfId="1601" xr:uid="{00000000-0005-0000-0000-0000EB050000}"/>
    <cellStyle name="%_NRA_model_for_NEMO2 (EMC Update) v0.22_NRA_model_for_NEMO2 (EMC Update) v0.26_NRA_model_for_NEMO2 (EMC Update) v0.29.2" xfId="1602" xr:uid="{00000000-0005-0000-0000-0000EC050000}"/>
    <cellStyle name="%_NRA_model_for_NEMO2 (EMC Update) v0.22_NRA_model_for_NEMO2 (EMC Update) v0.26_NRA_model_for_NEMO2 (EMC Update) v0.29.2_NRA_model_for_NEMO2 (EMC Update) v0 30 1" xfId="1603" xr:uid="{00000000-0005-0000-0000-0000ED050000}"/>
    <cellStyle name="%_NRA_model_for_NEMO2 (EMC Update) v0.22_NRA_model_for_NEMO2 (EMC Update) v0.26_NRA_model_for_NEMO2 (EMC Update) v0.29.2_NRA_model_for_NEMO2 (EMC Update) v0.29.3" xfId="1604" xr:uid="{00000000-0005-0000-0000-0000EE050000}"/>
    <cellStyle name="%_NRA_model_for_NEMO2 (EMC Update) v0.22_NRA_model_for_NEMO2 (EMC Update) v0.26_NRA_model_for_NEMO2 (EMC Update) v0.29.2_NRA_model_for_NEMO2 (EMC Update) v0.29.3_NRA_model_for_NEMO2 (EMC Update) v0 30 1" xfId="1605" xr:uid="{00000000-0005-0000-0000-0000EF050000}"/>
    <cellStyle name="%_NRA_model_for_NEMO2 (EMC Update) v0.22_NRA_model_for_NEMO2 (EMC Update) v0.26_NRA_model_for_NEMO2 (EMC Update) v0.29.2_NRA_model_for_NEMO2 (EMC Update) v0.29.3_NRA_model_for_NEMO2 (EMC Update) v0.29.5" xfId="1606" xr:uid="{00000000-0005-0000-0000-0000F0050000}"/>
    <cellStyle name="%_NRA_model_for_NEMO2 (EMC Update) v0.22_NRA_model_for_NEMO2 (EMC Update) v0.26_NRA_model_for_NEMO2 (EMC Update) v0.29.2_NRA_model_for_NEMO2 (EMC Update) v0.29.3_NRA_model_for_NEMO2 (EMC Update) v0.29.5_NRA_model_for_NEMO2 (EMC Update) v0 30 1" xfId="1607" xr:uid="{00000000-0005-0000-0000-0000F1050000}"/>
    <cellStyle name="%_NRA_model_for_NEMO2 (EMC Update) v0.22_NRA_model_for_NEMO2 (EMC Update) v0.26_NRA_model_for_NEMO2 (EMC Update) v0.29.2_NRA_model_for_NEMO2 (EMC Update) v0.29.4" xfId="1608" xr:uid="{00000000-0005-0000-0000-0000F2050000}"/>
    <cellStyle name="%_NRA_model_for_NEMO2 (EMC Update) v0.22_NRA_model_for_NEMO2 (EMC Update) v0.26_NRA_model_for_NEMO2 (EMC Update) v0.29.2_NRA_model_for_NEMO2 (EMC Update) v0.29.4_NRA_model_for_NEMO2 (EMC Update) v0 30 1" xfId="1609" xr:uid="{00000000-0005-0000-0000-0000F3050000}"/>
    <cellStyle name="%_NRA_model_for_NEMO2 (EMC Update) v0.22_NRA_model_for_NEMO2 (EMC Update) v0.26_NRA_model_for_NEMO2 (EMC Update) v0.29.2_NRA_model_for_NEMO2 (EMC Update) v0.29.4_NRA_model_for_NEMO2 (EMC Update) v0.29.5" xfId="1610" xr:uid="{00000000-0005-0000-0000-0000F4050000}"/>
    <cellStyle name="%_NRA_model_for_NEMO2 (EMC Update) v0.22_NRA_model_for_NEMO2 (EMC Update) v0.26_NRA_model_for_NEMO2 (EMC Update) v0.29.2_NRA_model_for_NEMO2 (EMC Update) v0.29.4_NRA_model_for_NEMO2 (EMC Update) v0.29.5_NRA_model_for_NEMO2 (EMC Update) v0 30 1" xfId="1611" xr:uid="{00000000-0005-0000-0000-0000F5050000}"/>
    <cellStyle name="%_NRA_model_for_NEMO2 (EMC Update) v0.22_NRA_model_for_NEMO2 (EMC Update) v0.26_NRA_model_for_NEMO2 (EMC Update) v0.29.2_NRA_model_for_NEMO2 (EMC Update) v0.29.5" xfId="1612" xr:uid="{00000000-0005-0000-0000-0000F6050000}"/>
    <cellStyle name="%_NRA_model_for_NEMO2 (EMC Update) v0.22_NRA_model_for_NEMO2 (EMC Update) v0.26_NRA_model_for_NEMO2 (EMC Update) v0.29.2_NRA_model_for_NEMO2 (EMC Update) v0.29.5_NRA_model_for_NEMO2 (EMC Update) v0 30 1" xfId="1613" xr:uid="{00000000-0005-0000-0000-0000F7050000}"/>
    <cellStyle name="%_NRA_model_for_NEMO2 (EMC Update) v0.22_NRA_model_for_NEMO2 (EMC Update) v0.26_NRA_model_for_NEMO2 (EMC Update) v0.29.3" xfId="1614" xr:uid="{00000000-0005-0000-0000-0000F8050000}"/>
    <cellStyle name="%_NRA_model_for_NEMO2 (EMC Update) v0.22_NRA_model_for_NEMO2 (EMC Update) v0.26_NRA_model_for_NEMO2 (EMC Update) v0.29.3_NRA_model_for_NEMO2 (EMC Update) v0 30 1" xfId="1615" xr:uid="{00000000-0005-0000-0000-0000F9050000}"/>
    <cellStyle name="%_NRA_model_for_NEMO2 (EMC Update) v0.22_NRA_model_for_NEMO2 (EMC Update) v0.26_NRA_model_for_NEMO2 (EMC Update) v0.29.3_NRA_model_for_NEMO2 (EMC Update) v0.29.5" xfId="1616" xr:uid="{00000000-0005-0000-0000-0000FA050000}"/>
    <cellStyle name="%_NRA_model_for_NEMO2 (EMC Update) v0.22_NRA_model_for_NEMO2 (EMC Update) v0.26_NRA_model_for_NEMO2 (EMC Update) v0.29.3_NRA_model_for_NEMO2 (EMC Update) v0.29.5_NRA_model_for_NEMO2 (EMC Update) v0 30 1" xfId="1617" xr:uid="{00000000-0005-0000-0000-0000FB050000}"/>
    <cellStyle name="%_NRA_model_for_NEMO2 (EMC Update) v0.22_NRA_model_for_NEMO2 (EMC Update) v0.26_NRA_model_for_NEMO2 (EMC Update) v0.29.4" xfId="1618" xr:uid="{00000000-0005-0000-0000-0000FC050000}"/>
    <cellStyle name="%_NRA_model_for_NEMO2 (EMC Update) v0.22_NRA_model_for_NEMO2 (EMC Update) v0.26_NRA_model_for_NEMO2 (EMC Update) v0.29.4_NRA_model_for_NEMO2 (EMC Update) v0 30 1" xfId="1619" xr:uid="{00000000-0005-0000-0000-0000FD050000}"/>
    <cellStyle name="%_NRA_model_for_NEMO2 (EMC Update) v0.22_NRA_model_for_NEMO2 (EMC Update) v0.26_NRA_model_for_NEMO2 (EMC Update) v0.29.4_NRA_model_for_NEMO2 (EMC Update) v0.29.5" xfId="1620" xr:uid="{00000000-0005-0000-0000-0000FE050000}"/>
    <cellStyle name="%_NRA_model_for_NEMO2 (EMC Update) v0.22_NRA_model_for_NEMO2 (EMC Update) v0.26_NRA_model_for_NEMO2 (EMC Update) v0.29.4_NRA_model_for_NEMO2 (EMC Update) v0.29.5_NRA_model_for_NEMO2 (EMC Update) v0 30 1" xfId="1621" xr:uid="{00000000-0005-0000-0000-0000FF050000}"/>
    <cellStyle name="%_NRA_model_for_NEMO2 (EMC Update) v0.22_NRA_model_for_NEMO2 (EMC Update) v0.26_NRA_model_for_NEMO2 (EMC Update) v0.29.5" xfId="1622" xr:uid="{00000000-0005-0000-0000-000000060000}"/>
    <cellStyle name="%_NRA_model_for_NEMO2 (EMC Update) v0.22_NRA_model_for_NEMO2 (EMC Update) v0.26_NRA_model_for_NEMO2 (EMC Update) v0.29.5_NRA_model_for_NEMO2 (EMC Update) v0 30 1" xfId="1623" xr:uid="{00000000-0005-0000-0000-000001060000}"/>
    <cellStyle name="%_NRA_model_for_NEMO2 (EMC Update) v0.22_NRA_model_for_NEMO2 (EMC Update) v0.26_NRA_model_for_NEMO2 (EMC Update) v0.29_NRA_model_for_NEMO2 (EMC Update) v0 30 1" xfId="1624" xr:uid="{00000000-0005-0000-0000-000002060000}"/>
    <cellStyle name="%_NRA_model_for_NEMO2 (EMC Update) v0.22_NRA_model_for_NEMO2 (EMC Update) v0.26_NRA_model_for_NEMO2 (EMC Update) v0.29_NRA_model_for_NEMO2 (EMC Update) v0.29.2" xfId="1625" xr:uid="{00000000-0005-0000-0000-000003060000}"/>
    <cellStyle name="%_NRA_model_for_NEMO2 (EMC Update) v0.22_NRA_model_for_NEMO2 (EMC Update) v0.26_NRA_model_for_NEMO2 (EMC Update) v0.29_NRA_model_for_NEMO2 (EMC Update) v0.29.2_NRA_model_for_NEMO2 (EMC Update) v0 30 1" xfId="1626" xr:uid="{00000000-0005-0000-0000-000004060000}"/>
    <cellStyle name="%_NRA_model_for_NEMO2 (EMC Update) v0.22_NRA_model_for_NEMO2 (EMC Update) v0.26_NRA_model_for_NEMO2 (EMC Update) v0.29_NRA_model_for_NEMO2 (EMC Update) v0.29.2_NRA_model_for_NEMO2 (EMC Update) v0.29.3" xfId="1627" xr:uid="{00000000-0005-0000-0000-000005060000}"/>
    <cellStyle name="%_NRA_model_for_NEMO2 (EMC Update) v0.22_NRA_model_for_NEMO2 (EMC Update) v0.26_NRA_model_for_NEMO2 (EMC Update) v0.29_NRA_model_for_NEMO2 (EMC Update) v0.29.2_NRA_model_for_NEMO2 (EMC Update) v0.29.3_NRA_model_for_NEMO2 (EMC Update) v0 30 1" xfId="1628" xr:uid="{00000000-0005-0000-0000-000006060000}"/>
    <cellStyle name="%_NRA_model_for_NEMO2 (EMC Update) v0.22_NRA_model_for_NEMO2 (EMC Update) v0.26_NRA_model_for_NEMO2 (EMC Update) v0.29_NRA_model_for_NEMO2 (EMC Update) v0.29.2_NRA_model_for_NEMO2 (EMC Update) v0.29.3_NRA_model_for_NEMO2 (EMC Update) v0.29.5" xfId="1629" xr:uid="{00000000-0005-0000-0000-000007060000}"/>
    <cellStyle name="%_NRA_model_for_NEMO2 (EMC Update) v0.22_NRA_model_for_NEMO2 (EMC Update) v0.26_NRA_model_for_NEMO2 (EMC Update) v0.29_NRA_model_for_NEMO2 (EMC Update) v0.29.2_NRA_model_for_NEMO2 (EMC Update) v0.29.4" xfId="1630" xr:uid="{00000000-0005-0000-0000-000008060000}"/>
    <cellStyle name="%_NRA_model_for_NEMO2 (EMC Update) v0.22_NRA_model_for_NEMO2 (EMC Update) v0.26_NRA_model_for_NEMO2 (EMC Update) v0.29_NRA_model_for_NEMO2 (EMC Update) v0.29.2_NRA_model_for_NEMO2 (EMC Update) v0.29.4_NRA_model_for_NEMO2 (EMC Update) v0 30 1" xfId="1631" xr:uid="{00000000-0005-0000-0000-000009060000}"/>
    <cellStyle name="%_NRA_model_for_NEMO2 (EMC Update) v0.22_NRA_model_for_NEMO2 (EMC Update) v0.26_NRA_model_for_NEMO2 (EMC Update) v0.29_NRA_model_for_NEMO2 (EMC Update) v0.29.2_NRA_model_for_NEMO2 (EMC Update) v0.29.4_NRA_model_for_NEMO2 (EMC Update) v0.29.5" xfId="1632" xr:uid="{00000000-0005-0000-0000-00000A060000}"/>
    <cellStyle name="%_NRA_model_for_NEMO2 (EMC Update) v0.22_NRA_model_for_NEMO2 (EMC Update) v0.26_NRA_model_for_NEMO2 (EMC Update) v0.29_NRA_model_for_NEMO2 (EMC Update) v0.29.2_NRA_model_for_NEMO2 (EMC Update) v0.29.5" xfId="1633" xr:uid="{00000000-0005-0000-0000-00000B060000}"/>
    <cellStyle name="%_NRA_model_for_NEMO2 (EMC Update) v0.22_NRA_model_for_NEMO2 (EMC Update) v0.26_NRA_model_for_NEMO2 (EMC Update) v0.29_NRA_model_for_NEMO2 (EMC Update) v0.29.2_NRA_model_for_NEMO2 (EMC Update) v0.29.5_NRA_model_for_NEMO2 (EMC Update) v0 30 1" xfId="1634" xr:uid="{00000000-0005-0000-0000-00000C060000}"/>
    <cellStyle name="%_NRA_model_for_NEMO2 (EMC Update) v0.22_NRA_model_for_NEMO2 (EMC Update) v0.26_NRA_model_for_NEMO2 (EMC Update) v0.29_NRA_model_for_NEMO2 (EMC Update) v0.29.3" xfId="1635" xr:uid="{00000000-0005-0000-0000-00000D060000}"/>
    <cellStyle name="%_NRA_model_for_NEMO2 (EMC Update) v0.22_NRA_model_for_NEMO2 (EMC Update) v0.26_NRA_model_for_NEMO2 (EMC Update) v0.29_NRA_model_for_NEMO2 (EMC Update) v0.29.3_NRA_model_for_NEMO2 (EMC Update) v0 30 1" xfId="1636" xr:uid="{00000000-0005-0000-0000-00000E060000}"/>
    <cellStyle name="%_NRA_model_for_NEMO2 (EMC Update) v0.22_NRA_model_for_NEMO2 (EMC Update) v0.26_NRA_model_for_NEMO2 (EMC Update) v0.29_NRA_model_for_NEMO2 (EMC Update) v0.29.3_NRA_model_for_NEMO2 (EMC Update) v0.29.5" xfId="1637" xr:uid="{00000000-0005-0000-0000-00000F060000}"/>
    <cellStyle name="%_NRA_model_for_NEMO2 (EMC Update) v0.22_NRA_model_for_NEMO2 (EMC Update) v0.26_NRA_model_for_NEMO2 (EMC Update) v0.29_NRA_model_for_NEMO2 (EMC Update) v0.29.3_NRA_model_for_NEMO2 (EMC Update) v0.29.5_NRA_model_for_NEMO2 (EMC Update) v0 30 1" xfId="1638" xr:uid="{00000000-0005-0000-0000-000010060000}"/>
    <cellStyle name="%_NRA_model_for_NEMO2 (EMC Update) v0.22_NRA_model_for_NEMO2 (EMC Update) v0.26_NRA_model_for_NEMO2 (EMC Update) v0.29_NRA_model_for_NEMO2 (EMC Update) v0.29.4" xfId="1639" xr:uid="{00000000-0005-0000-0000-000011060000}"/>
    <cellStyle name="%_NRA_model_for_NEMO2 (EMC Update) v0.22_NRA_model_for_NEMO2 (EMC Update) v0.26_NRA_model_for_NEMO2 (EMC Update) v0.29_NRA_model_for_NEMO2 (EMC Update) v0.29.4_NRA_model_for_NEMO2 (EMC Update) v0 30 1" xfId="1640" xr:uid="{00000000-0005-0000-0000-000012060000}"/>
    <cellStyle name="%_NRA_model_for_NEMO2 (EMC Update) v0.22_NRA_model_for_NEMO2 (EMC Update) v0.26_NRA_model_for_NEMO2 (EMC Update) v0.29_NRA_model_for_NEMO2 (EMC Update) v0.29.4_NRA_model_for_NEMO2 (EMC Update) v0.29.5" xfId="1641" xr:uid="{00000000-0005-0000-0000-000013060000}"/>
    <cellStyle name="%_NRA_model_for_NEMO2 (EMC Update) v0.22_NRA_model_for_NEMO2 (EMC Update) v0.26_NRA_model_for_NEMO2 (EMC Update) v0.29_NRA_model_for_NEMO2 (EMC Update) v0.29.4_NRA_model_for_NEMO2 (EMC Update) v0.29.5_NRA_model_for_NEMO2 (EMC Update) v0 30 1" xfId="1642" xr:uid="{00000000-0005-0000-0000-000014060000}"/>
    <cellStyle name="%_NRA_model_for_NEMO2 (EMC Update) v0.22_NRA_model_for_NEMO2 (EMC Update) v0.26_NRA_model_for_NEMO2 (EMC Update) v0.29_NRA_model_for_NEMO2 (EMC Update) v0.29.5" xfId="1643" xr:uid="{00000000-0005-0000-0000-000015060000}"/>
    <cellStyle name="%_NRA_model_for_NEMO2 (EMC Update) v0.22_NRA_model_for_NEMO2 (EMC Update) v0.26_NRA_model_for_NEMO2 (EMC Update) v0.29_NRA_model_for_NEMO2 (EMC Update) v0.29.5_NRA_model_for_NEMO2 (EMC Update) v0 30 1" xfId="1644" xr:uid="{00000000-0005-0000-0000-000016060000}"/>
    <cellStyle name="%_NRA_model_for_NEMO2 (EMC Update) v0.22_NRA_model_for_NEMO2 (EMC Update) v0.29" xfId="1645" xr:uid="{00000000-0005-0000-0000-000017060000}"/>
    <cellStyle name="%_NRA_model_for_NEMO2 (EMC Update) v0.22_NRA_model_for_NEMO2 (EMC Update) v0.29.2" xfId="1646" xr:uid="{00000000-0005-0000-0000-000018060000}"/>
    <cellStyle name="%_NRA_model_for_NEMO2 (EMC Update) v0.22_NRA_model_for_NEMO2 (EMC Update) v0.29.2_NRA_model_for_NEMO2 (EMC Update) v0 30 1" xfId="1647" xr:uid="{00000000-0005-0000-0000-000019060000}"/>
    <cellStyle name="%_NRA_model_for_NEMO2 (EMC Update) v0.22_NRA_model_for_NEMO2 (EMC Update) v0.29.2_NRA_model_for_NEMO2 (EMC Update) v0.29.3" xfId="1648" xr:uid="{00000000-0005-0000-0000-00001A060000}"/>
    <cellStyle name="%_NRA_model_for_NEMO2 (EMC Update) v0.22_NRA_model_for_NEMO2 (EMC Update) v0.29.2_NRA_model_for_NEMO2 (EMC Update) v0.29.3_NRA_model_for_NEMO2 (EMC Update) v0 30 1" xfId="1649" xr:uid="{00000000-0005-0000-0000-00001B060000}"/>
    <cellStyle name="%_NRA_model_for_NEMO2 (EMC Update) v0.22_NRA_model_for_NEMO2 (EMC Update) v0.29.2_NRA_model_for_NEMO2 (EMC Update) v0.29.3_NRA_model_for_NEMO2 (EMC Update) v0.29.5" xfId="1650" xr:uid="{00000000-0005-0000-0000-00001C060000}"/>
    <cellStyle name="%_NRA_model_for_NEMO2 (EMC Update) v0.22_NRA_model_for_NEMO2 (EMC Update) v0.29.2_NRA_model_for_NEMO2 (EMC Update) v0.29.3_NRA_model_for_NEMO2 (EMC Update) v0.29.5_NRA_model_for_NEMO2 (EMC Update) v0 30 1" xfId="1651" xr:uid="{00000000-0005-0000-0000-00001D060000}"/>
    <cellStyle name="%_NRA_model_for_NEMO2 (EMC Update) v0.22_NRA_model_for_NEMO2 (EMC Update) v0.29.2_NRA_model_for_NEMO2 (EMC Update) v0.29.4" xfId="1652" xr:uid="{00000000-0005-0000-0000-00001E060000}"/>
    <cellStyle name="%_NRA_model_for_NEMO2 (EMC Update) v0.22_NRA_model_for_NEMO2 (EMC Update) v0.29.2_NRA_model_for_NEMO2 (EMC Update) v0.29.4_NRA_model_for_NEMO2 (EMC Update) v0 30 1" xfId="1653" xr:uid="{00000000-0005-0000-0000-00001F060000}"/>
    <cellStyle name="%_NRA_model_for_NEMO2 (EMC Update) v0.22_NRA_model_for_NEMO2 (EMC Update) v0.29.2_NRA_model_for_NEMO2 (EMC Update) v0.29.4_NRA_model_for_NEMO2 (EMC Update) v0.29.5" xfId="1654" xr:uid="{00000000-0005-0000-0000-000020060000}"/>
    <cellStyle name="%_NRA_model_for_NEMO2 (EMC Update) v0.22_NRA_model_for_NEMO2 (EMC Update) v0.29.2_NRA_model_for_NEMO2 (EMC Update) v0.29.4_NRA_model_for_NEMO2 (EMC Update) v0.29.5_NRA_model_for_NEMO2 (EMC Update) v0 30 1" xfId="1655" xr:uid="{00000000-0005-0000-0000-000021060000}"/>
    <cellStyle name="%_NRA_model_for_NEMO2 (EMC Update) v0.22_NRA_model_for_NEMO2 (EMC Update) v0.29.2_NRA_model_for_NEMO2 (EMC Update) v0.29.5" xfId="1656" xr:uid="{00000000-0005-0000-0000-000022060000}"/>
    <cellStyle name="%_NRA_model_for_NEMO2 (EMC Update) v0.22_NRA_model_for_NEMO2 (EMC Update) v0.29.2_NRA_model_for_NEMO2 (EMC Update) v0.29.5_NRA_model_for_NEMO2 (EMC Update) v0 30 1" xfId="1657" xr:uid="{00000000-0005-0000-0000-000023060000}"/>
    <cellStyle name="%_NRA_model_for_NEMO2 (EMC Update) v0.22_NRA_model_for_NEMO2 (EMC Update) v0.29.3" xfId="1658" xr:uid="{00000000-0005-0000-0000-000024060000}"/>
    <cellStyle name="%_NRA_model_for_NEMO2 (EMC Update) v0.22_NRA_model_for_NEMO2 (EMC Update) v0.29.3_NRA_model_for_NEMO2 (EMC Update) v0 30 1" xfId="1659" xr:uid="{00000000-0005-0000-0000-000025060000}"/>
    <cellStyle name="%_NRA_model_for_NEMO2 (EMC Update) v0.22_NRA_model_for_NEMO2 (EMC Update) v0.29.3_NRA_model_for_NEMO2 (EMC Update) v0.29.5" xfId="1660" xr:uid="{00000000-0005-0000-0000-000026060000}"/>
    <cellStyle name="%_NRA_model_for_NEMO2 (EMC Update) v0.22_NRA_model_for_NEMO2 (EMC Update) v0.29.3_NRA_model_for_NEMO2 (EMC Update) v0.29.5_NRA_model_for_NEMO2 (EMC Update) v0 30 1" xfId="1661" xr:uid="{00000000-0005-0000-0000-000027060000}"/>
    <cellStyle name="%_NRA_model_for_NEMO2 (EMC Update) v0.22_NRA_model_for_NEMO2 (EMC Update) v0.29.4" xfId="1662" xr:uid="{00000000-0005-0000-0000-000028060000}"/>
    <cellStyle name="%_NRA_model_for_NEMO2 (EMC Update) v0.22_NRA_model_for_NEMO2 (EMC Update) v0.29.4_NRA_model_for_NEMO2 (EMC Update) v0 30 1" xfId="1663" xr:uid="{00000000-0005-0000-0000-000029060000}"/>
    <cellStyle name="%_NRA_model_for_NEMO2 (EMC Update) v0.22_NRA_model_for_NEMO2 (EMC Update) v0.29.4_NRA_model_for_NEMO2 (EMC Update) v0.29.5" xfId="1664" xr:uid="{00000000-0005-0000-0000-00002A060000}"/>
    <cellStyle name="%_NRA_model_for_NEMO2 (EMC Update) v0.22_NRA_model_for_NEMO2 (EMC Update) v0.29.4_NRA_model_for_NEMO2 (EMC Update) v0.29.5_NRA_model_for_NEMO2 (EMC Update) v0 30 1" xfId="1665" xr:uid="{00000000-0005-0000-0000-00002B060000}"/>
    <cellStyle name="%_NRA_model_for_NEMO2 (EMC Update) v0.22_NRA_model_for_NEMO2 (EMC Update) v0.29.5" xfId="1666" xr:uid="{00000000-0005-0000-0000-00002C060000}"/>
    <cellStyle name="%_NRA_model_for_NEMO2 (EMC Update) v0.22_NRA_model_for_NEMO2 (EMC Update) v0.29.5_NRA_model_for_NEMO2 (EMC Update) v0 30 1" xfId="1667" xr:uid="{00000000-0005-0000-0000-00002D060000}"/>
    <cellStyle name="%_NRA_model_for_NEMO2 (EMC Update) v0.22_NRA_model_for_NEMO2 (EMC Update) v0.29_NRA_model_for_NEMO2 (EMC Update) v0 30 1" xfId="1668" xr:uid="{00000000-0005-0000-0000-00002E060000}"/>
    <cellStyle name="%_NRA_model_for_NEMO2 (EMC Update) v0.22_NRA_model_for_NEMO2 (EMC Update) v0.29_NRA_model_for_NEMO2 (EMC Update) v0.29.2" xfId="1669" xr:uid="{00000000-0005-0000-0000-00002F060000}"/>
    <cellStyle name="%_NRA_model_for_NEMO2 (EMC Update) v0.22_NRA_model_for_NEMO2 (EMC Update) v0.29_NRA_model_for_NEMO2 (EMC Update) v0.29.2_NRA_model_for_NEMO2 (EMC Update) v0 30 1" xfId="1670" xr:uid="{00000000-0005-0000-0000-000030060000}"/>
    <cellStyle name="%_NRA_model_for_NEMO2 (EMC Update) v0.22_NRA_model_for_NEMO2 (EMC Update) v0.29_NRA_model_for_NEMO2 (EMC Update) v0.29.2_NRA_model_for_NEMO2 (EMC Update) v0.29.3" xfId="1671" xr:uid="{00000000-0005-0000-0000-000031060000}"/>
    <cellStyle name="%_NRA_model_for_NEMO2 (EMC Update) v0.22_NRA_model_for_NEMO2 (EMC Update) v0.29_NRA_model_for_NEMO2 (EMC Update) v0.29.2_NRA_model_for_NEMO2 (EMC Update) v0.29.3_NRA_model_for_NEMO2 (EMC Update) v0 30 1" xfId="1672" xr:uid="{00000000-0005-0000-0000-000032060000}"/>
    <cellStyle name="%_NRA_model_for_NEMO2 (EMC Update) v0.22_NRA_model_for_NEMO2 (EMC Update) v0.29_NRA_model_for_NEMO2 (EMC Update) v0.29.2_NRA_model_for_NEMO2 (EMC Update) v0.29.3_NRA_model_for_NEMO2 (EMC Update) v0.29.5" xfId="1673" xr:uid="{00000000-0005-0000-0000-000033060000}"/>
    <cellStyle name="%_NRA_model_for_NEMO2 (EMC Update) v0.22_NRA_model_for_NEMO2 (EMC Update) v0.29_NRA_model_for_NEMO2 (EMC Update) v0.29.2_NRA_model_for_NEMO2 (EMC Update) v0.29.3_NRA_model_for_NEMO2 (EMC Update) v0.29.5_NRA_model_for_NEMO2 (EMC Update) v0 30 1" xfId="1674" xr:uid="{00000000-0005-0000-0000-000034060000}"/>
    <cellStyle name="%_NRA_model_for_NEMO2 (EMC Update) v0.22_NRA_model_for_NEMO2 (EMC Update) v0.29_NRA_model_for_NEMO2 (EMC Update) v0.29.2_NRA_model_for_NEMO2 (EMC Update) v0.29.4" xfId="1675" xr:uid="{00000000-0005-0000-0000-000035060000}"/>
    <cellStyle name="%_NRA_model_for_NEMO2 (EMC Update) v0.22_NRA_model_for_NEMO2 (EMC Update) v0.29_NRA_model_for_NEMO2 (EMC Update) v0.29.2_NRA_model_for_NEMO2 (EMC Update) v0.29.4_NRA_model_for_NEMO2 (EMC Update) v0 30 1" xfId="1676" xr:uid="{00000000-0005-0000-0000-000036060000}"/>
    <cellStyle name="%_NRA_model_for_NEMO2 (EMC Update) v0.22_NRA_model_for_NEMO2 (EMC Update) v0.29_NRA_model_for_NEMO2 (EMC Update) v0.29.2_NRA_model_for_NEMO2 (EMC Update) v0.29.4_NRA_model_for_NEMO2 (EMC Update) v0.29.5" xfId="1677" xr:uid="{00000000-0005-0000-0000-000037060000}"/>
    <cellStyle name="%_NRA_model_for_NEMO2 (EMC Update) v0.22_NRA_model_for_NEMO2 (EMC Update) v0.29_NRA_model_for_NEMO2 (EMC Update) v0.29.2_NRA_model_for_NEMO2 (EMC Update) v0.29.4_NRA_model_for_NEMO2 (EMC Update) v0.29.5_NRA_model_for_NEMO2 (EMC Update) v0 30 1" xfId="1678" xr:uid="{00000000-0005-0000-0000-000038060000}"/>
    <cellStyle name="%_NRA_model_for_NEMO2 (EMC Update) v0.22_NRA_model_for_NEMO2 (EMC Update) v0.29_NRA_model_for_NEMO2 (EMC Update) v0.29.2_NRA_model_for_NEMO2 (EMC Update) v0.29.5" xfId="1679" xr:uid="{00000000-0005-0000-0000-000039060000}"/>
    <cellStyle name="%_NRA_model_for_NEMO2 (EMC Update) v0.22_NRA_model_for_NEMO2 (EMC Update) v0.29_NRA_model_for_NEMO2 (EMC Update) v0.29.2_NRA_model_for_NEMO2 (EMC Update) v0.29.5_NRA_model_for_NEMO2 (EMC Update) v0 30 1" xfId="1680" xr:uid="{00000000-0005-0000-0000-00003A060000}"/>
    <cellStyle name="%_NRA_model_for_NEMO2 (EMC Update) v0.22_NRA_model_for_NEMO2 (EMC Update) v0.29_NRA_model_for_NEMO2 (EMC Update) v0.29.3" xfId="1681" xr:uid="{00000000-0005-0000-0000-00003B060000}"/>
    <cellStyle name="%_NRA_model_for_NEMO2 (EMC Update) v0.22_NRA_model_for_NEMO2 (EMC Update) v0.29_NRA_model_for_NEMO2 (EMC Update) v0.29.3_NRA_model_for_NEMO2 (EMC Update) v0 30 1" xfId="1682" xr:uid="{00000000-0005-0000-0000-00003C060000}"/>
    <cellStyle name="%_NRA_model_for_NEMO2 (EMC Update) v0.22_NRA_model_for_NEMO2 (EMC Update) v0.29_NRA_model_for_NEMO2 (EMC Update) v0.29.3_NRA_model_for_NEMO2 (EMC Update) v0.29.5" xfId="1683" xr:uid="{00000000-0005-0000-0000-00003D060000}"/>
    <cellStyle name="%_NRA_model_for_NEMO2 (EMC Update) v0.22_NRA_model_for_NEMO2 (EMC Update) v0.29_NRA_model_for_NEMO2 (EMC Update) v0.29.3_NRA_model_for_NEMO2 (EMC Update) v0.29.5_NRA_model_for_NEMO2 (EMC Update) v0 30 1" xfId="1684" xr:uid="{00000000-0005-0000-0000-00003E060000}"/>
    <cellStyle name="%_NRA_model_for_NEMO2 (EMC Update) v0.22_NRA_model_for_NEMO2 (EMC Update) v0.29_NRA_model_for_NEMO2 (EMC Update) v0.29.4" xfId="1685" xr:uid="{00000000-0005-0000-0000-00003F060000}"/>
    <cellStyle name="%_NRA_model_for_NEMO2 (EMC Update) v0.22_NRA_model_for_NEMO2 (EMC Update) v0.29_NRA_model_for_NEMO2 (EMC Update) v0.29.4_NRA_model_for_NEMO2 (EMC Update) v0 30 1" xfId="1686" xr:uid="{00000000-0005-0000-0000-000040060000}"/>
    <cellStyle name="%_NRA_model_for_NEMO2 (EMC Update) v0.22_NRA_model_for_NEMO2 (EMC Update) v0.29_NRA_model_for_NEMO2 (EMC Update) v0.29.4_NRA_model_for_NEMO2 (EMC Update) v0.29.5" xfId="1687" xr:uid="{00000000-0005-0000-0000-000041060000}"/>
    <cellStyle name="%_NRA_model_for_NEMO2 (EMC Update) v0.22_NRA_model_for_NEMO2 (EMC Update) v0.29_NRA_model_for_NEMO2 (EMC Update) v0.29.4_NRA_model_for_NEMO2 (EMC Update) v0.29.5_NRA_model_for_NEMO2 (EMC Update) v0 30 1" xfId="1688" xr:uid="{00000000-0005-0000-0000-000042060000}"/>
    <cellStyle name="%_NRA_model_for_NEMO2 (EMC Update) v0.22_NRA_model_for_NEMO2 (EMC Update) v0.29_NRA_model_for_NEMO2 (EMC Update) v0.29.5" xfId="1689" xr:uid="{00000000-0005-0000-0000-000043060000}"/>
    <cellStyle name="%_NRA_model_for_NEMO2 (EMC Update) v0.22_NRA_model_for_NEMO2 (EMC Update) v0.29_NRA_model_for_NEMO2 (EMC Update) v0.29.5_NRA_model_for_NEMO2 (EMC Update) v0 30 1" xfId="1690" xr:uid="{00000000-0005-0000-0000-000044060000}"/>
    <cellStyle name="%_NRA_model_for_NEMO2 (EMC Update) v0.25" xfId="1691" xr:uid="{00000000-0005-0000-0000-000045060000}"/>
    <cellStyle name="%_NRA_model_for_NEMO2 (EMC Update) v0.25_NRA_model_for_NEMO2 (EMC Update) v0 30 1" xfId="1692" xr:uid="{00000000-0005-0000-0000-000046060000}"/>
    <cellStyle name="%_NRA_model_for_NEMO2 (EMC Update) v0.25_NRA_model_for_NEMO2 (EMC Update) v0.26" xfId="1693" xr:uid="{00000000-0005-0000-0000-000047060000}"/>
    <cellStyle name="%_NRA_model_for_NEMO2 (EMC Update) v0.25_NRA_model_for_NEMO2 (EMC Update) v0.26_NRA_model_for_NEMO2 (EMC Update) v0 30 1" xfId="1694" xr:uid="{00000000-0005-0000-0000-000048060000}"/>
    <cellStyle name="%_NRA_model_for_NEMO2 (EMC Update) v0.25_NRA_model_for_NEMO2 (EMC Update) v0.26_NRA_model_for_NEMO2 (EMC Update) v0.29" xfId="1695" xr:uid="{00000000-0005-0000-0000-000049060000}"/>
    <cellStyle name="%_NRA_model_for_NEMO2 (EMC Update) v0.25_NRA_model_for_NEMO2 (EMC Update) v0.26_NRA_model_for_NEMO2 (EMC Update) v0.29.2" xfId="1696" xr:uid="{00000000-0005-0000-0000-00004A060000}"/>
    <cellStyle name="%_NRA_model_for_NEMO2 (EMC Update) v0.25_NRA_model_for_NEMO2 (EMC Update) v0.26_NRA_model_for_NEMO2 (EMC Update) v0.29.2_NRA_model_for_NEMO2 (EMC Update) v0 30 1" xfId="1697" xr:uid="{00000000-0005-0000-0000-00004B060000}"/>
    <cellStyle name="%_NRA_model_for_NEMO2 (EMC Update) v0.25_NRA_model_for_NEMO2 (EMC Update) v0.26_NRA_model_for_NEMO2 (EMC Update) v0.29.2_NRA_model_for_NEMO2 (EMC Update) v0.29.3" xfId="1698" xr:uid="{00000000-0005-0000-0000-00004C060000}"/>
    <cellStyle name="%_NRA_model_for_NEMO2 (EMC Update) v0.25_NRA_model_for_NEMO2 (EMC Update) v0.26_NRA_model_for_NEMO2 (EMC Update) v0.29.2_NRA_model_for_NEMO2 (EMC Update) v0.29.3_NRA_model_for_NEMO2 (EMC Update) v0 30 1" xfId="1699" xr:uid="{00000000-0005-0000-0000-00004D060000}"/>
    <cellStyle name="%_NRA_model_for_NEMO2 (EMC Update) v0.25_NRA_model_for_NEMO2 (EMC Update) v0.26_NRA_model_for_NEMO2 (EMC Update) v0.29.2_NRA_model_for_NEMO2 (EMC Update) v0.29.3_NRA_model_for_NEMO2 (EMC Update) v0.29.5" xfId="1700" xr:uid="{00000000-0005-0000-0000-00004E060000}"/>
    <cellStyle name="%_NRA_model_for_NEMO2 (EMC Update) v0.25_NRA_model_for_NEMO2 (EMC Update) v0.26_NRA_model_for_NEMO2 (EMC Update) v0.29.2_NRA_model_for_NEMO2 (EMC Update) v0.29.3_NRA_model_for_NEMO2 (EMC Update) v0.29.5_NRA_model_for_NEMO2 (EMC Update) v0 30 1" xfId="1701" xr:uid="{00000000-0005-0000-0000-00004F060000}"/>
    <cellStyle name="%_NRA_model_for_NEMO2 (EMC Update) v0.25_NRA_model_for_NEMO2 (EMC Update) v0.26_NRA_model_for_NEMO2 (EMC Update) v0.29.2_NRA_model_for_NEMO2 (EMC Update) v0.29.4" xfId="1702" xr:uid="{00000000-0005-0000-0000-000050060000}"/>
    <cellStyle name="%_NRA_model_for_NEMO2 (EMC Update) v0.25_NRA_model_for_NEMO2 (EMC Update) v0.26_NRA_model_for_NEMO2 (EMC Update) v0.29.2_NRA_model_for_NEMO2 (EMC Update) v0.29.4_NRA_model_for_NEMO2 (EMC Update) v0 30 1" xfId="1703" xr:uid="{00000000-0005-0000-0000-000051060000}"/>
    <cellStyle name="%_NRA_model_for_NEMO2 (EMC Update) v0.25_NRA_model_for_NEMO2 (EMC Update) v0.26_NRA_model_for_NEMO2 (EMC Update) v0.29.2_NRA_model_for_NEMO2 (EMC Update) v0.29.4_NRA_model_for_NEMO2 (EMC Update) v0.29.5" xfId="1704" xr:uid="{00000000-0005-0000-0000-000052060000}"/>
    <cellStyle name="%_NRA_model_for_NEMO2 (EMC Update) v0.25_NRA_model_for_NEMO2 (EMC Update) v0.26_NRA_model_for_NEMO2 (EMC Update) v0.29.2_NRA_model_for_NEMO2 (EMC Update) v0.29.4_NRA_model_for_NEMO2 (EMC Update) v0.29.5_NRA_model_for_NEMO2 (EMC Update) v0 30 1" xfId="1705" xr:uid="{00000000-0005-0000-0000-000053060000}"/>
    <cellStyle name="%_NRA_model_for_NEMO2 (EMC Update) v0.25_NRA_model_for_NEMO2 (EMC Update) v0.26_NRA_model_for_NEMO2 (EMC Update) v0.29.2_NRA_model_for_NEMO2 (EMC Update) v0.29.5" xfId="1706" xr:uid="{00000000-0005-0000-0000-000054060000}"/>
    <cellStyle name="%_NRA_model_for_NEMO2 (EMC Update) v0.25_NRA_model_for_NEMO2 (EMC Update) v0.26_NRA_model_for_NEMO2 (EMC Update) v0.29.2_NRA_model_for_NEMO2 (EMC Update) v0.29.5_NRA_model_for_NEMO2 (EMC Update) v0 30 1" xfId="1707" xr:uid="{00000000-0005-0000-0000-000055060000}"/>
    <cellStyle name="%_NRA_model_for_NEMO2 (EMC Update) v0.25_NRA_model_for_NEMO2 (EMC Update) v0.26_NRA_model_for_NEMO2 (EMC Update) v0.29.3" xfId="1708" xr:uid="{00000000-0005-0000-0000-000056060000}"/>
    <cellStyle name="%_NRA_model_for_NEMO2 (EMC Update) v0.25_NRA_model_for_NEMO2 (EMC Update) v0.26_NRA_model_for_NEMO2 (EMC Update) v0.29.3_NRA_model_for_NEMO2 (EMC Update) v0 30 1" xfId="1709" xr:uid="{00000000-0005-0000-0000-000057060000}"/>
    <cellStyle name="%_NRA_model_for_NEMO2 (EMC Update) v0.25_NRA_model_for_NEMO2 (EMC Update) v0.26_NRA_model_for_NEMO2 (EMC Update) v0.29.3_NRA_model_for_NEMO2 (EMC Update) v0.29.5" xfId="1710" xr:uid="{00000000-0005-0000-0000-000058060000}"/>
    <cellStyle name="%_NRA_model_for_NEMO2 (EMC Update) v0.25_NRA_model_for_NEMO2 (EMC Update) v0.26_NRA_model_for_NEMO2 (EMC Update) v0.29.3_NRA_model_for_NEMO2 (EMC Update) v0.29.5_NRA_model_for_NEMO2 (EMC Update) v0 30 1" xfId="1711" xr:uid="{00000000-0005-0000-0000-000059060000}"/>
    <cellStyle name="%_NRA_model_for_NEMO2 (EMC Update) v0.25_NRA_model_for_NEMO2 (EMC Update) v0.26_NRA_model_for_NEMO2 (EMC Update) v0.29.4" xfId="1712" xr:uid="{00000000-0005-0000-0000-00005A060000}"/>
    <cellStyle name="%_NRA_model_for_NEMO2 (EMC Update) v0.25_NRA_model_for_NEMO2 (EMC Update) v0.26_NRA_model_for_NEMO2 (EMC Update) v0.29.4_NRA_model_for_NEMO2 (EMC Update) v0 30 1" xfId="1713" xr:uid="{00000000-0005-0000-0000-00005B060000}"/>
    <cellStyle name="%_NRA_model_for_NEMO2 (EMC Update) v0.25_NRA_model_for_NEMO2 (EMC Update) v0.26_NRA_model_for_NEMO2 (EMC Update) v0.29.4_NRA_model_for_NEMO2 (EMC Update) v0.29.5" xfId="1714" xr:uid="{00000000-0005-0000-0000-00005C060000}"/>
    <cellStyle name="%_NRA_model_for_NEMO2 (EMC Update) v0.25_NRA_model_for_NEMO2 (EMC Update) v0.26_NRA_model_for_NEMO2 (EMC Update) v0.29.4_NRA_model_for_NEMO2 (EMC Update) v0.29.5_NRA_model_for_NEMO2 (EMC Update) v0 30 1" xfId="1715" xr:uid="{00000000-0005-0000-0000-00005D060000}"/>
    <cellStyle name="%_NRA_model_for_NEMO2 (EMC Update) v0.25_NRA_model_for_NEMO2 (EMC Update) v0.26_NRA_model_for_NEMO2 (EMC Update) v0.29.5" xfId="1716" xr:uid="{00000000-0005-0000-0000-00005E060000}"/>
    <cellStyle name="%_NRA_model_for_NEMO2 (EMC Update) v0.25_NRA_model_for_NEMO2 (EMC Update) v0.26_NRA_model_for_NEMO2 (EMC Update) v0.29.5_NRA_model_for_NEMO2 (EMC Update) v0 30 1" xfId="1717" xr:uid="{00000000-0005-0000-0000-00005F060000}"/>
    <cellStyle name="%_NRA_model_for_NEMO2 (EMC Update) v0.25_NRA_model_for_NEMO2 (EMC Update) v0.26_NRA_model_for_NEMO2 (EMC Update) v0.29_NRA_model_for_NEMO2 (EMC Update) v0 30 1" xfId="1718" xr:uid="{00000000-0005-0000-0000-000060060000}"/>
    <cellStyle name="%_NRA_model_for_NEMO2 (EMC Update) v0.25_NRA_model_for_NEMO2 (EMC Update) v0.26_NRA_model_for_NEMO2 (EMC Update) v0.29_NRA_model_for_NEMO2 (EMC Update) v0.29.2" xfId="1719" xr:uid="{00000000-0005-0000-0000-000061060000}"/>
    <cellStyle name="%_NRA_model_for_NEMO2 (EMC Update) v0.25_NRA_model_for_NEMO2 (EMC Update) v0.26_NRA_model_for_NEMO2 (EMC Update) v0.29_NRA_model_for_NEMO2 (EMC Update) v0.29.2_NRA_model_for_NEMO2 (EMC Update) v0 30 1" xfId="1720" xr:uid="{00000000-0005-0000-0000-000062060000}"/>
    <cellStyle name="%_NRA_model_for_NEMO2 (EMC Update) v0.25_NRA_model_for_NEMO2 (EMC Update) v0.26_NRA_model_for_NEMO2 (EMC Update) v0.29_NRA_model_for_NEMO2 (EMC Update) v0.29.2_NRA_model_for_NEMO2 (EMC Update) v0.29.3" xfId="1721" xr:uid="{00000000-0005-0000-0000-000063060000}"/>
    <cellStyle name="%_NRA_model_for_NEMO2 (EMC Update) v0.25_NRA_model_for_NEMO2 (EMC Update) v0.26_NRA_model_for_NEMO2 (EMC Update) v0.29_NRA_model_for_NEMO2 (EMC Update) v0.29.2_NRA_model_for_NEMO2 (EMC Update) v0.29.3_NRA_model_for_NEMO2 (EMC Update) v0 30 1" xfId="1722" xr:uid="{00000000-0005-0000-0000-000064060000}"/>
    <cellStyle name="%_NRA_model_for_NEMO2 (EMC Update) v0.25_NRA_model_for_NEMO2 (EMC Update) v0.26_NRA_model_for_NEMO2 (EMC Update) v0.29_NRA_model_for_NEMO2 (EMC Update) v0.29.2_NRA_model_for_NEMO2 (EMC Update) v0.29.3_NRA_model_for_NEMO2 (EMC Update) v0.29.5" xfId="1723" xr:uid="{00000000-0005-0000-0000-000065060000}"/>
    <cellStyle name="%_NRA_model_for_NEMO2 (EMC Update) v0.25_NRA_model_for_NEMO2 (EMC Update) v0.26_NRA_model_for_NEMO2 (EMC Update) v0.29_NRA_model_for_NEMO2 (EMC Update) v0.29.2_NRA_model_for_NEMO2 (EMC Update) v0.29.4" xfId="1724" xr:uid="{00000000-0005-0000-0000-000066060000}"/>
    <cellStyle name="%_NRA_model_for_NEMO2 (EMC Update) v0.25_NRA_model_for_NEMO2 (EMC Update) v0.26_NRA_model_for_NEMO2 (EMC Update) v0.29_NRA_model_for_NEMO2 (EMC Update) v0.29.2_NRA_model_for_NEMO2 (EMC Update) v0.29.4_NRA_model_for_NEMO2 (EMC Update) v0 30 1" xfId="1725" xr:uid="{00000000-0005-0000-0000-000067060000}"/>
    <cellStyle name="%_NRA_model_for_NEMO2 (EMC Update) v0.25_NRA_model_for_NEMO2 (EMC Update) v0.26_NRA_model_for_NEMO2 (EMC Update) v0.29_NRA_model_for_NEMO2 (EMC Update) v0.29.2_NRA_model_for_NEMO2 (EMC Update) v0.29.4_NRA_model_for_NEMO2 (EMC Update) v0.29.5" xfId="1726" xr:uid="{00000000-0005-0000-0000-000068060000}"/>
    <cellStyle name="%_NRA_model_for_NEMO2 (EMC Update) v0.25_NRA_model_for_NEMO2 (EMC Update) v0.26_NRA_model_for_NEMO2 (EMC Update) v0.29_NRA_model_for_NEMO2 (EMC Update) v0.29.2_NRA_model_for_NEMO2 (EMC Update) v0.29.5" xfId="1727" xr:uid="{00000000-0005-0000-0000-000069060000}"/>
    <cellStyle name="%_NRA_model_for_NEMO2 (EMC Update) v0.25_NRA_model_for_NEMO2 (EMC Update) v0.26_NRA_model_for_NEMO2 (EMC Update) v0.29_NRA_model_for_NEMO2 (EMC Update) v0.29.2_NRA_model_for_NEMO2 (EMC Update) v0.29.5_NRA_model_for_NEMO2 (EMC Update) v0 30 1" xfId="1728" xr:uid="{00000000-0005-0000-0000-00006A060000}"/>
    <cellStyle name="%_NRA_model_for_NEMO2 (EMC Update) v0.25_NRA_model_for_NEMO2 (EMC Update) v0.26_NRA_model_for_NEMO2 (EMC Update) v0.29_NRA_model_for_NEMO2 (EMC Update) v0.29.3" xfId="1729" xr:uid="{00000000-0005-0000-0000-00006B060000}"/>
    <cellStyle name="%_NRA_model_for_NEMO2 (EMC Update) v0.25_NRA_model_for_NEMO2 (EMC Update) v0.26_NRA_model_for_NEMO2 (EMC Update) v0.29_NRA_model_for_NEMO2 (EMC Update) v0.29.3_NRA_model_for_NEMO2 (EMC Update) v0 30 1" xfId="1730" xr:uid="{00000000-0005-0000-0000-00006C060000}"/>
    <cellStyle name="%_NRA_model_for_NEMO2 (EMC Update) v0.25_NRA_model_for_NEMO2 (EMC Update) v0.26_NRA_model_for_NEMO2 (EMC Update) v0.29_NRA_model_for_NEMO2 (EMC Update) v0.29.3_NRA_model_for_NEMO2 (EMC Update) v0.29.5" xfId="1731" xr:uid="{00000000-0005-0000-0000-00006D060000}"/>
    <cellStyle name="%_NRA_model_for_NEMO2 (EMC Update) v0.25_NRA_model_for_NEMO2 (EMC Update) v0.26_NRA_model_for_NEMO2 (EMC Update) v0.29_NRA_model_for_NEMO2 (EMC Update) v0.29.3_NRA_model_for_NEMO2 (EMC Update) v0.29.5_NRA_model_for_NEMO2 (EMC Update) v0 30 1" xfId="1732" xr:uid="{00000000-0005-0000-0000-00006E060000}"/>
    <cellStyle name="%_NRA_model_for_NEMO2 (EMC Update) v0.25_NRA_model_for_NEMO2 (EMC Update) v0.26_NRA_model_for_NEMO2 (EMC Update) v0.29_NRA_model_for_NEMO2 (EMC Update) v0.29.4" xfId="1733" xr:uid="{00000000-0005-0000-0000-00006F060000}"/>
    <cellStyle name="%_NRA_model_for_NEMO2 (EMC Update) v0.25_NRA_model_for_NEMO2 (EMC Update) v0.26_NRA_model_for_NEMO2 (EMC Update) v0.29_NRA_model_for_NEMO2 (EMC Update) v0.29.4_NRA_model_for_NEMO2 (EMC Update) v0 30 1" xfId="1734" xr:uid="{00000000-0005-0000-0000-000070060000}"/>
    <cellStyle name="%_NRA_model_for_NEMO2 (EMC Update) v0.25_NRA_model_for_NEMO2 (EMC Update) v0.26_NRA_model_for_NEMO2 (EMC Update) v0.29_NRA_model_for_NEMO2 (EMC Update) v0.29.4_NRA_model_for_NEMO2 (EMC Update) v0.29.5" xfId="1735" xr:uid="{00000000-0005-0000-0000-000071060000}"/>
    <cellStyle name="%_NRA_model_for_NEMO2 (EMC Update) v0.25_NRA_model_for_NEMO2 (EMC Update) v0.26_NRA_model_for_NEMO2 (EMC Update) v0.29_NRA_model_for_NEMO2 (EMC Update) v0.29.4_NRA_model_for_NEMO2 (EMC Update) v0.29.5_NRA_model_for_NEMO2 (EMC Update) v0 30 1" xfId="1736" xr:uid="{00000000-0005-0000-0000-000072060000}"/>
    <cellStyle name="%_NRA_model_for_NEMO2 (EMC Update) v0.25_NRA_model_for_NEMO2 (EMC Update) v0.26_NRA_model_for_NEMO2 (EMC Update) v0.29_NRA_model_for_NEMO2 (EMC Update) v0.29.5" xfId="1737" xr:uid="{00000000-0005-0000-0000-000073060000}"/>
    <cellStyle name="%_NRA_model_for_NEMO2 (EMC Update) v0.25_NRA_model_for_NEMO2 (EMC Update) v0.26_NRA_model_for_NEMO2 (EMC Update) v0.29_NRA_model_for_NEMO2 (EMC Update) v0.29.5_NRA_model_for_NEMO2 (EMC Update) v0 30 1" xfId="1738" xr:uid="{00000000-0005-0000-0000-000074060000}"/>
    <cellStyle name="%_NRA_model_for_NEMO2 (EMC Update) v0.25_NRA_model_for_NEMO2 (EMC Update) v0.29" xfId="1739" xr:uid="{00000000-0005-0000-0000-000075060000}"/>
    <cellStyle name="%_NRA_model_for_NEMO2 (EMC Update) v0.25_NRA_model_for_NEMO2 (EMC Update) v0.29.2" xfId="1740" xr:uid="{00000000-0005-0000-0000-000076060000}"/>
    <cellStyle name="%_NRA_model_for_NEMO2 (EMC Update) v0.25_NRA_model_for_NEMO2 (EMC Update) v0.29.2_NRA_model_for_NEMO2 (EMC Update) v0 30 1" xfId="1741" xr:uid="{00000000-0005-0000-0000-000077060000}"/>
    <cellStyle name="%_NRA_model_for_NEMO2 (EMC Update) v0.25_NRA_model_for_NEMO2 (EMC Update) v0.29.2_NRA_model_for_NEMO2 (EMC Update) v0.29.3" xfId="1742" xr:uid="{00000000-0005-0000-0000-000078060000}"/>
    <cellStyle name="%_NRA_model_for_NEMO2 (EMC Update) v0.25_NRA_model_for_NEMO2 (EMC Update) v0.29.2_NRA_model_for_NEMO2 (EMC Update) v0.29.3_NRA_model_for_NEMO2 (EMC Update) v0 30 1" xfId="1743" xr:uid="{00000000-0005-0000-0000-000079060000}"/>
    <cellStyle name="%_NRA_model_for_NEMO2 (EMC Update) v0.25_NRA_model_for_NEMO2 (EMC Update) v0.29.2_NRA_model_for_NEMO2 (EMC Update) v0.29.3_NRA_model_for_NEMO2 (EMC Update) v0.29.5" xfId="1744" xr:uid="{00000000-0005-0000-0000-00007A060000}"/>
    <cellStyle name="%_NRA_model_for_NEMO2 (EMC Update) v0.25_NRA_model_for_NEMO2 (EMC Update) v0.29.2_NRA_model_for_NEMO2 (EMC Update) v0.29.3_NRA_model_for_NEMO2 (EMC Update) v0.29.5_NRA_model_for_NEMO2 (EMC Update) v0 30 1" xfId="1745" xr:uid="{00000000-0005-0000-0000-00007B060000}"/>
    <cellStyle name="%_NRA_model_for_NEMO2 (EMC Update) v0.25_NRA_model_for_NEMO2 (EMC Update) v0.29.2_NRA_model_for_NEMO2 (EMC Update) v0.29.4" xfId="1746" xr:uid="{00000000-0005-0000-0000-00007C060000}"/>
    <cellStyle name="%_NRA_model_for_NEMO2 (EMC Update) v0.25_NRA_model_for_NEMO2 (EMC Update) v0.29.2_NRA_model_for_NEMO2 (EMC Update) v0.29.4_NRA_model_for_NEMO2 (EMC Update) v0 30 1" xfId="1747" xr:uid="{00000000-0005-0000-0000-00007D060000}"/>
    <cellStyle name="%_NRA_model_for_NEMO2 (EMC Update) v0.25_NRA_model_for_NEMO2 (EMC Update) v0.29.2_NRA_model_for_NEMO2 (EMC Update) v0.29.4_NRA_model_for_NEMO2 (EMC Update) v0.29.5" xfId="1748" xr:uid="{00000000-0005-0000-0000-00007E060000}"/>
    <cellStyle name="%_NRA_model_for_NEMO2 (EMC Update) v0.25_NRA_model_for_NEMO2 (EMC Update) v0.29.2_NRA_model_for_NEMO2 (EMC Update) v0.29.4_NRA_model_for_NEMO2 (EMC Update) v0.29.5_NRA_model_for_NEMO2 (EMC Update) v0 30 1" xfId="1749" xr:uid="{00000000-0005-0000-0000-00007F060000}"/>
    <cellStyle name="%_NRA_model_for_NEMO2 (EMC Update) v0.25_NRA_model_for_NEMO2 (EMC Update) v0.29.2_NRA_model_for_NEMO2 (EMC Update) v0.29.5" xfId="1750" xr:uid="{00000000-0005-0000-0000-000080060000}"/>
    <cellStyle name="%_NRA_model_for_NEMO2 (EMC Update) v0.25_NRA_model_for_NEMO2 (EMC Update) v0.29.2_NRA_model_for_NEMO2 (EMC Update) v0.29.5_NRA_model_for_NEMO2 (EMC Update) v0 30 1" xfId="1751" xr:uid="{00000000-0005-0000-0000-000081060000}"/>
    <cellStyle name="%_NRA_model_for_NEMO2 (EMC Update) v0.25_NRA_model_for_NEMO2 (EMC Update) v0.29.3" xfId="1752" xr:uid="{00000000-0005-0000-0000-000082060000}"/>
    <cellStyle name="%_NRA_model_for_NEMO2 (EMC Update) v0.25_NRA_model_for_NEMO2 (EMC Update) v0.29.3_NRA_model_for_NEMO2 (EMC Update) v0 30 1" xfId="1753" xr:uid="{00000000-0005-0000-0000-000083060000}"/>
    <cellStyle name="%_NRA_model_for_NEMO2 (EMC Update) v0.25_NRA_model_for_NEMO2 (EMC Update) v0.29.3_NRA_model_for_NEMO2 (EMC Update) v0.29.5" xfId="1754" xr:uid="{00000000-0005-0000-0000-000084060000}"/>
    <cellStyle name="%_NRA_model_for_NEMO2 (EMC Update) v0.25_NRA_model_for_NEMO2 (EMC Update) v0.29.3_NRA_model_for_NEMO2 (EMC Update) v0.29.5_NRA_model_for_NEMO2 (EMC Update) v0 30 1" xfId="1755" xr:uid="{00000000-0005-0000-0000-000085060000}"/>
    <cellStyle name="%_NRA_model_for_NEMO2 (EMC Update) v0.25_NRA_model_for_NEMO2 (EMC Update) v0.29.4" xfId="1756" xr:uid="{00000000-0005-0000-0000-000086060000}"/>
    <cellStyle name="%_NRA_model_for_NEMO2 (EMC Update) v0.25_NRA_model_for_NEMO2 (EMC Update) v0.29.4_NRA_model_for_NEMO2 (EMC Update) v0 30 1" xfId="1757" xr:uid="{00000000-0005-0000-0000-000087060000}"/>
    <cellStyle name="%_NRA_model_for_NEMO2 (EMC Update) v0.25_NRA_model_for_NEMO2 (EMC Update) v0.29.4_NRA_model_for_NEMO2 (EMC Update) v0.29.5" xfId="1758" xr:uid="{00000000-0005-0000-0000-000088060000}"/>
    <cellStyle name="%_NRA_model_for_NEMO2 (EMC Update) v0.25_NRA_model_for_NEMO2 (EMC Update) v0.29.4_NRA_model_for_NEMO2 (EMC Update) v0.29.5_NRA_model_for_NEMO2 (EMC Update) v0 30 1" xfId="1759" xr:uid="{00000000-0005-0000-0000-000089060000}"/>
    <cellStyle name="%_NRA_model_for_NEMO2 (EMC Update) v0.25_NRA_model_for_NEMO2 (EMC Update) v0.29.5" xfId="1760" xr:uid="{00000000-0005-0000-0000-00008A060000}"/>
    <cellStyle name="%_NRA_model_for_NEMO2 (EMC Update) v0.25_NRA_model_for_NEMO2 (EMC Update) v0.29.5_NRA_model_for_NEMO2 (EMC Update) v0 30 1" xfId="1761" xr:uid="{00000000-0005-0000-0000-00008B060000}"/>
    <cellStyle name="%_NRA_model_for_NEMO2 (EMC Update) v0.25_NRA_model_for_NEMO2 (EMC Update) v0.29_NRA_model_for_NEMO2 (EMC Update) v0 30 1" xfId="1762" xr:uid="{00000000-0005-0000-0000-00008C060000}"/>
    <cellStyle name="%_NRA_model_for_NEMO2 (EMC Update) v0.25_NRA_model_for_NEMO2 (EMC Update) v0.29_NRA_model_for_NEMO2 (EMC Update) v0.29.2" xfId="1763" xr:uid="{00000000-0005-0000-0000-00008D060000}"/>
    <cellStyle name="%_NRA_model_for_NEMO2 (EMC Update) v0.25_NRA_model_for_NEMO2 (EMC Update) v0.29_NRA_model_for_NEMO2 (EMC Update) v0.29.2_NRA_model_for_NEMO2 (EMC Update) v0 30 1" xfId="1764" xr:uid="{00000000-0005-0000-0000-00008E060000}"/>
    <cellStyle name="%_NRA_model_for_NEMO2 (EMC Update) v0.25_NRA_model_for_NEMO2 (EMC Update) v0.29_NRA_model_for_NEMO2 (EMC Update) v0.29.2_NRA_model_for_NEMO2 (EMC Update) v0.29.3" xfId="1765" xr:uid="{00000000-0005-0000-0000-00008F060000}"/>
    <cellStyle name="%_NRA_model_for_NEMO2 (EMC Update) v0.25_NRA_model_for_NEMO2 (EMC Update) v0.29_NRA_model_for_NEMO2 (EMC Update) v0.29.2_NRA_model_for_NEMO2 (EMC Update) v0.29.3_NRA_model_for_NEMO2 (EMC Update) v0 30 1" xfId="1766" xr:uid="{00000000-0005-0000-0000-000090060000}"/>
    <cellStyle name="%_NRA_model_for_NEMO2 (EMC Update) v0.25_NRA_model_for_NEMO2 (EMC Update) v0.29_NRA_model_for_NEMO2 (EMC Update) v0.29.2_NRA_model_for_NEMO2 (EMC Update) v0.29.3_NRA_model_for_NEMO2 (EMC Update) v0.29.5" xfId="1767" xr:uid="{00000000-0005-0000-0000-000091060000}"/>
    <cellStyle name="%_NRA_model_for_NEMO2 (EMC Update) v0.25_NRA_model_for_NEMO2 (EMC Update) v0.29_NRA_model_for_NEMO2 (EMC Update) v0.29.2_NRA_model_for_NEMO2 (EMC Update) v0.29.3_NRA_model_for_NEMO2 (EMC Update) v0.29.5_NRA_model_for_NEMO2 (EMC Update) v0 30 1" xfId="1768" xr:uid="{00000000-0005-0000-0000-000092060000}"/>
    <cellStyle name="%_NRA_model_for_NEMO2 (EMC Update) v0.25_NRA_model_for_NEMO2 (EMC Update) v0.29_NRA_model_for_NEMO2 (EMC Update) v0.29.2_NRA_model_for_NEMO2 (EMC Update) v0.29.4" xfId="1769" xr:uid="{00000000-0005-0000-0000-000093060000}"/>
    <cellStyle name="%_NRA_model_for_NEMO2 (EMC Update) v0.25_NRA_model_for_NEMO2 (EMC Update) v0.29_NRA_model_for_NEMO2 (EMC Update) v0.29.2_NRA_model_for_NEMO2 (EMC Update) v0.29.4_NRA_model_for_NEMO2 (EMC Update) v0 30 1" xfId="1770" xr:uid="{00000000-0005-0000-0000-000094060000}"/>
    <cellStyle name="%_NRA_model_for_NEMO2 (EMC Update) v0.25_NRA_model_for_NEMO2 (EMC Update) v0.29_NRA_model_for_NEMO2 (EMC Update) v0.29.2_NRA_model_for_NEMO2 (EMC Update) v0.29.4_NRA_model_for_NEMO2 (EMC Update) v0.29.5" xfId="1771" xr:uid="{00000000-0005-0000-0000-000095060000}"/>
    <cellStyle name="%_NRA_model_for_NEMO2 (EMC Update) v0.25_NRA_model_for_NEMO2 (EMC Update) v0.29_NRA_model_for_NEMO2 (EMC Update) v0.29.2_NRA_model_for_NEMO2 (EMC Update) v0.29.4_NRA_model_for_NEMO2 (EMC Update) v0.29.5_NRA_model_for_NEMO2 (EMC Update) v0 30 1" xfId="1772" xr:uid="{00000000-0005-0000-0000-000096060000}"/>
    <cellStyle name="%_NRA_model_for_NEMO2 (EMC Update) v0.25_NRA_model_for_NEMO2 (EMC Update) v0.29_NRA_model_for_NEMO2 (EMC Update) v0.29.2_NRA_model_for_NEMO2 (EMC Update) v0.29.5" xfId="1773" xr:uid="{00000000-0005-0000-0000-000097060000}"/>
    <cellStyle name="%_NRA_model_for_NEMO2 (EMC Update) v0.25_NRA_model_for_NEMO2 (EMC Update) v0.29_NRA_model_for_NEMO2 (EMC Update) v0.29.2_NRA_model_for_NEMO2 (EMC Update) v0.29.5_NRA_model_for_NEMO2 (EMC Update) v0 30 1" xfId="1774" xr:uid="{00000000-0005-0000-0000-000098060000}"/>
    <cellStyle name="%_NRA_model_for_NEMO2 (EMC Update) v0.25_NRA_model_for_NEMO2 (EMC Update) v0.29_NRA_model_for_NEMO2 (EMC Update) v0.29.3" xfId="1775" xr:uid="{00000000-0005-0000-0000-000099060000}"/>
    <cellStyle name="%_NRA_model_for_NEMO2 (EMC Update) v0.25_NRA_model_for_NEMO2 (EMC Update) v0.29_NRA_model_for_NEMO2 (EMC Update) v0.29.3_NRA_model_for_NEMO2 (EMC Update) v0 30 1" xfId="1776" xr:uid="{00000000-0005-0000-0000-00009A060000}"/>
    <cellStyle name="%_NRA_model_for_NEMO2 (EMC Update) v0.25_NRA_model_for_NEMO2 (EMC Update) v0.29_NRA_model_for_NEMO2 (EMC Update) v0.29.3_NRA_model_for_NEMO2 (EMC Update) v0.29.5" xfId="1777" xr:uid="{00000000-0005-0000-0000-00009B060000}"/>
    <cellStyle name="%_NRA_model_for_NEMO2 (EMC Update) v0.25_NRA_model_for_NEMO2 (EMC Update) v0.29_NRA_model_for_NEMO2 (EMC Update) v0.29.3_NRA_model_for_NEMO2 (EMC Update) v0.29.5_NRA_model_for_NEMO2 (EMC Update) v0 30 1" xfId="1778" xr:uid="{00000000-0005-0000-0000-00009C060000}"/>
    <cellStyle name="%_NRA_model_for_NEMO2 (EMC Update) v0.25_NRA_model_for_NEMO2 (EMC Update) v0.29_NRA_model_for_NEMO2 (EMC Update) v0.29.4" xfId="1779" xr:uid="{00000000-0005-0000-0000-00009D060000}"/>
    <cellStyle name="%_NRA_model_for_NEMO2 (EMC Update) v0.25_NRA_model_for_NEMO2 (EMC Update) v0.29_NRA_model_for_NEMO2 (EMC Update) v0.29.4_NRA_model_for_NEMO2 (EMC Update) v0 30 1" xfId="1780" xr:uid="{00000000-0005-0000-0000-00009E060000}"/>
    <cellStyle name="%_NRA_model_for_NEMO2 (EMC Update) v0.25_NRA_model_for_NEMO2 (EMC Update) v0.29_NRA_model_for_NEMO2 (EMC Update) v0.29.4_NRA_model_for_NEMO2 (EMC Update) v0.29.5" xfId="1781" xr:uid="{00000000-0005-0000-0000-00009F060000}"/>
    <cellStyle name="%_NRA_model_for_NEMO2 (EMC Update) v0.25_NRA_model_for_NEMO2 (EMC Update) v0.29_NRA_model_for_NEMO2 (EMC Update) v0.29.4_NRA_model_for_NEMO2 (EMC Update) v0.29.5_NRA_model_for_NEMO2 (EMC Update) v0 30 1" xfId="1782" xr:uid="{00000000-0005-0000-0000-0000A0060000}"/>
    <cellStyle name="%_NRA_model_for_NEMO2 (EMC Update) v0.25_NRA_model_for_NEMO2 (EMC Update) v0.29_NRA_model_for_NEMO2 (EMC Update) v0.29.5" xfId="1783" xr:uid="{00000000-0005-0000-0000-0000A1060000}"/>
    <cellStyle name="%_NRA_model_for_NEMO2 (EMC Update) v0.25_NRA_model_for_NEMO2 (EMC Update) v0.29_NRA_model_for_NEMO2 (EMC Update) v0.29.5_NRA_model_for_NEMO2 (EMC Update) v0 30 1" xfId="1784" xr:uid="{00000000-0005-0000-0000-0000A2060000}"/>
    <cellStyle name="%_NRA_model_for_NEMO2 (EMC Update) v0.26" xfId="1785" xr:uid="{00000000-0005-0000-0000-0000A3060000}"/>
    <cellStyle name="%_NRA_model_for_NEMO2 (EMC Update) v0.26_NRA_model_for_NEMO2 (EMC Update) v0 30 1" xfId="1786" xr:uid="{00000000-0005-0000-0000-0000A4060000}"/>
    <cellStyle name="%_NRA_model_for_NEMO2 (EMC Update) v0.26_NRA_model_for_NEMO2 (EMC Update) v0.29" xfId="1787" xr:uid="{00000000-0005-0000-0000-0000A5060000}"/>
    <cellStyle name="%_NRA_model_for_NEMO2 (EMC Update) v0.26_NRA_model_for_NEMO2 (EMC Update) v0.29.2" xfId="1788" xr:uid="{00000000-0005-0000-0000-0000A6060000}"/>
    <cellStyle name="%_NRA_model_for_NEMO2 (EMC Update) v0.26_NRA_model_for_NEMO2 (EMC Update) v0.29.2_NRA_model_for_NEMO2 (EMC Update) v0 30 1" xfId="1789" xr:uid="{00000000-0005-0000-0000-0000A7060000}"/>
    <cellStyle name="%_NRA_model_for_NEMO2 (EMC Update) v0.26_NRA_model_for_NEMO2 (EMC Update) v0.29.2_NRA_model_for_NEMO2 (EMC Update) v0.29.3" xfId="1790" xr:uid="{00000000-0005-0000-0000-0000A8060000}"/>
    <cellStyle name="%_NRA_model_for_NEMO2 (EMC Update) v0.26_NRA_model_for_NEMO2 (EMC Update) v0.29.2_NRA_model_for_NEMO2 (EMC Update) v0.29.3_NRA_model_for_NEMO2 (EMC Update) v0 30 1" xfId="1791" xr:uid="{00000000-0005-0000-0000-0000A9060000}"/>
    <cellStyle name="%_NRA_model_for_NEMO2 (EMC Update) v0.26_NRA_model_for_NEMO2 (EMC Update) v0.29.2_NRA_model_for_NEMO2 (EMC Update) v0.29.3_NRA_model_for_NEMO2 (EMC Update) v0.29.5" xfId="1792" xr:uid="{00000000-0005-0000-0000-0000AA060000}"/>
    <cellStyle name="%_NRA_model_for_NEMO2 (EMC Update) v0.26_NRA_model_for_NEMO2 (EMC Update) v0.29.2_NRA_model_for_NEMO2 (EMC Update) v0.29.3_NRA_model_for_NEMO2 (EMC Update) v0.29.5_NRA_model_for_NEMO2 (EMC Update) v0 30 1" xfId="1793" xr:uid="{00000000-0005-0000-0000-0000AB060000}"/>
    <cellStyle name="%_NRA_model_for_NEMO2 (EMC Update) v0.26_NRA_model_for_NEMO2 (EMC Update) v0.29.2_NRA_model_for_NEMO2 (EMC Update) v0.29.4" xfId="1794" xr:uid="{00000000-0005-0000-0000-0000AC060000}"/>
    <cellStyle name="%_NRA_model_for_NEMO2 (EMC Update) v0.26_NRA_model_for_NEMO2 (EMC Update) v0.29.2_NRA_model_for_NEMO2 (EMC Update) v0.29.4_NRA_model_for_NEMO2 (EMC Update) v0 30 1" xfId="1795" xr:uid="{00000000-0005-0000-0000-0000AD060000}"/>
    <cellStyle name="%_NRA_model_for_NEMO2 (EMC Update) v0.26_NRA_model_for_NEMO2 (EMC Update) v0.29.2_NRA_model_for_NEMO2 (EMC Update) v0.29.4_NRA_model_for_NEMO2 (EMC Update) v0.29.5" xfId="1796" xr:uid="{00000000-0005-0000-0000-0000AE060000}"/>
    <cellStyle name="%_NRA_model_for_NEMO2 (EMC Update) v0.26_NRA_model_for_NEMO2 (EMC Update) v0.29.2_NRA_model_for_NEMO2 (EMC Update) v0.29.4_NRA_model_for_NEMO2 (EMC Update) v0.29.5_NRA_model_for_NEMO2 (EMC Update) v0 30 1" xfId="1797" xr:uid="{00000000-0005-0000-0000-0000AF060000}"/>
    <cellStyle name="%_NRA_model_for_NEMO2 (EMC Update) v0.26_NRA_model_for_NEMO2 (EMC Update) v0.29.2_NRA_model_for_NEMO2 (EMC Update) v0.29.5" xfId="1798" xr:uid="{00000000-0005-0000-0000-0000B0060000}"/>
    <cellStyle name="%_NRA_model_for_NEMO2 (EMC Update) v0.26_NRA_model_for_NEMO2 (EMC Update) v0.29.2_NRA_model_for_NEMO2 (EMC Update) v0.29.5_NRA_model_for_NEMO2 (EMC Update) v0 30 1" xfId="1799" xr:uid="{00000000-0005-0000-0000-0000B1060000}"/>
    <cellStyle name="%_NRA_model_for_NEMO2 (EMC Update) v0.26_NRA_model_for_NEMO2 (EMC Update) v0.29.3" xfId="1800" xr:uid="{00000000-0005-0000-0000-0000B2060000}"/>
    <cellStyle name="%_NRA_model_for_NEMO2 (EMC Update) v0.26_NRA_model_for_NEMO2 (EMC Update) v0.29.3_NRA_model_for_NEMO2 (EMC Update) v0 30 1" xfId="1801" xr:uid="{00000000-0005-0000-0000-0000B3060000}"/>
    <cellStyle name="%_NRA_model_for_NEMO2 (EMC Update) v0.26_NRA_model_for_NEMO2 (EMC Update) v0.29.3_NRA_model_for_NEMO2 (EMC Update) v0.29.5" xfId="1802" xr:uid="{00000000-0005-0000-0000-0000B4060000}"/>
    <cellStyle name="%_NRA_model_for_NEMO2 (EMC Update) v0.26_NRA_model_for_NEMO2 (EMC Update) v0.29.3_NRA_model_for_NEMO2 (EMC Update) v0.29.5_NRA_model_for_NEMO2 (EMC Update) v0 30 1" xfId="1803" xr:uid="{00000000-0005-0000-0000-0000B5060000}"/>
    <cellStyle name="%_NRA_model_for_NEMO2 (EMC Update) v0.26_NRA_model_for_NEMO2 (EMC Update) v0.29.4" xfId="1804" xr:uid="{00000000-0005-0000-0000-0000B6060000}"/>
    <cellStyle name="%_NRA_model_for_NEMO2 (EMC Update) v0.26_NRA_model_for_NEMO2 (EMC Update) v0.29.4_NRA_model_for_NEMO2 (EMC Update) v0 30 1" xfId="1805" xr:uid="{00000000-0005-0000-0000-0000B7060000}"/>
    <cellStyle name="%_NRA_model_for_NEMO2 (EMC Update) v0.26_NRA_model_for_NEMO2 (EMC Update) v0.29.4_NRA_model_for_NEMO2 (EMC Update) v0.29.5" xfId="1806" xr:uid="{00000000-0005-0000-0000-0000B8060000}"/>
    <cellStyle name="%_NRA_model_for_NEMO2 (EMC Update) v0.26_NRA_model_for_NEMO2 (EMC Update) v0.29.4_NRA_model_for_NEMO2 (EMC Update) v0.29.5_NRA_model_for_NEMO2 (EMC Update) v0 30 1" xfId="1807" xr:uid="{00000000-0005-0000-0000-0000B9060000}"/>
    <cellStyle name="%_NRA_model_for_NEMO2 (EMC Update) v0.26_NRA_model_for_NEMO2 (EMC Update) v0.29.5" xfId="1808" xr:uid="{00000000-0005-0000-0000-0000BA060000}"/>
    <cellStyle name="%_NRA_model_for_NEMO2 (EMC Update) v0.26_NRA_model_for_NEMO2 (EMC Update) v0.29.5_NRA_model_for_NEMO2 (EMC Update) v0 30 1" xfId="1809" xr:uid="{00000000-0005-0000-0000-0000BB060000}"/>
    <cellStyle name="%_NRA_model_for_NEMO2 (EMC Update) v0.26_NRA_model_for_NEMO2 (EMC Update) v0.29_NRA_model_for_NEMO2 (EMC Update) v0 30 1" xfId="1810" xr:uid="{00000000-0005-0000-0000-0000BC060000}"/>
    <cellStyle name="%_NRA_model_for_NEMO2 (EMC Update) v0.26_NRA_model_for_NEMO2 (EMC Update) v0.29_NRA_model_for_NEMO2 (EMC Update) v0.29.2" xfId="1811" xr:uid="{00000000-0005-0000-0000-0000BD060000}"/>
    <cellStyle name="%_NRA_model_for_NEMO2 (EMC Update) v0.26_NRA_model_for_NEMO2 (EMC Update) v0.29_NRA_model_for_NEMO2 (EMC Update) v0.29.2_NRA_model_for_NEMO2 (EMC Update) v0 30 1" xfId="1812" xr:uid="{00000000-0005-0000-0000-0000BE060000}"/>
    <cellStyle name="%_NRA_model_for_NEMO2 (EMC Update) v0.26_NRA_model_for_NEMO2 (EMC Update) v0.29_NRA_model_for_NEMO2 (EMC Update) v0.29.2_NRA_model_for_NEMO2 (EMC Update) v0.29.3" xfId="1813" xr:uid="{00000000-0005-0000-0000-0000BF060000}"/>
    <cellStyle name="%_NRA_model_for_NEMO2 (EMC Update) v0.26_NRA_model_for_NEMO2 (EMC Update) v0.29_NRA_model_for_NEMO2 (EMC Update) v0.29.2_NRA_model_for_NEMO2 (EMC Update) v0.29.3_NRA_model_for_NEMO2 (EMC Update) v0 30 1" xfId="1814" xr:uid="{00000000-0005-0000-0000-0000C0060000}"/>
    <cellStyle name="%_NRA_model_for_NEMO2 (EMC Update) v0.26_NRA_model_for_NEMO2 (EMC Update) v0.29_NRA_model_for_NEMO2 (EMC Update) v0.29.2_NRA_model_for_NEMO2 (EMC Update) v0.29.3_NRA_model_for_NEMO2 (EMC Update) v0.29.5" xfId="1815" xr:uid="{00000000-0005-0000-0000-0000C1060000}"/>
    <cellStyle name="%_NRA_model_for_NEMO2 (EMC Update) v0.26_NRA_model_for_NEMO2 (EMC Update) v0.29_NRA_model_for_NEMO2 (EMC Update) v0.29.2_NRA_model_for_NEMO2 (EMC Update) v0.29.3_NRA_model_for_NEMO2 (EMC Update) v0.29.5_NRA_model_for_NEMO2 (EMC Update) v0 30 1" xfId="1816" xr:uid="{00000000-0005-0000-0000-0000C2060000}"/>
    <cellStyle name="%_NRA_model_for_NEMO2 (EMC Update) v0.26_NRA_model_for_NEMO2 (EMC Update) v0.29_NRA_model_for_NEMO2 (EMC Update) v0.29.2_NRA_model_for_NEMO2 (EMC Update) v0.29.4" xfId="1817" xr:uid="{00000000-0005-0000-0000-0000C3060000}"/>
    <cellStyle name="%_NRA_model_for_NEMO2 (EMC Update) v0.26_NRA_model_for_NEMO2 (EMC Update) v0.29_NRA_model_for_NEMO2 (EMC Update) v0.29.2_NRA_model_for_NEMO2 (EMC Update) v0.29.4_NRA_model_for_NEMO2 (EMC Update) v0 30 1" xfId="1818" xr:uid="{00000000-0005-0000-0000-0000C4060000}"/>
    <cellStyle name="%_NRA_model_for_NEMO2 (EMC Update) v0.26_NRA_model_for_NEMO2 (EMC Update) v0.29_NRA_model_for_NEMO2 (EMC Update) v0.29.2_NRA_model_for_NEMO2 (EMC Update) v0.29.4_NRA_model_for_NEMO2 (EMC Update) v0.29.5" xfId="1819" xr:uid="{00000000-0005-0000-0000-0000C5060000}"/>
    <cellStyle name="%_NRA_model_for_NEMO2 (EMC Update) v0.26_NRA_model_for_NEMO2 (EMC Update) v0.29_NRA_model_for_NEMO2 (EMC Update) v0.29.2_NRA_model_for_NEMO2 (EMC Update) v0.29.4_NRA_model_for_NEMO2 (EMC Update) v0.29.5_NRA_model_for_NEMO2 (EMC Update) v0 30 1" xfId="1820" xr:uid="{00000000-0005-0000-0000-0000C6060000}"/>
    <cellStyle name="%_NRA_model_for_NEMO2 (EMC Update) v0.26_NRA_model_for_NEMO2 (EMC Update) v0.29_NRA_model_for_NEMO2 (EMC Update) v0.29.2_NRA_model_for_NEMO2 (EMC Update) v0.29.5" xfId="1821" xr:uid="{00000000-0005-0000-0000-0000C7060000}"/>
    <cellStyle name="%_NRA_model_for_NEMO2 (EMC Update) v0.26_NRA_model_for_NEMO2 (EMC Update) v0.29_NRA_model_for_NEMO2 (EMC Update) v0.29.2_NRA_model_for_NEMO2 (EMC Update) v0.29.5_NRA_model_for_NEMO2 (EMC Update) v0 30 1" xfId="1822" xr:uid="{00000000-0005-0000-0000-0000C8060000}"/>
    <cellStyle name="%_NRA_model_for_NEMO2 (EMC Update) v0.26_NRA_model_for_NEMO2 (EMC Update) v0.29_NRA_model_for_NEMO2 (EMC Update) v0.29.3" xfId="1823" xr:uid="{00000000-0005-0000-0000-0000C9060000}"/>
    <cellStyle name="%_NRA_model_for_NEMO2 (EMC Update) v0.26_NRA_model_for_NEMO2 (EMC Update) v0.29_NRA_model_for_NEMO2 (EMC Update) v0.29.3_NRA_model_for_NEMO2 (EMC Update) v0 30 1" xfId="1824" xr:uid="{00000000-0005-0000-0000-0000CA060000}"/>
    <cellStyle name="%_NRA_model_for_NEMO2 (EMC Update) v0.26_NRA_model_for_NEMO2 (EMC Update) v0.29_NRA_model_for_NEMO2 (EMC Update) v0.29.3_NRA_model_for_NEMO2 (EMC Update) v0.29.5" xfId="1825" xr:uid="{00000000-0005-0000-0000-0000CB060000}"/>
    <cellStyle name="%_NRA_model_for_NEMO2 (EMC Update) v0.26_NRA_model_for_NEMO2 (EMC Update) v0.29_NRA_model_for_NEMO2 (EMC Update) v0.29.3_NRA_model_for_NEMO2 (EMC Update) v0.29.5_NRA_model_for_NEMO2 (EMC Update) v0 30 1" xfId="1826" xr:uid="{00000000-0005-0000-0000-0000CC060000}"/>
    <cellStyle name="%_NRA_model_for_NEMO2 (EMC Update) v0.26_NRA_model_for_NEMO2 (EMC Update) v0.29_NRA_model_for_NEMO2 (EMC Update) v0.29.4" xfId="1827" xr:uid="{00000000-0005-0000-0000-0000CD060000}"/>
    <cellStyle name="%_NRA_model_for_NEMO2 (EMC Update) v0.26_NRA_model_for_NEMO2 (EMC Update) v0.29_NRA_model_for_NEMO2 (EMC Update) v0.29.4_NRA_model_for_NEMO2 (EMC Update) v0 30 1" xfId="1828" xr:uid="{00000000-0005-0000-0000-0000CE060000}"/>
    <cellStyle name="%_NRA_model_for_NEMO2 (EMC Update) v0.26_NRA_model_for_NEMO2 (EMC Update) v0.29_NRA_model_for_NEMO2 (EMC Update) v0.29.4_NRA_model_for_NEMO2 (EMC Update) v0.29.5" xfId="1829" xr:uid="{00000000-0005-0000-0000-0000CF060000}"/>
    <cellStyle name="%_NRA_model_for_NEMO2 (EMC Update) v0.26_NRA_model_for_NEMO2 (EMC Update) v0.29_NRA_model_for_NEMO2 (EMC Update) v0.29.4_NRA_model_for_NEMO2 (EMC Update) v0.29.5_NRA_model_for_NEMO2 (EMC Update) v0 30 1" xfId="1830" xr:uid="{00000000-0005-0000-0000-0000D0060000}"/>
    <cellStyle name="%_NRA_model_for_NEMO2 (EMC Update) v0.26_NRA_model_for_NEMO2 (EMC Update) v0.29_NRA_model_for_NEMO2 (EMC Update) v0.29.5" xfId="1831" xr:uid="{00000000-0005-0000-0000-0000D1060000}"/>
    <cellStyle name="%_NRA_model_for_NEMO2 (EMC Update) v0.26_NRA_model_for_NEMO2 (EMC Update) v0.29_NRA_model_for_NEMO2 (EMC Update) v0.29.5_NRA_model_for_NEMO2 (EMC Update) v0 30 1" xfId="1832" xr:uid="{00000000-0005-0000-0000-0000D2060000}"/>
    <cellStyle name="%_NRA_model_for_NEMO2 (EMC Update) v0.29" xfId="1833" xr:uid="{00000000-0005-0000-0000-0000D3060000}"/>
    <cellStyle name="%_NRA_model_for_NEMO2 (EMC Update) v0.29.2" xfId="1834" xr:uid="{00000000-0005-0000-0000-0000D4060000}"/>
    <cellStyle name="%_NRA_model_for_NEMO2 (EMC Update) v0.29.2_NRA_model_for_NEMO2 (EMC Update) v0 30 1" xfId="1835" xr:uid="{00000000-0005-0000-0000-0000D5060000}"/>
    <cellStyle name="%_NRA_model_for_NEMO2 (EMC Update) v0.29.2_NRA_model_for_NEMO2 (EMC Update) v0.29.3" xfId="1836" xr:uid="{00000000-0005-0000-0000-0000D6060000}"/>
    <cellStyle name="%_NRA_model_for_NEMO2 (EMC Update) v0.29.2_NRA_model_for_NEMO2 (EMC Update) v0.29.3_NRA_model_for_NEMO2 (EMC Update) v0 30 1" xfId="1837" xr:uid="{00000000-0005-0000-0000-0000D7060000}"/>
    <cellStyle name="%_NRA_model_for_NEMO2 (EMC Update) v0.29.2_NRA_model_for_NEMO2 (EMC Update) v0.29.3_NRA_model_for_NEMO2 (EMC Update) v0.29.5" xfId="1838" xr:uid="{00000000-0005-0000-0000-0000D8060000}"/>
    <cellStyle name="%_NRA_model_for_NEMO2 (EMC Update) v0.29.2_NRA_model_for_NEMO2 (EMC Update) v0.29.3_NRA_model_for_NEMO2 (EMC Update) v0.29.5_NRA_model_for_NEMO2 (EMC Update) v0 30 1" xfId="1839" xr:uid="{00000000-0005-0000-0000-0000D9060000}"/>
    <cellStyle name="%_NRA_model_for_NEMO2 (EMC Update) v0.29.2_NRA_model_for_NEMO2 (EMC Update) v0.29.4" xfId="1840" xr:uid="{00000000-0005-0000-0000-0000DA060000}"/>
    <cellStyle name="%_NRA_model_for_NEMO2 (EMC Update) v0.29.2_NRA_model_for_NEMO2 (EMC Update) v0.29.4_NRA_model_for_NEMO2 (EMC Update) v0 30 1" xfId="1841" xr:uid="{00000000-0005-0000-0000-0000DB060000}"/>
    <cellStyle name="%_NRA_model_for_NEMO2 (EMC Update) v0.29.2_NRA_model_for_NEMO2 (EMC Update) v0.29.4_NRA_model_for_NEMO2 (EMC Update) v0.29.5" xfId="1842" xr:uid="{00000000-0005-0000-0000-0000DC060000}"/>
    <cellStyle name="%_NRA_model_for_NEMO2 (EMC Update) v0.29.2_NRA_model_for_NEMO2 (EMC Update) v0.29.4_NRA_model_for_NEMO2 (EMC Update) v0.29.5_NRA_model_for_NEMO2 (EMC Update) v0 30 1" xfId="1843" xr:uid="{00000000-0005-0000-0000-0000DD060000}"/>
    <cellStyle name="%_NRA_model_for_NEMO2 (EMC Update) v0.29.2_NRA_model_for_NEMO2 (EMC Update) v0.29.5" xfId="1844" xr:uid="{00000000-0005-0000-0000-0000DE060000}"/>
    <cellStyle name="%_NRA_model_for_NEMO2 (EMC Update) v0.29.2_NRA_model_for_NEMO2 (EMC Update) v0.29.5_NRA_model_for_NEMO2 (EMC Update) v0 30 1" xfId="1845" xr:uid="{00000000-0005-0000-0000-0000DF060000}"/>
    <cellStyle name="%_NRA_model_for_NEMO2 (EMC Update) v0.29.3" xfId="1846" xr:uid="{00000000-0005-0000-0000-0000E0060000}"/>
    <cellStyle name="%_NRA_model_for_NEMO2 (EMC Update) v0.29.3_NRA_model_for_NEMO2 (EMC Update) v0 30 1" xfId="1847" xr:uid="{00000000-0005-0000-0000-0000E1060000}"/>
    <cellStyle name="%_NRA_model_for_NEMO2 (EMC Update) v0.29.3_NRA_model_for_NEMO2 (EMC Update) v0.29.5" xfId="1848" xr:uid="{00000000-0005-0000-0000-0000E2060000}"/>
    <cellStyle name="%_NRA_model_for_NEMO2 (EMC Update) v0.29.3_NRA_model_for_NEMO2 (EMC Update) v0.29.5_NRA_model_for_NEMO2 (EMC Update) v0 30 1" xfId="1849" xr:uid="{00000000-0005-0000-0000-0000E3060000}"/>
    <cellStyle name="%_NRA_model_for_NEMO2 (EMC Update) v0.29.4" xfId="1850" xr:uid="{00000000-0005-0000-0000-0000E4060000}"/>
    <cellStyle name="%_NRA_model_for_NEMO2 (EMC Update) v0.29.4_NRA_model_for_NEMO2 (EMC Update) v0 30 1" xfId="1851" xr:uid="{00000000-0005-0000-0000-0000E5060000}"/>
    <cellStyle name="%_NRA_model_for_NEMO2 (EMC Update) v0.29.4_NRA_model_for_NEMO2 (EMC Update) v0.29.5" xfId="1852" xr:uid="{00000000-0005-0000-0000-0000E6060000}"/>
    <cellStyle name="%_NRA_model_for_NEMO2 (EMC Update) v0.29.4_NRA_model_for_NEMO2 (EMC Update) v0.29.5_NRA_model_for_NEMO2 (EMC Update) v0 30 1" xfId="1853" xr:uid="{00000000-0005-0000-0000-0000E7060000}"/>
    <cellStyle name="%_NRA_model_for_NEMO2 (EMC Update) v0.29.5" xfId="1854" xr:uid="{00000000-0005-0000-0000-0000E8060000}"/>
    <cellStyle name="%_NRA_model_for_NEMO2 (EMC Update) v0.29.5_NRA_model_for_NEMO2 (EMC Update) v0 30 1" xfId="1855" xr:uid="{00000000-0005-0000-0000-0000E9060000}"/>
    <cellStyle name="%_NRA_model_for_NEMO2 (EMC Update) v0.29_NRA_model_for_NEMO2 (EMC Update) v0 30 1" xfId="1856" xr:uid="{00000000-0005-0000-0000-0000EA060000}"/>
    <cellStyle name="%_NRA_model_for_NEMO2 (EMC Update) v0.29_NRA_model_for_NEMO2 (EMC Update) v0.29.2" xfId="1857" xr:uid="{00000000-0005-0000-0000-0000EB060000}"/>
    <cellStyle name="%_NRA_model_for_NEMO2 (EMC Update) v0.29_NRA_model_for_NEMO2 (EMC Update) v0.29.2_NRA_model_for_NEMO2 (EMC Update) v0 30 1" xfId="1858" xr:uid="{00000000-0005-0000-0000-0000EC060000}"/>
    <cellStyle name="%_NRA_model_for_NEMO2 (EMC Update) v0.29_NRA_model_for_NEMO2 (EMC Update) v0.29.2_NRA_model_for_NEMO2 (EMC Update) v0.29.3" xfId="1859" xr:uid="{00000000-0005-0000-0000-0000ED060000}"/>
    <cellStyle name="%_NRA_model_for_NEMO2 (EMC Update) v0.29_NRA_model_for_NEMO2 (EMC Update) v0.29.2_NRA_model_for_NEMO2 (EMC Update) v0.29.3_NRA_model_for_NEMO2 (EMC Update) v0 30 1" xfId="1860" xr:uid="{00000000-0005-0000-0000-0000EE060000}"/>
    <cellStyle name="%_NRA_model_for_NEMO2 (EMC Update) v0.29_NRA_model_for_NEMO2 (EMC Update) v0.29.2_NRA_model_for_NEMO2 (EMC Update) v0.29.3_NRA_model_for_NEMO2 (EMC Update) v0.29.5" xfId="1861" xr:uid="{00000000-0005-0000-0000-0000EF060000}"/>
    <cellStyle name="%_NRA_model_for_NEMO2 (EMC Update) v0.29_NRA_model_for_NEMO2 (EMC Update) v0.29.2_NRA_model_for_NEMO2 (EMC Update) v0.29.3_NRA_model_for_NEMO2 (EMC Update) v0.29.5_NRA_model_for_NEMO2 (EMC Update) v0 30 1" xfId="1862" xr:uid="{00000000-0005-0000-0000-0000F0060000}"/>
    <cellStyle name="%_NRA_model_for_NEMO2 (EMC Update) v0.29_NRA_model_for_NEMO2 (EMC Update) v0.29.2_NRA_model_for_NEMO2 (EMC Update) v0.29.4" xfId="1863" xr:uid="{00000000-0005-0000-0000-0000F1060000}"/>
    <cellStyle name="%_NRA_model_for_NEMO2 (EMC Update) v0.29_NRA_model_for_NEMO2 (EMC Update) v0.29.2_NRA_model_for_NEMO2 (EMC Update) v0.29.4_NRA_model_for_NEMO2 (EMC Update) v0 30 1" xfId="1864" xr:uid="{00000000-0005-0000-0000-0000F2060000}"/>
    <cellStyle name="%_NRA_model_for_NEMO2 (EMC Update) v0.29_NRA_model_for_NEMO2 (EMC Update) v0.29.2_NRA_model_for_NEMO2 (EMC Update) v0.29.4_NRA_model_for_NEMO2 (EMC Update) v0.29.5" xfId="1865" xr:uid="{00000000-0005-0000-0000-0000F3060000}"/>
    <cellStyle name="%_NRA_model_for_NEMO2 (EMC Update) v0.29_NRA_model_for_NEMO2 (EMC Update) v0.29.2_NRA_model_for_NEMO2 (EMC Update) v0.29.4_NRA_model_for_NEMO2 (EMC Update) v0.29.5_NRA_model_for_NEMO2 (EMC Update) v0 30 1" xfId="1866" xr:uid="{00000000-0005-0000-0000-0000F4060000}"/>
    <cellStyle name="%_NRA_model_for_NEMO2 (EMC Update) v0.29_NRA_model_for_NEMO2 (EMC Update) v0.29.2_NRA_model_for_NEMO2 (EMC Update) v0.29.5" xfId="1867" xr:uid="{00000000-0005-0000-0000-0000F5060000}"/>
    <cellStyle name="%_NRA_model_for_NEMO2 (EMC Update) v0.29_NRA_model_for_NEMO2 (EMC Update) v0.29.2_NRA_model_for_NEMO2 (EMC Update) v0.29.5_NRA_model_for_NEMO2 (EMC Update) v0 30 1" xfId="1868" xr:uid="{00000000-0005-0000-0000-0000F6060000}"/>
    <cellStyle name="%_NRA_model_for_NEMO2 (EMC Update) v0.29_NRA_model_for_NEMO2 (EMC Update) v0.29.3" xfId="1869" xr:uid="{00000000-0005-0000-0000-0000F7060000}"/>
    <cellStyle name="%_NRA_model_for_NEMO2 (EMC Update) v0.29_NRA_model_for_NEMO2 (EMC Update) v0.29.3_NRA_model_for_NEMO2 (EMC Update) v0 30 1" xfId="1870" xr:uid="{00000000-0005-0000-0000-0000F8060000}"/>
    <cellStyle name="%_NRA_model_for_NEMO2 (EMC Update) v0.29_NRA_model_for_NEMO2 (EMC Update) v0.29.3_NRA_model_for_NEMO2 (EMC Update) v0.29.5" xfId="1871" xr:uid="{00000000-0005-0000-0000-0000F9060000}"/>
    <cellStyle name="%_NRA_model_for_NEMO2 (EMC Update) v0.29_NRA_model_for_NEMO2 (EMC Update) v0.29.3_NRA_model_for_NEMO2 (EMC Update) v0.29.5_NRA_model_for_NEMO2 (EMC Update) v0 30 1" xfId="1872" xr:uid="{00000000-0005-0000-0000-0000FA060000}"/>
    <cellStyle name="%_NRA_model_for_NEMO2 (EMC Update) v0.29_NRA_model_for_NEMO2 (EMC Update) v0.29.4" xfId="1873" xr:uid="{00000000-0005-0000-0000-0000FB060000}"/>
    <cellStyle name="%_NRA_model_for_NEMO2 (EMC Update) v0.29_NRA_model_for_NEMO2 (EMC Update) v0.29.4_NRA_model_for_NEMO2 (EMC Update) v0 30 1" xfId="1874" xr:uid="{00000000-0005-0000-0000-0000FC060000}"/>
    <cellStyle name="%_NRA_model_for_NEMO2 (EMC Update) v0.29_NRA_model_for_NEMO2 (EMC Update) v0.29.4_NRA_model_for_NEMO2 (EMC Update) v0.29.5" xfId="1875" xr:uid="{00000000-0005-0000-0000-0000FD060000}"/>
    <cellStyle name="%_NRA_model_for_NEMO2 (EMC Update) v0.29_NRA_model_for_NEMO2 (EMC Update) v0.29.4_NRA_model_for_NEMO2 (EMC Update) v0.29.5_NRA_model_for_NEMO2 (EMC Update) v0 30 1" xfId="1876" xr:uid="{00000000-0005-0000-0000-0000FE060000}"/>
    <cellStyle name="%_NRA_model_for_NEMO2 (EMC Update) v0.29_NRA_model_for_NEMO2 (EMC Update) v0.29.5" xfId="1877" xr:uid="{00000000-0005-0000-0000-0000FF060000}"/>
    <cellStyle name="%_NRA_model_for_NEMO2 (EMC Update) v0.29_NRA_model_for_NEMO2 (EMC Update) v0.29.5_NRA_model_for_NEMO2 (EMC Update) v0 30 1" xfId="1878" xr:uid="{00000000-0005-0000-0000-000000070000}"/>
    <cellStyle name="%_NRA_model_for_NEMO2 _NRA_model_for_NEMO2 (EMC Update) v0 30 1" xfId="1879" xr:uid="{00000000-0005-0000-0000-000001070000}"/>
    <cellStyle name="%_NRA_model_for_NEMO2 _NRA_model_for_NEMO2 (EMC Update) v0.29.5" xfId="1880" xr:uid="{00000000-0005-0000-0000-000002070000}"/>
    <cellStyle name="%_NRA_model_for_NEMO2 _NRA_model_for_NEMO2 (EMC Update) v0.29.5_NRA_model_for_NEMO2 (EMC Update) v0 30 1" xfId="1881" xr:uid="{00000000-0005-0000-0000-000003070000}"/>
    <cellStyle name="_2.0 Emergency Process" xfId="1882" xr:uid="{00000000-0005-0000-0000-000004070000}"/>
    <cellStyle name="_Payroll - Dave Moon v2" xfId="1883" xr:uid="{00000000-0005-0000-0000-000005070000}"/>
    <cellStyle name="=C:\WINNT\SYSTEM32\COMMAND.COM" xfId="3" xr:uid="{00000000-0005-0000-0000-000006070000}"/>
    <cellStyle name="=C:\WINNT\SYSTEM32\COMMAND.COM 2" xfId="7" xr:uid="{00000000-0005-0000-0000-000007070000}"/>
    <cellStyle name="=C:\WINNT\SYSTEM32\COMMAND.COM 2 2" xfId="8" xr:uid="{00000000-0005-0000-0000-000008070000}"/>
    <cellStyle name="=C:\WINNT\SYSTEM32\COMMAND.COM 2 2 10" xfId="9" xr:uid="{00000000-0005-0000-0000-000009070000}"/>
    <cellStyle name="=C:\WINNT\SYSTEM32\COMMAND.COM 2 2 2" xfId="10" xr:uid="{00000000-0005-0000-0000-00000A070000}"/>
    <cellStyle name="=C:\WINNT\SYSTEM32\COMMAND.COM 3" xfId="11" xr:uid="{00000000-0005-0000-0000-00000B070000}"/>
    <cellStyle name="=C:\WINNT\SYSTEM32\COMMAND.COM 3 2" xfId="78" xr:uid="{00000000-0005-0000-0000-00000C070000}"/>
    <cellStyle name="=C:\WINNT\SYSTEM32\COMMAND.COM 4" xfId="12" xr:uid="{00000000-0005-0000-0000-00000D070000}"/>
    <cellStyle name="=C:\WINNT\SYSTEM32\COMMAND.COM_Gas_Run_060918" xfId="13" xr:uid="{00000000-0005-0000-0000-00000E070000}"/>
    <cellStyle name="20 % - Markeringsfarve1" xfId="1884" xr:uid="{00000000-0005-0000-0000-00000F070000}"/>
    <cellStyle name="20 % - Markeringsfarve2" xfId="1885" xr:uid="{00000000-0005-0000-0000-000010070000}"/>
    <cellStyle name="20 % - Markeringsfarve3" xfId="1886" xr:uid="{00000000-0005-0000-0000-000011070000}"/>
    <cellStyle name="20 % - Markeringsfarve4" xfId="1887" xr:uid="{00000000-0005-0000-0000-000012070000}"/>
    <cellStyle name="20 % - Markeringsfarve5" xfId="1888" xr:uid="{00000000-0005-0000-0000-000013070000}"/>
    <cellStyle name="20 % - Markeringsfarve6" xfId="1889" xr:uid="{00000000-0005-0000-0000-000014070000}"/>
    <cellStyle name="20% - Accent1 2" xfId="2074" xr:uid="{00000000-0005-0000-0000-000015070000}"/>
    <cellStyle name="20% - Accent2 2" xfId="2075" xr:uid="{00000000-0005-0000-0000-000016070000}"/>
    <cellStyle name="20% - Accent3 2" xfId="2076" xr:uid="{00000000-0005-0000-0000-000017070000}"/>
    <cellStyle name="20% - Accent4 2" xfId="2077" xr:uid="{00000000-0005-0000-0000-000018070000}"/>
    <cellStyle name="20% - Accent5 2" xfId="2078" xr:uid="{00000000-0005-0000-0000-000019070000}"/>
    <cellStyle name="20% - Accent6 2" xfId="2079" xr:uid="{00000000-0005-0000-0000-00001A070000}"/>
    <cellStyle name="20% - Dekorfärg1" xfId="1890" xr:uid="{00000000-0005-0000-0000-00001B070000}"/>
    <cellStyle name="20% - Dekorfärg2" xfId="1891" xr:uid="{00000000-0005-0000-0000-00001C070000}"/>
    <cellStyle name="20% - Dekorfärg3" xfId="1892" xr:uid="{00000000-0005-0000-0000-00001D070000}"/>
    <cellStyle name="20% - Dekorfärg4" xfId="1893" xr:uid="{00000000-0005-0000-0000-00001E070000}"/>
    <cellStyle name="20% - Dekorfärg5" xfId="1894" xr:uid="{00000000-0005-0000-0000-00001F070000}"/>
    <cellStyle name="20% - Dekorfärg6" xfId="1895" xr:uid="{00000000-0005-0000-0000-000020070000}"/>
    <cellStyle name="40 % - Markeringsfarve1" xfId="1896" xr:uid="{00000000-0005-0000-0000-000021070000}"/>
    <cellStyle name="40 % - Markeringsfarve2" xfId="1897" xr:uid="{00000000-0005-0000-0000-000022070000}"/>
    <cellStyle name="40 % - Markeringsfarve3" xfId="1898" xr:uid="{00000000-0005-0000-0000-000023070000}"/>
    <cellStyle name="40 % - Markeringsfarve4" xfId="1899" xr:uid="{00000000-0005-0000-0000-000024070000}"/>
    <cellStyle name="40 % - Markeringsfarve5" xfId="1900" xr:uid="{00000000-0005-0000-0000-000025070000}"/>
    <cellStyle name="40 % - Markeringsfarve6" xfId="1901" xr:uid="{00000000-0005-0000-0000-000026070000}"/>
    <cellStyle name="40% - Accent1 2" xfId="2080" xr:uid="{00000000-0005-0000-0000-000027070000}"/>
    <cellStyle name="40% - Accent2 2" xfId="2081" xr:uid="{00000000-0005-0000-0000-000028070000}"/>
    <cellStyle name="40% - Accent3 2" xfId="2082" xr:uid="{00000000-0005-0000-0000-000029070000}"/>
    <cellStyle name="40% - Accent4 2" xfId="2083" xr:uid="{00000000-0005-0000-0000-00002A070000}"/>
    <cellStyle name="40% - Accent5 2" xfId="2084" xr:uid="{00000000-0005-0000-0000-00002B070000}"/>
    <cellStyle name="40% - Accent6 2" xfId="2085" xr:uid="{00000000-0005-0000-0000-00002C070000}"/>
    <cellStyle name="40% - Dekorfärg1" xfId="1902" xr:uid="{00000000-0005-0000-0000-00002D070000}"/>
    <cellStyle name="40% - Dekorfärg2" xfId="1903" xr:uid="{00000000-0005-0000-0000-00002E070000}"/>
    <cellStyle name="40% - Dekorfärg3" xfId="1904" xr:uid="{00000000-0005-0000-0000-00002F070000}"/>
    <cellStyle name="40% - Dekorfärg4" xfId="1905" xr:uid="{00000000-0005-0000-0000-000030070000}"/>
    <cellStyle name="40% - Dekorfärg5" xfId="1906" xr:uid="{00000000-0005-0000-0000-000031070000}"/>
    <cellStyle name="40% - Dekorfärg6" xfId="1907" xr:uid="{00000000-0005-0000-0000-000032070000}"/>
    <cellStyle name="60 % - Markeringsfarve1" xfId="1908" xr:uid="{00000000-0005-0000-0000-000033070000}"/>
    <cellStyle name="60 % - Markeringsfarve2" xfId="1909" xr:uid="{00000000-0005-0000-0000-000034070000}"/>
    <cellStyle name="60 % - Markeringsfarve3" xfId="1910" xr:uid="{00000000-0005-0000-0000-000035070000}"/>
    <cellStyle name="60 % - Markeringsfarve4" xfId="1911" xr:uid="{00000000-0005-0000-0000-000036070000}"/>
    <cellStyle name="60 % - Markeringsfarve5" xfId="1912" xr:uid="{00000000-0005-0000-0000-000037070000}"/>
    <cellStyle name="60 % - Markeringsfarve6" xfId="1913" xr:uid="{00000000-0005-0000-0000-000038070000}"/>
    <cellStyle name="60% - Dekorfärg1" xfId="1914" xr:uid="{00000000-0005-0000-0000-000039070000}"/>
    <cellStyle name="60% - Dekorfärg2" xfId="1915" xr:uid="{00000000-0005-0000-0000-00003A070000}"/>
    <cellStyle name="60% - Dekorfärg3" xfId="1916" xr:uid="{00000000-0005-0000-0000-00003B070000}"/>
    <cellStyle name="60% - Dekorfärg4" xfId="1917" xr:uid="{00000000-0005-0000-0000-00003C070000}"/>
    <cellStyle name="60% - Dekorfärg5" xfId="1918" xr:uid="{00000000-0005-0000-0000-00003D070000}"/>
    <cellStyle name="60% - Dekorfärg6" xfId="1919" xr:uid="{00000000-0005-0000-0000-00003E070000}"/>
    <cellStyle name="Accent1 - 20%" xfId="1920" xr:uid="{00000000-0005-0000-0000-00003F070000}"/>
    <cellStyle name="Accent1 - 40%" xfId="1921" xr:uid="{00000000-0005-0000-0000-000040070000}"/>
    <cellStyle name="Accent1 - 60%" xfId="1922" xr:uid="{00000000-0005-0000-0000-000041070000}"/>
    <cellStyle name="Accent2 - 20%" xfId="1923" xr:uid="{00000000-0005-0000-0000-000042070000}"/>
    <cellStyle name="Accent2 - 40%" xfId="1924" xr:uid="{00000000-0005-0000-0000-000043070000}"/>
    <cellStyle name="Accent2 - 60%" xfId="1925" xr:uid="{00000000-0005-0000-0000-000044070000}"/>
    <cellStyle name="Accent3 - 20%" xfId="1926" xr:uid="{00000000-0005-0000-0000-000045070000}"/>
    <cellStyle name="Accent3 - 40%" xfId="1927" xr:uid="{00000000-0005-0000-0000-000046070000}"/>
    <cellStyle name="Accent3 - 60%" xfId="1928" xr:uid="{00000000-0005-0000-0000-000047070000}"/>
    <cellStyle name="Accent4 - 20%" xfId="1929" xr:uid="{00000000-0005-0000-0000-000048070000}"/>
    <cellStyle name="Accent4 - 40%" xfId="1930" xr:uid="{00000000-0005-0000-0000-000049070000}"/>
    <cellStyle name="Accent4 - 60%" xfId="1931" xr:uid="{00000000-0005-0000-0000-00004A070000}"/>
    <cellStyle name="Accent5 - 20%" xfId="1932" xr:uid="{00000000-0005-0000-0000-00004B070000}"/>
    <cellStyle name="Accent5 - 40%" xfId="1933" xr:uid="{00000000-0005-0000-0000-00004C070000}"/>
    <cellStyle name="Accent5 - 60%" xfId="1934" xr:uid="{00000000-0005-0000-0000-00004D070000}"/>
    <cellStyle name="Accent6 - 20%" xfId="1935" xr:uid="{00000000-0005-0000-0000-00004E070000}"/>
    <cellStyle name="Accent6 - 40%" xfId="1936" xr:uid="{00000000-0005-0000-0000-00004F070000}"/>
    <cellStyle name="Accent6 - 60%" xfId="1937" xr:uid="{00000000-0005-0000-0000-000050070000}"/>
    <cellStyle name="Advarselstekst" xfId="1938" xr:uid="{00000000-0005-0000-0000-000051070000}"/>
    <cellStyle name="Anteckning" xfId="1939" xr:uid="{00000000-0005-0000-0000-000052070000}"/>
    <cellStyle name="Anteckning 2" xfId="2169" xr:uid="{00000000-0005-0000-0000-000053070000}"/>
    <cellStyle name="Anteckning 2 2" xfId="2309" xr:uid="{00000000-0005-0000-0000-000054070000}"/>
    <cellStyle name="Anteckning 3" xfId="2168" xr:uid="{00000000-0005-0000-0000-000055070000}"/>
    <cellStyle name="Bemærk!" xfId="1940" xr:uid="{00000000-0005-0000-0000-000056070000}"/>
    <cellStyle name="Bemærk! 2" xfId="2170" xr:uid="{00000000-0005-0000-0000-000057070000}"/>
    <cellStyle name="Bemærk! 2 2" xfId="2310" xr:uid="{00000000-0005-0000-0000-000058070000}"/>
    <cellStyle name="Bemærk! 3" xfId="2167" xr:uid="{00000000-0005-0000-0000-000059070000}"/>
    <cellStyle name="Beräkning" xfId="1941" xr:uid="{00000000-0005-0000-0000-00005A070000}"/>
    <cellStyle name="Beräkning 2" xfId="2171" xr:uid="{00000000-0005-0000-0000-00005B070000}"/>
    <cellStyle name="Beräkning 2 2" xfId="2311" xr:uid="{00000000-0005-0000-0000-00005C070000}"/>
    <cellStyle name="Beräkning 3" xfId="2166" xr:uid="{00000000-0005-0000-0000-00005D070000}"/>
    <cellStyle name="Beregning" xfId="1942" xr:uid="{00000000-0005-0000-0000-00005E070000}"/>
    <cellStyle name="Beregning 2" xfId="2172" xr:uid="{00000000-0005-0000-0000-00005F070000}"/>
    <cellStyle name="Beregning 2 2" xfId="2312" xr:uid="{00000000-0005-0000-0000-000060070000}"/>
    <cellStyle name="Beregning 3" xfId="2165" xr:uid="{00000000-0005-0000-0000-000061070000}"/>
    <cellStyle name="BMInputNormal" xfId="1943" xr:uid="{00000000-0005-0000-0000-000062070000}"/>
    <cellStyle name="Bra" xfId="1944" xr:uid="{00000000-0005-0000-0000-000063070000}"/>
    <cellStyle name="column Head Underlined" xfId="1945" xr:uid="{00000000-0005-0000-0000-000064070000}"/>
    <cellStyle name="Column Heading" xfId="1946" xr:uid="{00000000-0005-0000-0000-000065070000}"/>
    <cellStyle name="Comma" xfId="75" builtinId="3"/>
    <cellStyle name="Comma 10" xfId="15" xr:uid="{00000000-0005-0000-0000-000067070000}"/>
    <cellStyle name="Comma 10 2" xfId="2125" xr:uid="{00000000-0005-0000-0000-000068070000}"/>
    <cellStyle name="Comma 10 2 2" xfId="2290" xr:uid="{00000000-0005-0000-0000-000069070000}"/>
    <cellStyle name="Comma 10 2 2 2" xfId="2456" xr:uid="{74F2BA1C-C822-43B3-A175-E2D402B8A025}"/>
    <cellStyle name="Comma 10 2 3" xfId="2400" xr:uid="{9641336E-0F22-495C-8DF7-02CE5E1D8298}"/>
    <cellStyle name="Comma 10 3" xfId="2258" xr:uid="{00000000-0005-0000-0000-00006A070000}"/>
    <cellStyle name="Comma 10 3 2" xfId="2428" xr:uid="{EA62F1EB-4235-499A-B73D-632318252D2E}"/>
    <cellStyle name="Comma 10 4" xfId="2372" xr:uid="{D9EABFE3-BA04-4403-A0FA-301C12B891C9}"/>
    <cellStyle name="Comma 11" xfId="14" xr:uid="{00000000-0005-0000-0000-00006B070000}"/>
    <cellStyle name="Comma 11 2" xfId="79" xr:uid="{00000000-0005-0000-0000-00006C070000}"/>
    <cellStyle name="Comma 12" xfId="16" xr:uid="{00000000-0005-0000-0000-00006D070000}"/>
    <cellStyle name="Comma 12 2" xfId="2126" xr:uid="{00000000-0005-0000-0000-00006E070000}"/>
    <cellStyle name="Comma 12 2 2" xfId="2291" xr:uid="{00000000-0005-0000-0000-00006F070000}"/>
    <cellStyle name="Comma 12 2 2 2" xfId="2457" xr:uid="{874B87B8-B3F6-4C9C-B713-C06F8F6E9010}"/>
    <cellStyle name="Comma 12 2 3" xfId="2401" xr:uid="{0FF1AB07-51B7-4E46-8948-6160FF47C72F}"/>
    <cellStyle name="Comma 12 3" xfId="2259" xr:uid="{00000000-0005-0000-0000-000070070000}"/>
    <cellStyle name="Comma 12 3 2" xfId="2429" xr:uid="{42AD0028-7B83-4164-8C5D-F252BA7CE8C1}"/>
    <cellStyle name="Comma 12 4" xfId="2373" xr:uid="{35A7B8AA-6293-4BE5-B83E-B4643A586EE0}"/>
    <cellStyle name="Comma 13" xfId="17" xr:uid="{00000000-0005-0000-0000-000071070000}"/>
    <cellStyle name="Comma 13 2" xfId="2127" xr:uid="{00000000-0005-0000-0000-000072070000}"/>
    <cellStyle name="Comma 13 2 2" xfId="2292" xr:uid="{00000000-0005-0000-0000-000073070000}"/>
    <cellStyle name="Comma 13 2 2 2" xfId="2458" xr:uid="{9E83AAF0-A7B5-4BE7-A1C6-2AB86B6CCE63}"/>
    <cellStyle name="Comma 13 2 3" xfId="2402" xr:uid="{4B586063-5F0E-46F3-AB1C-E110796FD801}"/>
    <cellStyle name="Comma 13 3" xfId="2260" xr:uid="{00000000-0005-0000-0000-000074070000}"/>
    <cellStyle name="Comma 13 3 2" xfId="2430" xr:uid="{8B16D287-FCBD-4C6E-80FE-DE0D9AE5E260}"/>
    <cellStyle name="Comma 13 4" xfId="2374" xr:uid="{22A712C8-7887-45AB-9791-ED6DFF40F63D}"/>
    <cellStyle name="Comma 14" xfId="18" xr:uid="{00000000-0005-0000-0000-000075070000}"/>
    <cellStyle name="Comma 14 2" xfId="2128" xr:uid="{00000000-0005-0000-0000-000076070000}"/>
    <cellStyle name="Comma 14 2 2" xfId="2293" xr:uid="{00000000-0005-0000-0000-000077070000}"/>
    <cellStyle name="Comma 14 2 2 2" xfId="2459" xr:uid="{F7D32A26-8723-4E79-A21D-AF1CC09C63D9}"/>
    <cellStyle name="Comma 14 2 3" xfId="2403" xr:uid="{7B006610-6465-4F8F-90D1-75EAD7F2C873}"/>
    <cellStyle name="Comma 14 3" xfId="2261" xr:uid="{00000000-0005-0000-0000-000078070000}"/>
    <cellStyle name="Comma 14 3 2" xfId="2431" xr:uid="{F40F2617-B8F0-46A3-9C0D-05B495F1A580}"/>
    <cellStyle name="Comma 14 4" xfId="2375" xr:uid="{E4ED2C5E-CAF1-4118-A945-F6649BEBDAD4}"/>
    <cellStyle name="Comma 15" xfId="2097" xr:uid="{00000000-0005-0000-0000-000079070000}"/>
    <cellStyle name="Comma 15 2" xfId="2224" xr:uid="{00000000-0005-0000-0000-00007A070000}"/>
    <cellStyle name="Comma 15 2 2" xfId="2364" xr:uid="{00000000-0005-0000-0000-00007B070000}"/>
    <cellStyle name="Comma 15 2 2 2" xfId="2477" xr:uid="{12E30E92-22D9-4061-AC03-74C247564119}"/>
    <cellStyle name="Comma 15 2 3" xfId="2421" xr:uid="{AF308E17-6672-4B17-A03E-8B36064E099F}"/>
    <cellStyle name="Comma 15 3" xfId="2283" xr:uid="{00000000-0005-0000-0000-00007C070000}"/>
    <cellStyle name="Comma 15 3 2" xfId="2449" xr:uid="{B182DBE1-EC54-4B5B-A980-50483914BC2F}"/>
    <cellStyle name="Comma 15 4" xfId="2393" xr:uid="{538A2262-26FC-45D2-B124-B8393D7ACB84}"/>
    <cellStyle name="Comma 16" xfId="2140" xr:uid="{00000000-0005-0000-0000-00007D070000}"/>
    <cellStyle name="Comma 16 2" xfId="2305" xr:uid="{00000000-0005-0000-0000-00007E070000}"/>
    <cellStyle name="Comma 16 2 2" xfId="2471" xr:uid="{6DA28CF0-1F4A-47B4-93B9-D7C37CEC3F8E}"/>
    <cellStyle name="Comma 16 3" xfId="2415" xr:uid="{9E16C87A-5B18-4B93-AF20-E915C2331CE3}"/>
    <cellStyle name="Comma 17" xfId="19" xr:uid="{00000000-0005-0000-0000-00007F070000}"/>
    <cellStyle name="Comma 17 2" xfId="2129" xr:uid="{00000000-0005-0000-0000-000080070000}"/>
    <cellStyle name="Comma 17 2 2" xfId="2294" xr:uid="{00000000-0005-0000-0000-000081070000}"/>
    <cellStyle name="Comma 17 2 2 2" xfId="2460" xr:uid="{530C04D9-F168-4FFB-ABF1-C3EB54D94A18}"/>
    <cellStyle name="Comma 17 2 3" xfId="2404" xr:uid="{E3162DFB-0904-4E8A-A900-35A3D841CB33}"/>
    <cellStyle name="Comma 17 3" xfId="2262" xr:uid="{00000000-0005-0000-0000-000082070000}"/>
    <cellStyle name="Comma 17 3 2" xfId="2432" xr:uid="{4AE49514-3D72-48A9-95C5-A6318D39EF68}"/>
    <cellStyle name="Comma 17 4" xfId="2376" xr:uid="{7CDCAE75-95E3-46C2-8132-BDDC43E222FB}"/>
    <cellStyle name="Comma 18" xfId="20" xr:uid="{00000000-0005-0000-0000-000083070000}"/>
    <cellStyle name="Comma 18 2" xfId="2130" xr:uid="{00000000-0005-0000-0000-000084070000}"/>
    <cellStyle name="Comma 18 2 2" xfId="2295" xr:uid="{00000000-0005-0000-0000-000085070000}"/>
    <cellStyle name="Comma 18 2 2 2" xfId="2461" xr:uid="{15B08928-5E35-4277-A3CE-1EC075C2BD68}"/>
    <cellStyle name="Comma 18 2 3" xfId="2405" xr:uid="{206AC0A2-5156-4B47-8B1D-6AFE16287BD2}"/>
    <cellStyle name="Comma 18 3" xfId="2263" xr:uid="{00000000-0005-0000-0000-000086070000}"/>
    <cellStyle name="Comma 18 3 2" xfId="2433" xr:uid="{2EC26C87-C102-4F7C-A079-D62A1FF1B913}"/>
    <cellStyle name="Comma 18 4" xfId="2377" xr:uid="{D248B26B-714C-42F3-913E-53042A22DEE9}"/>
    <cellStyle name="Comma 19" xfId="2273" xr:uid="{00000000-0005-0000-0000-000087070000}"/>
    <cellStyle name="Comma 19 2" xfId="2443" xr:uid="{F4BA72BC-9319-47D8-B4F8-BD7573CF5FE9}"/>
    <cellStyle name="Comma 2" xfId="21" xr:uid="{00000000-0005-0000-0000-000088070000}"/>
    <cellStyle name="Comma 2 2" xfId="22" xr:uid="{00000000-0005-0000-0000-000089070000}"/>
    <cellStyle name="Comma 2 2 2" xfId="2131" xr:uid="{00000000-0005-0000-0000-00008A070000}"/>
    <cellStyle name="Comma 2 2 2 2" xfId="2296" xr:uid="{00000000-0005-0000-0000-00008B070000}"/>
    <cellStyle name="Comma 2 2 2 2 2" xfId="2462" xr:uid="{4E9D89AB-CF8F-4A82-8382-9FF62183CE19}"/>
    <cellStyle name="Comma 2 2 2 3" xfId="2406" xr:uid="{C627B032-6627-4AE3-B2FC-15133CEEE864}"/>
    <cellStyle name="Comma 2 2 3" xfId="2264" xr:uid="{00000000-0005-0000-0000-00008C070000}"/>
    <cellStyle name="Comma 2 2 3 2" xfId="2434" xr:uid="{8F7FE483-D0D5-4416-B491-36F34E5979CC}"/>
    <cellStyle name="Comma 2 2 4" xfId="2378" xr:uid="{B4839B74-D30F-4A49-A083-DA3132F5153A}"/>
    <cellStyle name="Comma 2 3" xfId="87" xr:uid="{00000000-0005-0000-0000-00008D070000}"/>
    <cellStyle name="Comma 2 3 2" xfId="2117" xr:uid="{00000000-0005-0000-0000-00008E070000}"/>
    <cellStyle name="Comma 2 3 2 2" xfId="2230" xr:uid="{00000000-0005-0000-0000-00008F070000}"/>
    <cellStyle name="Comma 2 3 2 2 2" xfId="2369" xr:uid="{00000000-0005-0000-0000-000090070000}"/>
    <cellStyle name="Comma 2 3 2 2 2 2" xfId="2482" xr:uid="{B7E9BCA4-07D0-410A-AD67-EAF62BA2D746}"/>
    <cellStyle name="Comma 2 3 2 2 3" xfId="2426" xr:uid="{87ED65FA-756A-4636-9563-F41FA52AEF5E}"/>
    <cellStyle name="Comma 2 3 2 3" xfId="2288" xr:uid="{00000000-0005-0000-0000-000091070000}"/>
    <cellStyle name="Comma 2 3 2 3 2" xfId="2454" xr:uid="{0FC11E7E-BE05-4E21-BFC9-680EC0C3CC2A}"/>
    <cellStyle name="Comma 2 3 2 4" xfId="2398" xr:uid="{B2589811-07B5-4726-A097-FDF9167DB1FF}"/>
    <cellStyle name="Comma 2 3 3" xfId="2143" xr:uid="{00000000-0005-0000-0000-000092070000}"/>
    <cellStyle name="Comma 2 3 3 2" xfId="2308" xr:uid="{00000000-0005-0000-0000-000093070000}"/>
    <cellStyle name="Comma 2 3 3 2 2" xfId="2474" xr:uid="{46F59EE6-E640-40F0-B747-C98AB58F0600}"/>
    <cellStyle name="Comma 2 3 3 3" xfId="2418" xr:uid="{52A3B71E-112B-46E0-9521-F9F833D77457}"/>
    <cellStyle name="Comma 2 3 4" xfId="2276" xr:uid="{00000000-0005-0000-0000-000094070000}"/>
    <cellStyle name="Comma 2 3 4 2" xfId="2446" xr:uid="{80F9B570-F320-49CD-8446-D90D24A35969}"/>
    <cellStyle name="Comma 2 3 5" xfId="2390" xr:uid="{FB3327B0-1716-451C-9ABB-ECE764597D29}"/>
    <cellStyle name="Comma 2_InputSA" xfId="23" xr:uid="{00000000-0005-0000-0000-000095070000}"/>
    <cellStyle name="Comma 20" xfId="24" xr:uid="{00000000-0005-0000-0000-000096070000}"/>
    <cellStyle name="Comma 20 2" xfId="2132" xr:uid="{00000000-0005-0000-0000-000097070000}"/>
    <cellStyle name="Comma 20 2 2" xfId="2297" xr:uid="{00000000-0005-0000-0000-000098070000}"/>
    <cellStyle name="Comma 20 2 2 2" xfId="2463" xr:uid="{FE4B6086-BB08-497F-97AE-96B673662F16}"/>
    <cellStyle name="Comma 20 2 3" xfId="2407" xr:uid="{C8C9863C-E880-4CB8-92B4-B6CBE071387E}"/>
    <cellStyle name="Comma 20 3" xfId="2265" xr:uid="{00000000-0005-0000-0000-000099070000}"/>
    <cellStyle name="Comma 20 3 2" xfId="2435" xr:uid="{FAEEBB1C-CDD9-4776-AC6E-6B7B2E5C564C}"/>
    <cellStyle name="Comma 20 4" xfId="2379" xr:uid="{360805BE-C984-4A63-A587-87C97185ADD5}"/>
    <cellStyle name="Comma 21" xfId="25" xr:uid="{00000000-0005-0000-0000-00009A070000}"/>
    <cellStyle name="Comma 21 2" xfId="2133" xr:uid="{00000000-0005-0000-0000-00009B070000}"/>
    <cellStyle name="Comma 21 2 2" xfId="2298" xr:uid="{00000000-0005-0000-0000-00009C070000}"/>
    <cellStyle name="Comma 21 2 2 2" xfId="2464" xr:uid="{D238DE5B-3659-46CE-9A37-32844CEC16A1}"/>
    <cellStyle name="Comma 21 2 3" xfId="2408" xr:uid="{F3C43B53-506A-4CD7-B06B-412CB181E2DA}"/>
    <cellStyle name="Comma 21 3" xfId="2266" xr:uid="{00000000-0005-0000-0000-00009D070000}"/>
    <cellStyle name="Comma 21 3 2" xfId="2436" xr:uid="{E90BC25D-A877-43C2-A5A9-4296256BBE69}"/>
    <cellStyle name="Comma 21 4" xfId="2380" xr:uid="{62D8FDC0-2CA6-42D3-8134-BC6511CE6425}"/>
    <cellStyle name="Comma 22" xfId="2387" xr:uid="{479D0142-9DC9-4F9F-8BB1-289DAEAC7748}"/>
    <cellStyle name="Comma 25" xfId="26" xr:uid="{00000000-0005-0000-0000-00009E070000}"/>
    <cellStyle name="Comma 25 2" xfId="2134" xr:uid="{00000000-0005-0000-0000-00009F070000}"/>
    <cellStyle name="Comma 25 2 2" xfId="2299" xr:uid="{00000000-0005-0000-0000-0000A0070000}"/>
    <cellStyle name="Comma 25 2 2 2" xfId="2465" xr:uid="{2F1678D3-B3D7-4E50-A43A-63A5A9933839}"/>
    <cellStyle name="Comma 25 2 3" xfId="2409" xr:uid="{F4973DD7-7AE3-462A-851C-3DC54ECDD655}"/>
    <cellStyle name="Comma 25 3" xfId="2267" xr:uid="{00000000-0005-0000-0000-0000A1070000}"/>
    <cellStyle name="Comma 25 3 2" xfId="2437" xr:uid="{CED61A98-CCF6-4E8A-B6F3-64110958A735}"/>
    <cellStyle name="Comma 25 4" xfId="2381" xr:uid="{E308C0E9-08E6-48C6-96F3-9D258E838C55}"/>
    <cellStyle name="Comma 26" xfId="27" xr:uid="{00000000-0005-0000-0000-0000A2070000}"/>
    <cellStyle name="Comma 26 2" xfId="2135" xr:uid="{00000000-0005-0000-0000-0000A3070000}"/>
    <cellStyle name="Comma 26 2 2" xfId="2300" xr:uid="{00000000-0005-0000-0000-0000A4070000}"/>
    <cellStyle name="Comma 26 2 2 2" xfId="2466" xr:uid="{E082573F-DF00-4C4B-94F8-1B72E0B5F4DD}"/>
    <cellStyle name="Comma 26 2 3" xfId="2410" xr:uid="{E30B5097-FC01-46B4-B4D5-2C892F636F98}"/>
    <cellStyle name="Comma 26 3" xfId="2268" xr:uid="{00000000-0005-0000-0000-0000A5070000}"/>
    <cellStyle name="Comma 26 3 2" xfId="2438" xr:uid="{EFE89AE5-7535-43C5-98B5-DAE00CF25DEA}"/>
    <cellStyle name="Comma 26 4" xfId="2382" xr:uid="{6B6A1BB4-2A9A-48FB-A7E9-2675F8B67E39}"/>
    <cellStyle name="Comma 3" xfId="28" xr:uid="{00000000-0005-0000-0000-0000A6070000}"/>
    <cellStyle name="Comma 3 2" xfId="1947" xr:uid="{00000000-0005-0000-0000-0000A7070000}"/>
    <cellStyle name="Comma 3 2 2" xfId="2173" xr:uid="{00000000-0005-0000-0000-0000A8070000}"/>
    <cellStyle name="Comma 3 2 2 2" xfId="2313" xr:uid="{00000000-0005-0000-0000-0000A9070000}"/>
    <cellStyle name="Comma 3 2 2 2 2" xfId="2475" xr:uid="{A1275367-8594-4DCA-9D9E-F4D0548344D1}"/>
    <cellStyle name="Comma 3 2 2 3" xfId="2419" xr:uid="{3FBFB85B-D40C-4205-AB95-EC9A01ADD15E}"/>
    <cellStyle name="Comma 3 2 3" xfId="2277" xr:uid="{00000000-0005-0000-0000-0000AA070000}"/>
    <cellStyle name="Comma 3 2 3 2" xfId="2447" xr:uid="{7C6D6721-DD3C-4F62-BB48-215DCB9AC65F}"/>
    <cellStyle name="Comma 3 2 4" xfId="2391" xr:uid="{614FD643-8372-41F6-A44E-18943CDBAAC1}"/>
    <cellStyle name="Comma 3 3" xfId="2136" xr:uid="{00000000-0005-0000-0000-0000AB070000}"/>
    <cellStyle name="Comma 3 3 2" xfId="2301" xr:uid="{00000000-0005-0000-0000-0000AC070000}"/>
    <cellStyle name="Comma 3 3 2 2" xfId="2467" xr:uid="{773A68BA-A83A-448A-8A7F-7C24B72F0CAC}"/>
    <cellStyle name="Comma 3 3 3" xfId="2411" xr:uid="{253AD754-67B4-42F2-A0E5-E10EC8B6773D}"/>
    <cellStyle name="Comma 3 4" xfId="2269" xr:uid="{00000000-0005-0000-0000-0000AD070000}"/>
    <cellStyle name="Comma 3 4 2" xfId="2439" xr:uid="{3B3C83D3-6ADF-4D6F-88F1-7A9C9D4503D1}"/>
    <cellStyle name="Comma 3 5" xfId="2383" xr:uid="{4938CF1B-597B-4874-B107-685D41EC105D}"/>
    <cellStyle name="Comma 4" xfId="29" xr:uid="{00000000-0005-0000-0000-0000AE070000}"/>
    <cellStyle name="Comma 4 2" xfId="30" xr:uid="{00000000-0005-0000-0000-0000AF070000}"/>
    <cellStyle name="Comma 4 3" xfId="2093" xr:uid="{00000000-0005-0000-0000-0000B0070000}"/>
    <cellStyle name="Comma 4 3 2" xfId="2221" xr:uid="{00000000-0005-0000-0000-0000B1070000}"/>
    <cellStyle name="Comma 4 3 2 2" xfId="2361" xr:uid="{00000000-0005-0000-0000-0000B2070000}"/>
    <cellStyle name="Comma 4 3 2 2 2" xfId="2476" xr:uid="{641D1C3C-D135-4AE2-8247-97D8047085E9}"/>
    <cellStyle name="Comma 4 3 2 3" xfId="2420" xr:uid="{FC12A10E-B086-439D-BF6A-F0CD031B1D91}"/>
    <cellStyle name="Comma 4 3 3" xfId="2280" xr:uid="{00000000-0005-0000-0000-0000B3070000}"/>
    <cellStyle name="Comma 4 3 3 2" xfId="2448" xr:uid="{D4181B13-5BA1-4028-B65C-297B32668C1E}"/>
    <cellStyle name="Comma 4 3 4" xfId="2392" xr:uid="{7F8F53E5-6AD3-416F-93F4-EC13D40AEC11}"/>
    <cellStyle name="Comma 5" xfId="31" xr:uid="{00000000-0005-0000-0000-0000B4070000}"/>
    <cellStyle name="Comma 6" xfId="32" xr:uid="{00000000-0005-0000-0000-0000B5070000}"/>
    <cellStyle name="Comma 7" xfId="33" xr:uid="{00000000-0005-0000-0000-0000B6070000}"/>
    <cellStyle name="Comma 7 2" xfId="2137" xr:uid="{00000000-0005-0000-0000-0000B7070000}"/>
    <cellStyle name="Comma 7 2 2" xfId="2302" xr:uid="{00000000-0005-0000-0000-0000B8070000}"/>
    <cellStyle name="Comma 7 2 2 2" xfId="2468" xr:uid="{4E99D9E7-2F1F-43F6-B57D-6D81C059BBFF}"/>
    <cellStyle name="Comma 7 2 3" xfId="2412" xr:uid="{15D4E1FB-490A-4D06-8128-FFEECBEAA71D}"/>
    <cellStyle name="Comma 7 3" xfId="2270" xr:uid="{00000000-0005-0000-0000-0000B9070000}"/>
    <cellStyle name="Comma 7 3 2" xfId="2440" xr:uid="{D87C45D0-A9B2-47D5-B7EE-506688365305}"/>
    <cellStyle name="Comma 7 4" xfId="2384" xr:uid="{99EF2A72-B74C-4766-AA07-2A0E7EA12B52}"/>
    <cellStyle name="Comma 8" xfId="34" xr:uid="{00000000-0005-0000-0000-0000BA070000}"/>
    <cellStyle name="Comma 8 2" xfId="2138" xr:uid="{00000000-0005-0000-0000-0000BB070000}"/>
    <cellStyle name="Comma 8 2 2" xfId="2303" xr:uid="{00000000-0005-0000-0000-0000BC070000}"/>
    <cellStyle name="Comma 8 2 2 2" xfId="2469" xr:uid="{EBB52942-8DBC-4FF4-B70F-904F82D359DC}"/>
    <cellStyle name="Comma 8 2 3" xfId="2413" xr:uid="{306177F6-CACD-46D9-AE01-790613F1036E}"/>
    <cellStyle name="Comma 8 3" xfId="2271" xr:uid="{00000000-0005-0000-0000-0000BD070000}"/>
    <cellStyle name="Comma 8 3 2" xfId="2441" xr:uid="{5F9D74B3-FC4A-4ED1-B380-93130542DDC7}"/>
    <cellStyle name="Comma 8 4" xfId="2385" xr:uid="{F8CBAC74-0313-487C-8044-04F8B3946204}"/>
    <cellStyle name="Comma 9" xfId="35" xr:uid="{00000000-0005-0000-0000-0000BE070000}"/>
    <cellStyle name="Comma 9 2" xfId="2139" xr:uid="{00000000-0005-0000-0000-0000BF070000}"/>
    <cellStyle name="Comma 9 2 2" xfId="2304" xr:uid="{00000000-0005-0000-0000-0000C0070000}"/>
    <cellStyle name="Comma 9 2 2 2" xfId="2470" xr:uid="{1F04F4B5-5D19-4BA2-B867-0D4BCBF942FF}"/>
    <cellStyle name="Comma 9 2 3" xfId="2414" xr:uid="{A34E8313-4E38-429C-BF78-CA56576340A8}"/>
    <cellStyle name="Comma 9 3" xfId="2272" xr:uid="{00000000-0005-0000-0000-0000C1070000}"/>
    <cellStyle name="Comma 9 3 2" xfId="2442" xr:uid="{B69EBB54-D50C-40D9-8273-1CC34E2D4742}"/>
    <cellStyle name="Comma 9 4" xfId="2386" xr:uid="{051FFF35-A3BE-477A-B0E0-37DDC3CD741E}"/>
    <cellStyle name="Dålig" xfId="1948" xr:uid="{00000000-0005-0000-0000-0000C2070000}"/>
    <cellStyle name="DateLong" xfId="36" xr:uid="{00000000-0005-0000-0000-0000C3070000}"/>
    <cellStyle name="DateLong 2" xfId="80" xr:uid="{00000000-0005-0000-0000-0000C4070000}"/>
    <cellStyle name="Emphasis 1" xfId="1949" xr:uid="{00000000-0005-0000-0000-0000C5070000}"/>
    <cellStyle name="Emphasis 2" xfId="1950" xr:uid="{00000000-0005-0000-0000-0000C6070000}"/>
    <cellStyle name="Emphasis 3" xfId="1951" xr:uid="{00000000-0005-0000-0000-0000C7070000}"/>
    <cellStyle name="Euro" xfId="37" xr:uid="{00000000-0005-0000-0000-0000C8070000}"/>
    <cellStyle name="Euro 2" xfId="1952" xr:uid="{00000000-0005-0000-0000-0000C9070000}"/>
    <cellStyle name="EYBlocked" xfId="1953" xr:uid="{00000000-0005-0000-0000-0000CA070000}"/>
    <cellStyle name="EYCallUp" xfId="1954" xr:uid="{00000000-0005-0000-0000-0000CB070000}"/>
    <cellStyle name="EYCheck" xfId="1955" xr:uid="{00000000-0005-0000-0000-0000CC070000}"/>
    <cellStyle name="EYDate" xfId="1956" xr:uid="{00000000-0005-0000-0000-0000CD070000}"/>
    <cellStyle name="EYDeviant" xfId="1957" xr:uid="{00000000-0005-0000-0000-0000CE070000}"/>
    <cellStyle name="EYHeader1" xfId="1958" xr:uid="{00000000-0005-0000-0000-0000CF070000}"/>
    <cellStyle name="EYHeader1 2" xfId="2174" xr:uid="{00000000-0005-0000-0000-0000D0070000}"/>
    <cellStyle name="EYHeader1 2 2" xfId="2314" xr:uid="{00000000-0005-0000-0000-0000D1070000}"/>
    <cellStyle name="EYHeader1 3" xfId="2164" xr:uid="{00000000-0005-0000-0000-0000D2070000}"/>
    <cellStyle name="EYHeader2" xfId="1959" xr:uid="{00000000-0005-0000-0000-0000D3070000}"/>
    <cellStyle name="EYHeader3" xfId="1960" xr:uid="{00000000-0005-0000-0000-0000D4070000}"/>
    <cellStyle name="EYInputDate" xfId="1961" xr:uid="{00000000-0005-0000-0000-0000D5070000}"/>
    <cellStyle name="EYInputDate 2" xfId="2118" xr:uid="{00000000-0005-0000-0000-0000D6070000}"/>
    <cellStyle name="EYInputPercent" xfId="1962" xr:uid="{00000000-0005-0000-0000-0000D7070000}"/>
    <cellStyle name="EYInputPercent 2" xfId="2119" xr:uid="{00000000-0005-0000-0000-0000D8070000}"/>
    <cellStyle name="EYInputValue" xfId="1963" xr:uid="{00000000-0005-0000-0000-0000D9070000}"/>
    <cellStyle name="EYInputValue 2" xfId="2120" xr:uid="{00000000-0005-0000-0000-0000DA070000}"/>
    <cellStyle name="EYNormal" xfId="38" xr:uid="{00000000-0005-0000-0000-0000DB070000}"/>
    <cellStyle name="EYNormal 2" xfId="1964" xr:uid="{00000000-0005-0000-0000-0000DC070000}"/>
    <cellStyle name="EYPercent" xfId="1965" xr:uid="{00000000-0005-0000-0000-0000DD070000}"/>
    <cellStyle name="EYPercentCapped" xfId="1966" xr:uid="{00000000-0005-0000-0000-0000DE070000}"/>
    <cellStyle name="EYSubTotal" xfId="1967" xr:uid="{00000000-0005-0000-0000-0000DF070000}"/>
    <cellStyle name="EYSubTotal 2" xfId="2175" xr:uid="{00000000-0005-0000-0000-0000E0070000}"/>
    <cellStyle name="EYSubTotal 2 2" xfId="2315" xr:uid="{00000000-0005-0000-0000-0000E1070000}"/>
    <cellStyle name="EYSubTotal 3" xfId="2163" xr:uid="{00000000-0005-0000-0000-0000E2070000}"/>
    <cellStyle name="EYTotal" xfId="1968" xr:uid="{00000000-0005-0000-0000-0000E3070000}"/>
    <cellStyle name="EYTotal 2" xfId="2176" xr:uid="{00000000-0005-0000-0000-0000E4070000}"/>
    <cellStyle name="EYTotal 2 2" xfId="2316" xr:uid="{00000000-0005-0000-0000-0000E5070000}"/>
    <cellStyle name="EYTotal 3" xfId="2162" xr:uid="{00000000-0005-0000-0000-0000E6070000}"/>
    <cellStyle name="EYWIP" xfId="1969" xr:uid="{00000000-0005-0000-0000-0000E7070000}"/>
    <cellStyle name="Factor" xfId="39" xr:uid="{00000000-0005-0000-0000-0000E8070000}"/>
    <cellStyle name="Factor 2" xfId="81" xr:uid="{00000000-0005-0000-0000-0000E9070000}"/>
    <cellStyle name="Färg1" xfId="1970" xr:uid="{00000000-0005-0000-0000-0000EA070000}"/>
    <cellStyle name="Färg2" xfId="1971" xr:uid="{00000000-0005-0000-0000-0000EB070000}"/>
    <cellStyle name="Färg3" xfId="1972" xr:uid="{00000000-0005-0000-0000-0000EC070000}"/>
    <cellStyle name="Färg4" xfId="1973" xr:uid="{00000000-0005-0000-0000-0000ED070000}"/>
    <cellStyle name="Färg5" xfId="1974" xr:uid="{00000000-0005-0000-0000-0000EE070000}"/>
    <cellStyle name="Färg6" xfId="1975" xr:uid="{00000000-0005-0000-0000-0000EF070000}"/>
    <cellStyle name="Förklarande text" xfId="1976" xr:uid="{00000000-0005-0000-0000-0000F0070000}"/>
    <cellStyle name="Forklarende tekst" xfId="1977" xr:uid="{00000000-0005-0000-0000-0000F1070000}"/>
    <cellStyle name="General" xfId="1978" xr:uid="{00000000-0005-0000-0000-0000F2070000}"/>
    <cellStyle name="God" xfId="1979" xr:uid="{00000000-0005-0000-0000-0000F3070000}"/>
    <cellStyle name="Heading 4" xfId="2256" builtinId="19"/>
    <cellStyle name="Hyperlink" xfId="2" builtinId="8" hidden="1"/>
    <cellStyle name="Hyperlink" xfId="76" builtinId="8"/>
    <cellStyle name="Hyperlink 2" xfId="2073" xr:uid="{00000000-0005-0000-0000-0000F7070000}"/>
    <cellStyle name="Indata" xfId="1980" xr:uid="{00000000-0005-0000-0000-0000F8070000}"/>
    <cellStyle name="Indata 2" xfId="2177" xr:uid="{00000000-0005-0000-0000-0000F9070000}"/>
    <cellStyle name="Indata 2 2" xfId="2317" xr:uid="{00000000-0005-0000-0000-0000FA070000}"/>
    <cellStyle name="Indata 3" xfId="2161" xr:uid="{00000000-0005-0000-0000-0000FB070000}"/>
    <cellStyle name="InputData" xfId="40" xr:uid="{00000000-0005-0000-0000-0000FC070000}"/>
    <cellStyle name="Kontrollcell" xfId="1981" xr:uid="{00000000-0005-0000-0000-0000FD070000}"/>
    <cellStyle name="Kontroller celle" xfId="1982" xr:uid="{00000000-0005-0000-0000-0000FE070000}"/>
    <cellStyle name="Länkad cell" xfId="1983" xr:uid="{00000000-0005-0000-0000-0000FF070000}"/>
    <cellStyle name="Main Heading" xfId="1984" xr:uid="{00000000-0005-0000-0000-000000080000}"/>
    <cellStyle name="Markeringsfarve1" xfId="1985" xr:uid="{00000000-0005-0000-0000-000001080000}"/>
    <cellStyle name="Markeringsfarve2" xfId="1986" xr:uid="{00000000-0005-0000-0000-000002080000}"/>
    <cellStyle name="Markeringsfarve3" xfId="1987" xr:uid="{00000000-0005-0000-0000-000003080000}"/>
    <cellStyle name="Markeringsfarve4" xfId="1988" xr:uid="{00000000-0005-0000-0000-000004080000}"/>
    <cellStyle name="Markeringsfarve5" xfId="1989" xr:uid="{00000000-0005-0000-0000-000005080000}"/>
    <cellStyle name="Markeringsfarve6" xfId="1990" xr:uid="{00000000-0005-0000-0000-000006080000}"/>
    <cellStyle name="NGBlocked" xfId="1991" xr:uid="{00000000-0005-0000-0000-000007080000}"/>
    <cellStyle name="NGCallUp" xfId="1992" xr:uid="{00000000-0005-0000-0000-000008080000}"/>
    <cellStyle name="NGCheck" xfId="1993" xr:uid="{00000000-0005-0000-0000-000009080000}"/>
    <cellStyle name="NGDate" xfId="1994" xr:uid="{00000000-0005-0000-0000-00000A080000}"/>
    <cellStyle name="NGDeviant" xfId="1995" xr:uid="{00000000-0005-0000-0000-00000B080000}"/>
    <cellStyle name="NGHeader1" xfId="1996" xr:uid="{00000000-0005-0000-0000-00000C080000}"/>
    <cellStyle name="NGHeader1 2" xfId="2178" xr:uid="{00000000-0005-0000-0000-00000D080000}"/>
    <cellStyle name="NGHeader1 2 2" xfId="2318" xr:uid="{00000000-0005-0000-0000-00000E080000}"/>
    <cellStyle name="NGHeader1 3" xfId="2160" xr:uid="{00000000-0005-0000-0000-00000F080000}"/>
    <cellStyle name="NGHeader2" xfId="1997" xr:uid="{00000000-0005-0000-0000-000010080000}"/>
    <cellStyle name="NGHeader3" xfId="1998" xr:uid="{00000000-0005-0000-0000-000011080000}"/>
    <cellStyle name="NGInputDate" xfId="1999" xr:uid="{00000000-0005-0000-0000-000012080000}"/>
    <cellStyle name="NGInputDate 2" xfId="2121" xr:uid="{00000000-0005-0000-0000-000013080000}"/>
    <cellStyle name="NGInputDate 3 18" xfId="2112" xr:uid="{00000000-0005-0000-0000-000014080000}"/>
    <cellStyle name="NGInputDate 3 18 2" xfId="2226" xr:uid="{00000000-0005-0000-0000-000015080000}"/>
    <cellStyle name="NGInputPercent" xfId="2000" xr:uid="{00000000-0005-0000-0000-000016080000}"/>
    <cellStyle name="NGInputPercent 2" xfId="2122" xr:uid="{00000000-0005-0000-0000-000017080000}"/>
    <cellStyle name="NGInputValue" xfId="2001" xr:uid="{00000000-0005-0000-0000-000018080000}"/>
    <cellStyle name="NGInputValue 2" xfId="2123" xr:uid="{00000000-0005-0000-0000-000019080000}"/>
    <cellStyle name="NGNormal" xfId="2002" xr:uid="{00000000-0005-0000-0000-00001A080000}"/>
    <cellStyle name="NGPercent" xfId="2003" xr:uid="{00000000-0005-0000-0000-00001B080000}"/>
    <cellStyle name="NGPercentCapped" xfId="2004" xr:uid="{00000000-0005-0000-0000-00001C080000}"/>
    <cellStyle name="NGSubTotal" xfId="2005" xr:uid="{00000000-0005-0000-0000-00001D080000}"/>
    <cellStyle name="NGSubTotal 2" xfId="2179" xr:uid="{00000000-0005-0000-0000-00001E080000}"/>
    <cellStyle name="NGSubTotal 2 2" xfId="2319" xr:uid="{00000000-0005-0000-0000-00001F080000}"/>
    <cellStyle name="NGSubTotal 3" xfId="2159" xr:uid="{00000000-0005-0000-0000-000020080000}"/>
    <cellStyle name="NGTotal" xfId="2006" xr:uid="{00000000-0005-0000-0000-000021080000}"/>
    <cellStyle name="NGTotal 2" xfId="2180" xr:uid="{00000000-0005-0000-0000-000022080000}"/>
    <cellStyle name="NGTotal 2 2" xfId="2320" xr:uid="{00000000-0005-0000-0000-000023080000}"/>
    <cellStyle name="NGTotal 3" xfId="2158" xr:uid="{00000000-0005-0000-0000-000024080000}"/>
    <cellStyle name="NGWIP" xfId="2007" xr:uid="{00000000-0005-0000-0000-000025080000}"/>
    <cellStyle name="Normal" xfId="0" builtinId="0" customBuiltin="1"/>
    <cellStyle name="Normal 10" xfId="41" xr:uid="{00000000-0005-0000-0000-000027080000}"/>
    <cellStyle name="Normal 11" xfId="42" xr:uid="{00000000-0005-0000-0000-000028080000}"/>
    <cellStyle name="Normal 11 2" xfId="82" xr:uid="{00000000-0005-0000-0000-000029080000}"/>
    <cellStyle name="Normal 12" xfId="4" xr:uid="{00000000-0005-0000-0000-00002A080000}"/>
    <cellStyle name="Normal 13" xfId="85" xr:uid="{00000000-0005-0000-0000-00002B080000}"/>
    <cellStyle name="Normal 13 2" xfId="43" xr:uid="{00000000-0005-0000-0000-00002C080000}"/>
    <cellStyle name="Normal 13 2 2" xfId="44" xr:uid="{00000000-0005-0000-0000-00002D080000}"/>
    <cellStyle name="Normal 13 2_SHETL" xfId="45" xr:uid="{00000000-0005-0000-0000-00002E080000}"/>
    <cellStyle name="Normal 14" xfId="2257" xr:uid="{00000000-0005-0000-0000-00002F080000}"/>
    <cellStyle name="Normal 14 2" xfId="2370" xr:uid="{00000000-0005-0000-0000-000030080000}"/>
    <cellStyle name="Normal 15" xfId="2104" xr:uid="{00000000-0005-0000-0000-000031080000}"/>
    <cellStyle name="Normal 15 2" xfId="2225" xr:uid="{00000000-0005-0000-0000-000032080000}"/>
    <cellStyle name="Normal 15 2 2" xfId="2365" xr:uid="{00000000-0005-0000-0000-000033080000}"/>
    <cellStyle name="Normal 15 2 2 2" xfId="2478" xr:uid="{5A21D63D-F62B-436F-9E23-E73FB4FF3E9D}"/>
    <cellStyle name="Normal 15 2 3" xfId="2422" xr:uid="{754A7624-A38D-4431-96E3-D5A3D889FD44}"/>
    <cellStyle name="Normal 15 3" xfId="2284" xr:uid="{00000000-0005-0000-0000-000034080000}"/>
    <cellStyle name="Normal 15 3 2" xfId="2450" xr:uid="{A6A02568-23BE-4496-99DE-AD90B25C41FA}"/>
    <cellStyle name="Normal 15 4" xfId="2394" xr:uid="{AD3C049E-4B7B-45D5-8E83-91A404F4B56A}"/>
    <cellStyle name="Normal 2" xfId="46" xr:uid="{00000000-0005-0000-0000-000035080000}"/>
    <cellStyle name="Normal 2 2" xfId="47" xr:uid="{00000000-0005-0000-0000-000036080000}"/>
    <cellStyle name="Normal 2 2 2" xfId="2096" xr:uid="{00000000-0005-0000-0000-000037080000}"/>
    <cellStyle name="Normal 2 3" xfId="86" xr:uid="{00000000-0005-0000-0000-000038080000}"/>
    <cellStyle name="Normal 2 3 2" xfId="2116" xr:uid="{00000000-0005-0000-0000-000039080000}"/>
    <cellStyle name="Normal 2 3 2 2" xfId="2229" xr:uid="{00000000-0005-0000-0000-00003A080000}"/>
    <cellStyle name="Normal 2 3 2 2 2" xfId="2368" xr:uid="{00000000-0005-0000-0000-00003B080000}"/>
    <cellStyle name="Normal 2 3 2 2 2 2" xfId="2481" xr:uid="{A6C744B0-90DB-47B6-888C-8DBA5C651645}"/>
    <cellStyle name="Normal 2 3 2 2 3" xfId="2425" xr:uid="{206F7D5A-5F4C-47DB-A45D-5328456EDDA3}"/>
    <cellStyle name="Normal 2 3 2 3" xfId="2287" xr:uid="{00000000-0005-0000-0000-00003C080000}"/>
    <cellStyle name="Normal 2 3 2 3 2" xfId="2453" xr:uid="{1C7B42FE-7982-4F24-B44D-6BF971F57697}"/>
    <cellStyle name="Normal 2 3 2 4" xfId="2397" xr:uid="{3D66EF45-0944-4BAA-972A-DCFC0349C7F8}"/>
    <cellStyle name="Normal 2 3 3" xfId="2142" xr:uid="{00000000-0005-0000-0000-00003D080000}"/>
    <cellStyle name="Normal 2 3 3 2" xfId="2307" xr:uid="{00000000-0005-0000-0000-00003E080000}"/>
    <cellStyle name="Normal 2 3 3 2 2" xfId="2473" xr:uid="{DC1FF350-3285-4831-AA70-E4FEAA81F821}"/>
    <cellStyle name="Normal 2 3 3 3" xfId="2417" xr:uid="{17401E17-A2DB-49A3-A88D-DA1298FC76D1}"/>
    <cellStyle name="Normal 2 3 4" xfId="2275" xr:uid="{00000000-0005-0000-0000-00003F080000}"/>
    <cellStyle name="Normal 2 3 4 2" xfId="2445" xr:uid="{032BDCA0-B0A2-471F-92F1-A1B20A7423D8}"/>
    <cellStyle name="Normal 2 3 5" xfId="2389" xr:uid="{137FBD72-54CD-443E-9127-C0479F2E6132}"/>
    <cellStyle name="Normal 2_InputSA" xfId="48" xr:uid="{00000000-0005-0000-0000-000040080000}"/>
    <cellStyle name="Normal 28" xfId="2111" xr:uid="{00000000-0005-0000-0000-000041080000}"/>
    <cellStyle name="Normal 3" xfId="49" xr:uid="{00000000-0005-0000-0000-000042080000}"/>
    <cellStyle name="Normal 3 2" xfId="50" xr:uid="{00000000-0005-0000-0000-000043080000}"/>
    <cellStyle name="Normal 3 3" xfId="2008" xr:uid="{00000000-0005-0000-0000-000044080000}"/>
    <cellStyle name="Normal 3 3 2" xfId="51" xr:uid="{00000000-0005-0000-0000-000045080000}"/>
    <cellStyle name="Normal 3_Financial Analysis template" xfId="52" xr:uid="{00000000-0005-0000-0000-000046080000}"/>
    <cellStyle name="Normal 31" xfId="2098" xr:uid="{00000000-0005-0000-0000-000047080000}"/>
    <cellStyle name="Normal 33" xfId="2102" xr:uid="{00000000-0005-0000-0000-000048080000}"/>
    <cellStyle name="Normal 34" xfId="2100" xr:uid="{00000000-0005-0000-0000-000049080000}"/>
    <cellStyle name="Normal 36" xfId="2099" xr:uid="{00000000-0005-0000-0000-00004A080000}"/>
    <cellStyle name="Normal 37" xfId="2101" xr:uid="{00000000-0005-0000-0000-00004B080000}"/>
    <cellStyle name="Normal 39" xfId="2103" xr:uid="{00000000-0005-0000-0000-00004C080000}"/>
    <cellStyle name="Normal 4" xfId="53" xr:uid="{00000000-0005-0000-0000-00004D080000}"/>
    <cellStyle name="Normal 4 2" xfId="54" xr:uid="{00000000-0005-0000-0000-00004E080000}"/>
    <cellStyle name="Normal 4 3" xfId="2086" xr:uid="{00000000-0005-0000-0000-00004F080000}"/>
    <cellStyle name="Normal 4_InputSA" xfId="55" xr:uid="{00000000-0005-0000-0000-000050080000}"/>
    <cellStyle name="Normal 40" xfId="2106" xr:uid="{00000000-0005-0000-0000-000051080000}"/>
    <cellStyle name="Normal 41" xfId="2105" xr:uid="{00000000-0005-0000-0000-000052080000}"/>
    <cellStyle name="Normal 44" xfId="2108" xr:uid="{00000000-0005-0000-0000-000053080000}"/>
    <cellStyle name="Normal 45" xfId="2109" xr:uid="{00000000-0005-0000-0000-000054080000}"/>
    <cellStyle name="Normal 46" xfId="2107" xr:uid="{00000000-0005-0000-0000-000055080000}"/>
    <cellStyle name="Normal 47" xfId="2110" xr:uid="{00000000-0005-0000-0000-000056080000}"/>
    <cellStyle name="Normal 49" xfId="2113" xr:uid="{00000000-0005-0000-0000-000057080000}"/>
    <cellStyle name="Normal 5" xfId="56" xr:uid="{00000000-0005-0000-0000-000058080000}"/>
    <cellStyle name="Normal 5 2" xfId="57" xr:uid="{00000000-0005-0000-0000-000059080000}"/>
    <cellStyle name="Normal 5 3" xfId="2087" xr:uid="{00000000-0005-0000-0000-00005A080000}"/>
    <cellStyle name="Normal 54" xfId="58" xr:uid="{00000000-0005-0000-0000-00005B080000}"/>
    <cellStyle name="Normal 58" xfId="59" xr:uid="{00000000-0005-0000-0000-00005C080000}"/>
    <cellStyle name="Normal 6" xfId="60" xr:uid="{00000000-0005-0000-0000-00005D080000}"/>
    <cellStyle name="Normal 6 2" xfId="2088" xr:uid="{00000000-0005-0000-0000-00005E080000}"/>
    <cellStyle name="Normal 7" xfId="61" xr:uid="{00000000-0005-0000-0000-00005F080000}"/>
    <cellStyle name="Normal 7 2" xfId="2095" xr:uid="{00000000-0005-0000-0000-000060080000}"/>
    <cellStyle name="Normal 7 2 2" xfId="2223" xr:uid="{00000000-0005-0000-0000-000061080000}"/>
    <cellStyle name="Normal 7 2 2 2" xfId="2363" xr:uid="{00000000-0005-0000-0000-000062080000}"/>
    <cellStyle name="Normal 7 2 3" xfId="2282" xr:uid="{00000000-0005-0000-0000-000063080000}"/>
    <cellStyle name="Normal 7 3" xfId="2091" xr:uid="{00000000-0005-0000-0000-000064080000}"/>
    <cellStyle name="Normal 7 3 2" xfId="2219" xr:uid="{00000000-0005-0000-0000-000065080000}"/>
    <cellStyle name="Normal 7 3 2 2" xfId="2359" xr:uid="{00000000-0005-0000-0000-000066080000}"/>
    <cellStyle name="Normal 7 3 3" xfId="2278" xr:uid="{00000000-0005-0000-0000-000067080000}"/>
    <cellStyle name="Normal 8" xfId="62" xr:uid="{00000000-0005-0000-0000-000068080000}"/>
    <cellStyle name="Normal 8 2" xfId="2092" xr:uid="{00000000-0005-0000-0000-000069080000}"/>
    <cellStyle name="Normal 8 2 2" xfId="2220" xr:uid="{00000000-0005-0000-0000-00006A080000}"/>
    <cellStyle name="Normal 8 2 2 2" xfId="2360" xr:uid="{00000000-0005-0000-0000-00006B080000}"/>
    <cellStyle name="Normal 8 2 3" xfId="2279" xr:uid="{00000000-0005-0000-0000-00006C080000}"/>
    <cellStyle name="Normal 9" xfId="63" xr:uid="{00000000-0005-0000-0000-00006D080000}"/>
    <cellStyle name="Note 2" xfId="2089" xr:uid="{00000000-0005-0000-0000-00006E080000}"/>
    <cellStyle name="Note 2 2" xfId="2217" xr:uid="{00000000-0005-0000-0000-00006F080000}"/>
    <cellStyle name="Note 2 2 2" xfId="2357" xr:uid="{00000000-0005-0000-0000-000070080000}"/>
    <cellStyle name="Note 2 3" xfId="2253" xr:uid="{00000000-0005-0000-0000-000071080000}"/>
    <cellStyle name="Note 3" xfId="2090" xr:uid="{00000000-0005-0000-0000-000072080000}"/>
    <cellStyle name="Note 3 2" xfId="2218" xr:uid="{00000000-0005-0000-0000-000073080000}"/>
    <cellStyle name="Note 3 2 2" xfId="2358" xr:uid="{00000000-0005-0000-0000-000074080000}"/>
    <cellStyle name="Note 3 3" xfId="2254" xr:uid="{00000000-0005-0000-0000-000075080000}"/>
    <cellStyle name="Overskrift 1" xfId="2009" xr:uid="{00000000-0005-0000-0000-000076080000}"/>
    <cellStyle name="Overskrift 2" xfId="2010" xr:uid="{00000000-0005-0000-0000-000077080000}"/>
    <cellStyle name="Overskrift 3" xfId="2011" xr:uid="{00000000-0005-0000-0000-000078080000}"/>
    <cellStyle name="Overskrift 4" xfId="2012" xr:uid="{00000000-0005-0000-0000-000079080000}"/>
    <cellStyle name="Percent" xfId="1" builtinId="5"/>
    <cellStyle name="Percent 10" xfId="2124" xr:uid="{00000000-0005-0000-0000-00007B080000}"/>
    <cellStyle name="Percent 10 2" xfId="2289" xr:uid="{00000000-0005-0000-0000-00007C080000}"/>
    <cellStyle name="Percent 10 2 2" xfId="2455" xr:uid="{E7CF4D10-37F2-438D-91DE-8EB5B3DBA70F}"/>
    <cellStyle name="Percent 10 3" xfId="2399" xr:uid="{152866D3-7321-4BF6-ADE5-251441749BC5}"/>
    <cellStyle name="Percent 11" xfId="2255" xr:uid="{00000000-0005-0000-0000-00007D080000}"/>
    <cellStyle name="Percent 11 2" xfId="2427" xr:uid="{2057A1A4-C4DD-4B53-B83F-E817DFFEE928}"/>
    <cellStyle name="Percent 12" xfId="2371" xr:uid="{119358F6-2C0A-40EE-BFDE-CB694AB2CF65}"/>
    <cellStyle name="Percent 15" xfId="65" xr:uid="{00000000-0005-0000-0000-00007E080000}"/>
    <cellStyle name="Percent 2" xfId="66" xr:uid="{00000000-0005-0000-0000-00007F080000}"/>
    <cellStyle name="Percent 2 2" xfId="67" xr:uid="{00000000-0005-0000-0000-000080080000}"/>
    <cellStyle name="Percent 2 3" xfId="2013" xr:uid="{00000000-0005-0000-0000-000081080000}"/>
    <cellStyle name="Percent 3" xfId="68" xr:uid="{00000000-0005-0000-0000-000082080000}"/>
    <cellStyle name="Percent 3 2" xfId="2014" xr:uid="{00000000-0005-0000-0000-000083080000}"/>
    <cellStyle name="Percent 4" xfId="69" xr:uid="{00000000-0005-0000-0000-000084080000}"/>
    <cellStyle name="Percent 4 2" xfId="2094" xr:uid="{00000000-0005-0000-0000-000085080000}"/>
    <cellStyle name="Percent 4 2 2" xfId="2222" xr:uid="{00000000-0005-0000-0000-000086080000}"/>
    <cellStyle name="Percent 4 2 2 2" xfId="2362" xr:uid="{00000000-0005-0000-0000-000087080000}"/>
    <cellStyle name="Percent 4 2 3" xfId="2281" xr:uid="{00000000-0005-0000-0000-000088080000}"/>
    <cellStyle name="Percent 5" xfId="70" xr:uid="{00000000-0005-0000-0000-000089080000}"/>
    <cellStyle name="Percent 5 2" xfId="84" xr:uid="{00000000-0005-0000-0000-00008A080000}"/>
    <cellStyle name="Percent 6" xfId="64" xr:uid="{00000000-0005-0000-0000-00008B080000}"/>
    <cellStyle name="Percent 6 2" xfId="83" xr:uid="{00000000-0005-0000-0000-00008C080000}"/>
    <cellStyle name="Percent 7" xfId="77" xr:uid="{00000000-0005-0000-0000-00008D080000}"/>
    <cellStyle name="Percent 7 2" xfId="2115" xr:uid="{00000000-0005-0000-0000-00008E080000}"/>
    <cellStyle name="Percent 7 2 2" xfId="2228" xr:uid="{00000000-0005-0000-0000-00008F080000}"/>
    <cellStyle name="Percent 7 2 2 2" xfId="2367" xr:uid="{00000000-0005-0000-0000-000090080000}"/>
    <cellStyle name="Percent 7 2 2 2 2" xfId="2480" xr:uid="{B52F1175-84B4-4291-BC64-12A37E981E1C}"/>
    <cellStyle name="Percent 7 2 2 3" xfId="2424" xr:uid="{33BEE991-C51A-4731-A5FC-5CAA71FE07E0}"/>
    <cellStyle name="Percent 7 2 3" xfId="2286" xr:uid="{00000000-0005-0000-0000-000091080000}"/>
    <cellStyle name="Percent 7 2 3 2" xfId="2452" xr:uid="{6501BA77-4A9F-43BD-B6E2-ED0E502F3458}"/>
    <cellStyle name="Percent 7 2 4" xfId="2396" xr:uid="{C3FB2A2E-6065-4BA6-A98F-5623BFE3309C}"/>
    <cellStyle name="Percent 7 3" xfId="2141" xr:uid="{00000000-0005-0000-0000-000092080000}"/>
    <cellStyle name="Percent 7 3 2" xfId="2306" xr:uid="{00000000-0005-0000-0000-000093080000}"/>
    <cellStyle name="Percent 7 3 2 2" xfId="2472" xr:uid="{C0F0AC97-096A-4326-8810-B5198FA28120}"/>
    <cellStyle name="Percent 7 3 3" xfId="2416" xr:uid="{51D9734B-8CDE-477C-9F1A-6F3FF92783E8}"/>
    <cellStyle name="Percent 7 4" xfId="2274" xr:uid="{00000000-0005-0000-0000-000094080000}"/>
    <cellStyle name="Percent 7 4 2" xfId="2444" xr:uid="{481B7A48-F5E0-4977-AEEE-E6AB1DA07AC1}"/>
    <cellStyle name="Percent 7 5" xfId="2388" xr:uid="{75B0DE38-4EF2-40B8-A49B-17118CE69BCD}"/>
    <cellStyle name="Percent 8" xfId="2072" xr:uid="{00000000-0005-0000-0000-000095080000}"/>
    <cellStyle name="Percent 9" xfId="2114" xr:uid="{00000000-0005-0000-0000-000096080000}"/>
    <cellStyle name="Percent 9 2" xfId="2227" xr:uid="{00000000-0005-0000-0000-000097080000}"/>
    <cellStyle name="Percent 9 2 2" xfId="71" xr:uid="{00000000-0005-0000-0000-000098080000}"/>
    <cellStyle name="Percent 9 2 3" xfId="2366" xr:uid="{00000000-0005-0000-0000-000099080000}"/>
    <cellStyle name="Percent 9 2 3 2" xfId="2479" xr:uid="{9130D670-3899-40EC-AE60-DEC3F56F330E}"/>
    <cellStyle name="Percent 9 2 4" xfId="2423" xr:uid="{8163BAE1-8959-49E5-A858-0C04F8046EF4}"/>
    <cellStyle name="Percent 9 3" xfId="72" xr:uid="{00000000-0005-0000-0000-00009A080000}"/>
    <cellStyle name="Percent 9 4" xfId="2285" xr:uid="{00000000-0005-0000-0000-00009B080000}"/>
    <cellStyle name="Percent 9 4 2" xfId="2451" xr:uid="{524AB2A8-3D48-427C-AB42-2706C6BA6C23}"/>
    <cellStyle name="Percent 9 5" xfId="2395" xr:uid="{38A82E60-90F0-458C-8F6A-19B48DAC2AE0}"/>
    <cellStyle name="RangeName" xfId="73" xr:uid="{00000000-0005-0000-0000-00009C080000}"/>
    <cellStyle name="Rubrik" xfId="2015" xr:uid="{00000000-0005-0000-0000-00009D080000}"/>
    <cellStyle name="Rubrik 1" xfId="2016" xr:uid="{00000000-0005-0000-0000-00009E080000}"/>
    <cellStyle name="Rubrik 2" xfId="2017" xr:uid="{00000000-0005-0000-0000-00009F080000}"/>
    <cellStyle name="Rubrik 3" xfId="2018" xr:uid="{00000000-0005-0000-0000-0000A0080000}"/>
    <cellStyle name="Rubrik 4" xfId="2019" xr:uid="{00000000-0005-0000-0000-0000A1080000}"/>
    <cellStyle name="Sammenkædet celle" xfId="2020" xr:uid="{00000000-0005-0000-0000-0000A2080000}"/>
    <cellStyle name="SAPBEXaggData" xfId="2021" xr:uid="{00000000-0005-0000-0000-0000A3080000}"/>
    <cellStyle name="SAPBEXaggData 2" xfId="2181" xr:uid="{00000000-0005-0000-0000-0000A4080000}"/>
    <cellStyle name="SAPBEXaggData 2 2" xfId="2321" xr:uid="{00000000-0005-0000-0000-0000A5080000}"/>
    <cellStyle name="SAPBEXaggData 3" xfId="2157" xr:uid="{00000000-0005-0000-0000-0000A6080000}"/>
    <cellStyle name="SAPBEXaggDataEmph" xfId="2022" xr:uid="{00000000-0005-0000-0000-0000A7080000}"/>
    <cellStyle name="SAPBEXaggDataEmph 2" xfId="2182" xr:uid="{00000000-0005-0000-0000-0000A8080000}"/>
    <cellStyle name="SAPBEXaggDataEmph 2 2" xfId="2322" xr:uid="{00000000-0005-0000-0000-0000A9080000}"/>
    <cellStyle name="SAPBEXaggDataEmph 3" xfId="2156" xr:uid="{00000000-0005-0000-0000-0000AA080000}"/>
    <cellStyle name="SAPBEXaggItem" xfId="2023" xr:uid="{00000000-0005-0000-0000-0000AB080000}"/>
    <cellStyle name="SAPBEXaggItem 2" xfId="2183" xr:uid="{00000000-0005-0000-0000-0000AC080000}"/>
    <cellStyle name="SAPBEXaggItem 2 2" xfId="2323" xr:uid="{00000000-0005-0000-0000-0000AD080000}"/>
    <cellStyle name="SAPBEXaggItem 3" xfId="2155" xr:uid="{00000000-0005-0000-0000-0000AE080000}"/>
    <cellStyle name="SAPBEXaggItemX" xfId="2024" xr:uid="{00000000-0005-0000-0000-0000AF080000}"/>
    <cellStyle name="SAPBEXaggItemX 2" xfId="2184" xr:uid="{00000000-0005-0000-0000-0000B0080000}"/>
    <cellStyle name="SAPBEXaggItemX 2 2" xfId="2324" xr:uid="{00000000-0005-0000-0000-0000B1080000}"/>
    <cellStyle name="SAPBEXaggItemX 3" xfId="2154" xr:uid="{00000000-0005-0000-0000-0000B2080000}"/>
    <cellStyle name="SAPBEXchaText" xfId="2025" xr:uid="{00000000-0005-0000-0000-0000B3080000}"/>
    <cellStyle name="SAPBEXexcBad7" xfId="2026" xr:uid="{00000000-0005-0000-0000-0000B4080000}"/>
    <cellStyle name="SAPBEXexcBad7 2" xfId="2185" xr:uid="{00000000-0005-0000-0000-0000B5080000}"/>
    <cellStyle name="SAPBEXexcBad7 2 2" xfId="2325" xr:uid="{00000000-0005-0000-0000-0000B6080000}"/>
    <cellStyle name="SAPBEXexcBad7 3" xfId="2153" xr:uid="{00000000-0005-0000-0000-0000B7080000}"/>
    <cellStyle name="SAPBEXexcBad8" xfId="2027" xr:uid="{00000000-0005-0000-0000-0000B8080000}"/>
    <cellStyle name="SAPBEXexcBad8 2" xfId="2186" xr:uid="{00000000-0005-0000-0000-0000B9080000}"/>
    <cellStyle name="SAPBEXexcBad8 2 2" xfId="2326" xr:uid="{00000000-0005-0000-0000-0000BA080000}"/>
    <cellStyle name="SAPBEXexcBad8 3" xfId="2152" xr:uid="{00000000-0005-0000-0000-0000BB080000}"/>
    <cellStyle name="SAPBEXexcBad9" xfId="2028" xr:uid="{00000000-0005-0000-0000-0000BC080000}"/>
    <cellStyle name="SAPBEXexcBad9 2" xfId="2187" xr:uid="{00000000-0005-0000-0000-0000BD080000}"/>
    <cellStyle name="SAPBEXexcBad9 2 2" xfId="2327" xr:uid="{00000000-0005-0000-0000-0000BE080000}"/>
    <cellStyle name="SAPBEXexcBad9 3" xfId="2151" xr:uid="{00000000-0005-0000-0000-0000BF080000}"/>
    <cellStyle name="SAPBEXexcCritical4" xfId="2029" xr:uid="{00000000-0005-0000-0000-0000C0080000}"/>
    <cellStyle name="SAPBEXexcCritical4 2" xfId="2188" xr:uid="{00000000-0005-0000-0000-0000C1080000}"/>
    <cellStyle name="SAPBEXexcCritical4 2 2" xfId="2328" xr:uid="{00000000-0005-0000-0000-0000C2080000}"/>
    <cellStyle name="SAPBEXexcCritical4 3" xfId="2150" xr:uid="{00000000-0005-0000-0000-0000C3080000}"/>
    <cellStyle name="SAPBEXexcCritical5" xfId="2030" xr:uid="{00000000-0005-0000-0000-0000C4080000}"/>
    <cellStyle name="SAPBEXexcCritical5 2" xfId="2189" xr:uid="{00000000-0005-0000-0000-0000C5080000}"/>
    <cellStyle name="SAPBEXexcCritical5 2 2" xfId="2329" xr:uid="{00000000-0005-0000-0000-0000C6080000}"/>
    <cellStyle name="SAPBEXexcCritical5 3" xfId="2149" xr:uid="{00000000-0005-0000-0000-0000C7080000}"/>
    <cellStyle name="SAPBEXexcCritical6" xfId="2031" xr:uid="{00000000-0005-0000-0000-0000C8080000}"/>
    <cellStyle name="SAPBEXexcCritical6 2" xfId="2190" xr:uid="{00000000-0005-0000-0000-0000C9080000}"/>
    <cellStyle name="SAPBEXexcCritical6 2 2" xfId="2330" xr:uid="{00000000-0005-0000-0000-0000CA080000}"/>
    <cellStyle name="SAPBEXexcCritical6 3" xfId="2148" xr:uid="{00000000-0005-0000-0000-0000CB080000}"/>
    <cellStyle name="SAPBEXexcGood1" xfId="2032" xr:uid="{00000000-0005-0000-0000-0000CC080000}"/>
    <cellStyle name="SAPBEXexcGood1 2" xfId="2191" xr:uid="{00000000-0005-0000-0000-0000CD080000}"/>
    <cellStyle name="SAPBEXexcGood1 2 2" xfId="2331" xr:uid="{00000000-0005-0000-0000-0000CE080000}"/>
    <cellStyle name="SAPBEXexcGood1 3" xfId="2147" xr:uid="{00000000-0005-0000-0000-0000CF080000}"/>
    <cellStyle name="SAPBEXexcGood2" xfId="2033" xr:uid="{00000000-0005-0000-0000-0000D0080000}"/>
    <cellStyle name="SAPBEXexcGood2 2" xfId="2192" xr:uid="{00000000-0005-0000-0000-0000D1080000}"/>
    <cellStyle name="SAPBEXexcGood2 2 2" xfId="2332" xr:uid="{00000000-0005-0000-0000-0000D2080000}"/>
    <cellStyle name="SAPBEXexcGood2 3" xfId="2146" xr:uid="{00000000-0005-0000-0000-0000D3080000}"/>
    <cellStyle name="SAPBEXexcGood3" xfId="2034" xr:uid="{00000000-0005-0000-0000-0000D4080000}"/>
    <cellStyle name="SAPBEXexcGood3 2" xfId="2193" xr:uid="{00000000-0005-0000-0000-0000D5080000}"/>
    <cellStyle name="SAPBEXexcGood3 2 2" xfId="2333" xr:uid="{00000000-0005-0000-0000-0000D6080000}"/>
    <cellStyle name="SAPBEXexcGood3 3" xfId="2145" xr:uid="{00000000-0005-0000-0000-0000D7080000}"/>
    <cellStyle name="SAPBEXfilterDrill" xfId="2035" xr:uid="{00000000-0005-0000-0000-0000D8080000}"/>
    <cellStyle name="SAPBEXfilterItem" xfId="2036" xr:uid="{00000000-0005-0000-0000-0000D9080000}"/>
    <cellStyle name="SAPBEXfilterText" xfId="2037" xr:uid="{00000000-0005-0000-0000-0000DA080000}"/>
    <cellStyle name="SAPBEXformats" xfId="2038" xr:uid="{00000000-0005-0000-0000-0000DB080000}"/>
    <cellStyle name="SAPBEXformats 2" xfId="2194" xr:uid="{00000000-0005-0000-0000-0000DC080000}"/>
    <cellStyle name="SAPBEXformats 2 2" xfId="2334" xr:uid="{00000000-0005-0000-0000-0000DD080000}"/>
    <cellStyle name="SAPBEXformats 3" xfId="2144" xr:uid="{00000000-0005-0000-0000-0000DE080000}"/>
    <cellStyle name="SAPBEXheaderItem" xfId="2039" xr:uid="{00000000-0005-0000-0000-0000DF080000}"/>
    <cellStyle name="SAPBEXheaderText" xfId="2040" xr:uid="{00000000-0005-0000-0000-0000E0080000}"/>
    <cellStyle name="SAPBEXHLevel0" xfId="2041" xr:uid="{00000000-0005-0000-0000-0000E1080000}"/>
    <cellStyle name="SAPBEXHLevel0 2" xfId="2195" xr:uid="{00000000-0005-0000-0000-0000E2080000}"/>
    <cellStyle name="SAPBEXHLevel0 2 2" xfId="2335" xr:uid="{00000000-0005-0000-0000-0000E3080000}"/>
    <cellStyle name="SAPBEXHLevel0 3" xfId="2231" xr:uid="{00000000-0005-0000-0000-0000E4080000}"/>
    <cellStyle name="SAPBEXHLevel0X" xfId="2042" xr:uid="{00000000-0005-0000-0000-0000E5080000}"/>
    <cellStyle name="SAPBEXHLevel0X 2" xfId="2196" xr:uid="{00000000-0005-0000-0000-0000E6080000}"/>
    <cellStyle name="SAPBEXHLevel0X 2 2" xfId="2336" xr:uid="{00000000-0005-0000-0000-0000E7080000}"/>
    <cellStyle name="SAPBEXHLevel0X 3" xfId="2232" xr:uid="{00000000-0005-0000-0000-0000E8080000}"/>
    <cellStyle name="SAPBEXHLevel1" xfId="2043" xr:uid="{00000000-0005-0000-0000-0000E9080000}"/>
    <cellStyle name="SAPBEXHLevel1 2" xfId="2197" xr:uid="{00000000-0005-0000-0000-0000EA080000}"/>
    <cellStyle name="SAPBEXHLevel1 2 2" xfId="2337" xr:uid="{00000000-0005-0000-0000-0000EB080000}"/>
    <cellStyle name="SAPBEXHLevel1 3" xfId="2233" xr:uid="{00000000-0005-0000-0000-0000EC080000}"/>
    <cellStyle name="SAPBEXHLevel1X" xfId="2044" xr:uid="{00000000-0005-0000-0000-0000ED080000}"/>
    <cellStyle name="SAPBEXHLevel1X 2" xfId="2198" xr:uid="{00000000-0005-0000-0000-0000EE080000}"/>
    <cellStyle name="SAPBEXHLevel1X 2 2" xfId="2338" xr:uid="{00000000-0005-0000-0000-0000EF080000}"/>
    <cellStyle name="SAPBEXHLevel1X 3" xfId="2234" xr:uid="{00000000-0005-0000-0000-0000F0080000}"/>
    <cellStyle name="SAPBEXHLevel2" xfId="2045" xr:uid="{00000000-0005-0000-0000-0000F1080000}"/>
    <cellStyle name="SAPBEXHLevel2 2" xfId="2199" xr:uid="{00000000-0005-0000-0000-0000F2080000}"/>
    <cellStyle name="SAPBEXHLevel2 2 2" xfId="2339" xr:uid="{00000000-0005-0000-0000-0000F3080000}"/>
    <cellStyle name="SAPBEXHLevel2 3" xfId="2235" xr:uid="{00000000-0005-0000-0000-0000F4080000}"/>
    <cellStyle name="SAPBEXHLevel2X" xfId="2046" xr:uid="{00000000-0005-0000-0000-0000F5080000}"/>
    <cellStyle name="SAPBEXHLevel2X 2" xfId="2200" xr:uid="{00000000-0005-0000-0000-0000F6080000}"/>
    <cellStyle name="SAPBEXHLevel2X 2 2" xfId="2340" xr:uid="{00000000-0005-0000-0000-0000F7080000}"/>
    <cellStyle name="SAPBEXHLevel2X 3" xfId="2236" xr:uid="{00000000-0005-0000-0000-0000F8080000}"/>
    <cellStyle name="SAPBEXHLevel3" xfId="2047" xr:uid="{00000000-0005-0000-0000-0000F9080000}"/>
    <cellStyle name="SAPBEXHLevel3 2" xfId="2201" xr:uid="{00000000-0005-0000-0000-0000FA080000}"/>
    <cellStyle name="SAPBEXHLevel3 2 2" xfId="2341" xr:uid="{00000000-0005-0000-0000-0000FB080000}"/>
    <cellStyle name="SAPBEXHLevel3 3" xfId="2237" xr:uid="{00000000-0005-0000-0000-0000FC080000}"/>
    <cellStyle name="SAPBEXHLevel3X" xfId="2048" xr:uid="{00000000-0005-0000-0000-0000FD080000}"/>
    <cellStyle name="SAPBEXHLevel3X 2" xfId="2202" xr:uid="{00000000-0005-0000-0000-0000FE080000}"/>
    <cellStyle name="SAPBEXHLevel3X 2 2" xfId="2342" xr:uid="{00000000-0005-0000-0000-0000FF080000}"/>
    <cellStyle name="SAPBEXHLevel3X 3" xfId="2238" xr:uid="{00000000-0005-0000-0000-000000090000}"/>
    <cellStyle name="SAPBEXinputData" xfId="2049" xr:uid="{00000000-0005-0000-0000-000001090000}"/>
    <cellStyle name="SAPBEXItemHeader" xfId="2050" xr:uid="{00000000-0005-0000-0000-000002090000}"/>
    <cellStyle name="SAPBEXItemHeader 2" xfId="2203" xr:uid="{00000000-0005-0000-0000-000003090000}"/>
    <cellStyle name="SAPBEXItemHeader 2 2" xfId="2343" xr:uid="{00000000-0005-0000-0000-000004090000}"/>
    <cellStyle name="SAPBEXItemHeader 3" xfId="2239" xr:uid="{00000000-0005-0000-0000-000005090000}"/>
    <cellStyle name="SAPBEXresData" xfId="2051" xr:uid="{00000000-0005-0000-0000-000006090000}"/>
    <cellStyle name="SAPBEXresData 2" xfId="2204" xr:uid="{00000000-0005-0000-0000-000007090000}"/>
    <cellStyle name="SAPBEXresData 2 2" xfId="2344" xr:uid="{00000000-0005-0000-0000-000008090000}"/>
    <cellStyle name="SAPBEXresData 3" xfId="2240" xr:uid="{00000000-0005-0000-0000-000009090000}"/>
    <cellStyle name="SAPBEXresDataEmph" xfId="2052" xr:uid="{00000000-0005-0000-0000-00000A090000}"/>
    <cellStyle name="SAPBEXresDataEmph 2" xfId="2205" xr:uid="{00000000-0005-0000-0000-00000B090000}"/>
    <cellStyle name="SAPBEXresDataEmph 2 2" xfId="2345" xr:uid="{00000000-0005-0000-0000-00000C090000}"/>
    <cellStyle name="SAPBEXresDataEmph 3" xfId="2241" xr:uid="{00000000-0005-0000-0000-00000D090000}"/>
    <cellStyle name="SAPBEXresItem" xfId="2053" xr:uid="{00000000-0005-0000-0000-00000E090000}"/>
    <cellStyle name="SAPBEXresItem 2" xfId="2206" xr:uid="{00000000-0005-0000-0000-00000F090000}"/>
    <cellStyle name="SAPBEXresItem 2 2" xfId="2346" xr:uid="{00000000-0005-0000-0000-000010090000}"/>
    <cellStyle name="SAPBEXresItem 3" xfId="2242" xr:uid="{00000000-0005-0000-0000-000011090000}"/>
    <cellStyle name="SAPBEXresItemX" xfId="2054" xr:uid="{00000000-0005-0000-0000-000012090000}"/>
    <cellStyle name="SAPBEXresItemX 2" xfId="2207" xr:uid="{00000000-0005-0000-0000-000013090000}"/>
    <cellStyle name="SAPBEXresItemX 2 2" xfId="2347" xr:uid="{00000000-0005-0000-0000-000014090000}"/>
    <cellStyle name="SAPBEXresItemX 3" xfId="2243" xr:uid="{00000000-0005-0000-0000-000015090000}"/>
    <cellStyle name="SAPBEXstdData" xfId="2055" xr:uid="{00000000-0005-0000-0000-000016090000}"/>
    <cellStyle name="SAPBEXstdData 2" xfId="2208" xr:uid="{00000000-0005-0000-0000-000017090000}"/>
    <cellStyle name="SAPBEXstdData 2 2" xfId="2348" xr:uid="{00000000-0005-0000-0000-000018090000}"/>
    <cellStyle name="SAPBEXstdData 3" xfId="2244" xr:uid="{00000000-0005-0000-0000-000019090000}"/>
    <cellStyle name="SAPBEXstdDataEmph" xfId="2056" xr:uid="{00000000-0005-0000-0000-00001A090000}"/>
    <cellStyle name="SAPBEXstdDataEmph 2" xfId="2209" xr:uid="{00000000-0005-0000-0000-00001B090000}"/>
    <cellStyle name="SAPBEXstdDataEmph 2 2" xfId="2349" xr:uid="{00000000-0005-0000-0000-00001C090000}"/>
    <cellStyle name="SAPBEXstdDataEmph 3" xfId="2245" xr:uid="{00000000-0005-0000-0000-00001D090000}"/>
    <cellStyle name="SAPBEXstdItem" xfId="2057" xr:uid="{00000000-0005-0000-0000-00001E090000}"/>
    <cellStyle name="SAPBEXstdItem 2" xfId="2210" xr:uid="{00000000-0005-0000-0000-00001F090000}"/>
    <cellStyle name="SAPBEXstdItem 2 2" xfId="2350" xr:uid="{00000000-0005-0000-0000-000020090000}"/>
    <cellStyle name="SAPBEXstdItem 3" xfId="2246" xr:uid="{00000000-0005-0000-0000-000021090000}"/>
    <cellStyle name="SAPBEXstdItemX" xfId="2058" xr:uid="{00000000-0005-0000-0000-000022090000}"/>
    <cellStyle name="SAPBEXstdItemX 2" xfId="2211" xr:uid="{00000000-0005-0000-0000-000023090000}"/>
    <cellStyle name="SAPBEXstdItemX 2 2" xfId="2351" xr:uid="{00000000-0005-0000-0000-000024090000}"/>
    <cellStyle name="SAPBEXstdItemX 3" xfId="2247" xr:uid="{00000000-0005-0000-0000-000025090000}"/>
    <cellStyle name="SAPBEXtitle" xfId="2059" xr:uid="{00000000-0005-0000-0000-000026090000}"/>
    <cellStyle name="SAPBEXtitle 2" xfId="2212" xr:uid="{00000000-0005-0000-0000-000027090000}"/>
    <cellStyle name="SAPBEXtitle 2 2" xfId="2352" xr:uid="{00000000-0005-0000-0000-000028090000}"/>
    <cellStyle name="SAPBEXtitle 3" xfId="2248" xr:uid="{00000000-0005-0000-0000-000029090000}"/>
    <cellStyle name="SAPBEXunassignedItem" xfId="2060" xr:uid="{00000000-0005-0000-0000-00002A090000}"/>
    <cellStyle name="SAPBEXundefined" xfId="2061" xr:uid="{00000000-0005-0000-0000-00002B090000}"/>
    <cellStyle name="SAPBEXundefined 2" xfId="2213" xr:uid="{00000000-0005-0000-0000-00002C090000}"/>
    <cellStyle name="SAPBEXundefined 2 2" xfId="2353" xr:uid="{00000000-0005-0000-0000-00002D090000}"/>
    <cellStyle name="SAPBEXundefined 3" xfId="2249" xr:uid="{00000000-0005-0000-0000-00002E090000}"/>
    <cellStyle name="Sheet Title" xfId="2062" xr:uid="{00000000-0005-0000-0000-00002F090000}"/>
    <cellStyle name="Style 1" xfId="74" xr:uid="{00000000-0005-0000-0000-000030090000}"/>
    <cellStyle name="Style 1 2" xfId="2063" xr:uid="{00000000-0005-0000-0000-000031090000}"/>
    <cellStyle name="Sub-total" xfId="2064" xr:uid="{00000000-0005-0000-0000-000032090000}"/>
    <cellStyle name="Sub-total 2" xfId="2214" xr:uid="{00000000-0005-0000-0000-000033090000}"/>
    <cellStyle name="Sub-total 2 2" xfId="2354" xr:uid="{00000000-0005-0000-0000-000034090000}"/>
    <cellStyle name="Sub-total 3" xfId="2250" xr:uid="{00000000-0005-0000-0000-000035090000}"/>
    <cellStyle name="Summa" xfId="2065" xr:uid="{00000000-0005-0000-0000-000036090000}"/>
    <cellStyle name="Summa 2" xfId="2215" xr:uid="{00000000-0005-0000-0000-000037090000}"/>
    <cellStyle name="Summa 2 2" xfId="2355" xr:uid="{00000000-0005-0000-0000-000038090000}"/>
    <cellStyle name="Summa 3" xfId="2251" xr:uid="{00000000-0005-0000-0000-000039090000}"/>
    <cellStyle name="Text" xfId="2066" xr:uid="{00000000-0005-0000-0000-00003A090000}"/>
    <cellStyle name="Titel" xfId="2067" xr:uid="{00000000-0005-0000-0000-00003B090000}"/>
    <cellStyle name="Totals" xfId="2068" xr:uid="{00000000-0005-0000-0000-00003C090000}"/>
    <cellStyle name="Ugyldig" xfId="2069" xr:uid="{00000000-0005-0000-0000-00003D090000}"/>
    <cellStyle name="Utdata" xfId="2070" xr:uid="{00000000-0005-0000-0000-00003E090000}"/>
    <cellStyle name="Utdata 2" xfId="2216" xr:uid="{00000000-0005-0000-0000-00003F090000}"/>
    <cellStyle name="Utdata 2 2" xfId="2356" xr:uid="{00000000-0005-0000-0000-000040090000}"/>
    <cellStyle name="Utdata 3" xfId="2252" xr:uid="{00000000-0005-0000-0000-000041090000}"/>
    <cellStyle name="Varningstext" xfId="2071" xr:uid="{00000000-0005-0000-0000-000042090000}"/>
  </cellStyles>
  <dxfs count="7"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rgb="FFC00000"/>
      </font>
    </dxf>
  </dxfs>
  <tableStyles count="0" defaultTableStyle="TableStyleMedium9" defaultPivotStyle="PivotStyleLight16"/>
  <colors>
    <mruColors>
      <color rgb="FFFFFFCC"/>
      <color rgb="FFFF33CC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">
  <Schema ID="Schema1">
    <xsd:schema xmlns:xsd="http://www.w3.org/2001/XMLSchema" xmlns="">
      <xsd:element nillable="true" name="ConsumerPriceIndices">
        <xsd:complexType>
          <xsd:sequence minOccurs="0">
            <xsd:element minOccurs="0" maxOccurs="unbounded" nillable="true" name="INDEX" form="unqualified">
              <xsd:complexType>
                <xsd:sequence minOccurs="0">
                  <xsd:element minOccurs="0" maxOccurs="unbounded" nillable="true" name="YEAR" form="unqualified">
                    <xsd:complexType>
                      <xsd:sequence minOccurs="0">
                        <xsd:element minOccurs="0" nillable="true" name="VALUES" form="unqualified">
                          <xsd:complexType>
                            <xsd:sequence minOccurs="0">
                              <xsd:element minOccurs="0" maxOccurs="unbounded" nillable="true" name="ENTRY" form="unqualified">
                                <xsd:complexType>
                                  <xsd:simpleContent>
                                    <xsd:extension base="xsd:double">
                                      <xsd:attribute name="MONTH" form="unqualified" type="xsd:integer"/>
                                    </xsd:extension>
                                  </xsd:simpleContent>
                                </xsd:complexType>
                              </xsd:element>
                            </xsd:sequence>
                          </xsd:complexType>
                        </xsd:element>
                      </xsd:sequence>
                      <xsd:attribute name="NAME" form="unqualified" type="xsd:integer"/>
                    </xsd:complexType>
                  </xsd:element>
                </xsd:sequence>
                <xsd:attribute name="BASE" form="unqualified" type="xsd:string"/>
                <xsd:attribute name="DESCRIPTION" form="unqualified" type="xsd:string"/>
              </xsd:complexType>
            </xsd:element>
          </xsd:sequence>
        </xsd:complexType>
      </xsd:element>
    </xsd:schema>
  </Schema>
  <Map ID="1" Name="ConsumerPriceIndices_Map" RootElement="ConsumerPriceIndices" SchemaID="Schema1" ShowImportExportValidationErrors="false" AutoFit="true" Append="false" PreserveSortAFLayout="true" PreserveFormat="true"/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5" Type="http://schemas.openxmlformats.org/officeDocument/2006/relationships/xmlMaps" Target="xmlMap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23" Type="http://schemas.openxmlformats.org/officeDocument/2006/relationships/customXml" Target="../customXml/item4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2994187" cy="716559"/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994187" cy="716559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onfs01\data\AndrewStone\offshore%20savings\Lincs\2014.01.17_Lincs%20TCP%20models\Lincs_Perm%20Changes_Delevere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nationalgridplc-my.sharepoint.com/AndrewStone/offshore%20savings/Lincs/2014.01.17_Lincs%20TCP%20models/Lincs_Perm%20Changes_Delevere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Charts "/>
      <sheetName val="TM_Change"/>
      <sheetName val="P&amp;L"/>
      <sheetName val="CF"/>
      <sheetName val="CF Original"/>
      <sheetName val="CF Delta"/>
      <sheetName val="BalSht"/>
      <sheetName val="Summary"/>
      <sheetName val="Sens Analysis"/>
      <sheetName val="Sens"/>
      <sheetName val="InputC"/>
      <sheetName val="InputM"/>
      <sheetName val="InputSA"/>
      <sheetName val="Calcs M"/>
      <sheetName val="Calcs SA"/>
      <sheetName val="Ratios"/>
      <sheetName val="Checks"/>
      <sheetName val="MSA"/>
      <sheetName val="Analysis template"/>
      <sheetName val="Proj IRR"/>
      <sheetName val="Swap Profiles"/>
      <sheetName val="Swap Profiles - EIB"/>
      <sheetName val="Databook M"/>
      <sheetName val="GapList_1"/>
      <sheetName val="GapList_2"/>
      <sheetName val="GapList_3"/>
      <sheetName val="Gaps list 3a"/>
      <sheetName val="GapList_4"/>
      <sheetName val="Gaps list 5"/>
      <sheetName val="fis-Cover"/>
      <sheetName val="fis1-General Data"/>
      <sheetName val="fis2-Analysis-Insurance"/>
      <sheetName val="fis3-Analysis-TRS Components"/>
      <sheetName val="fis4-Funding Data"/>
      <sheetName val="fis5-Yearly Data"/>
      <sheetName val="fis6-Tax Pool Allocations"/>
      <sheetName val="fis7-Output Page"/>
      <sheetName val="fis-Standard Data"/>
      <sheetName val="fis-Integrity Checks"/>
      <sheetName val="Charts_"/>
      <sheetName val="CF_Original"/>
      <sheetName val="CF_Delta"/>
      <sheetName val="Sens_Analysis"/>
      <sheetName val="Calcs_M"/>
      <sheetName val="Calcs_SA"/>
      <sheetName val="Analysis_template"/>
      <sheetName val="Proj_IRR"/>
      <sheetName val="Swap_Profiles"/>
      <sheetName val="Swap_Profiles_-_EIB"/>
      <sheetName val="Databook_M"/>
      <sheetName val="Gaps_list_3a"/>
      <sheetName val="Gaps_list_5"/>
      <sheetName val="fis1-General_Data"/>
      <sheetName val="fis3-Analysis-TRS_Components"/>
      <sheetName val="fis4-Funding_Data"/>
      <sheetName val="fis5-Yearly_Data"/>
      <sheetName val="fis6-Tax_Pool_Allocations"/>
      <sheetName val="fis7-Output_Page"/>
      <sheetName val="fis-Standard_Data"/>
      <sheetName val="fis-Integrity_Chec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Charts "/>
      <sheetName val="TM_Change"/>
      <sheetName val="P&amp;L"/>
      <sheetName val="CF"/>
      <sheetName val="CF Original"/>
      <sheetName val="CF Delta"/>
      <sheetName val="BalSht"/>
      <sheetName val="Summary"/>
      <sheetName val="Sens Analysis"/>
      <sheetName val="Sens"/>
      <sheetName val="InputC"/>
      <sheetName val="InputM"/>
      <sheetName val="InputSA"/>
      <sheetName val="Calcs M"/>
      <sheetName val="Calcs SA"/>
      <sheetName val="Ratios"/>
      <sheetName val="Checks"/>
      <sheetName val="MSA"/>
      <sheetName val="Analysis template"/>
      <sheetName val="Proj IRR"/>
      <sheetName val="Swap Profiles"/>
      <sheetName val="Swap Profiles - EIB"/>
      <sheetName val="Databook M"/>
      <sheetName val="GapList_1"/>
      <sheetName val="GapList_2"/>
      <sheetName val="GapList_3"/>
      <sheetName val="Gaps list 3a"/>
      <sheetName val="GapList_4"/>
      <sheetName val="Gaps list 5"/>
      <sheetName val="fis-Cover"/>
      <sheetName val="fis1-General Data"/>
      <sheetName val="fis2-Analysis-Insurance"/>
      <sheetName val="fis3-Analysis-TRS Components"/>
      <sheetName val="fis4-Funding Data"/>
      <sheetName val="fis5-Yearly Data"/>
      <sheetName val="fis6-Tax Pool Allocations"/>
      <sheetName val="fis7-Output Page"/>
      <sheetName val="fis-Standard Data"/>
      <sheetName val="fis-Integrity Checks"/>
      <sheetName val="Charts_"/>
      <sheetName val="CF_Original"/>
      <sheetName val="CF_Delta"/>
      <sheetName val="Sens_Analysis"/>
      <sheetName val="Calcs_M"/>
      <sheetName val="Calcs_SA"/>
      <sheetName val="Analysis_template"/>
      <sheetName val="Proj_IRR"/>
      <sheetName val="Swap_Profiles"/>
      <sheetName val="Swap_Profiles_-_EIB"/>
      <sheetName val="Databook_M"/>
      <sheetName val="Gaps_list_3a"/>
      <sheetName val="Gaps_list_5"/>
      <sheetName val="fis1-General_Data"/>
      <sheetName val="fis3-Analysis-TRS_Components"/>
      <sheetName val="fis4-Funding_Data"/>
      <sheetName val="fis5-Yearly_Data"/>
      <sheetName val="fis6-Tax_Pool_Allocations"/>
      <sheetName val="fis7-Output_Page"/>
      <sheetName val="fis-Standard_Data"/>
      <sheetName val="fis-Integrity_Chec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../../../../../../../../../../Cap%20and%20Floor%20Financial%20Models/NEMO/Nemo%20(PCR)%20CFFM1%20and%20CFFM2/Nemo%20(PCR)%20CFFM1%20and%20CFFM2%20preAudit/Standard%20CFFM_1%20(provisional%20Nemo%20PC" TargetMode="External"/><Relationship Id="rId1" Type="http://schemas.openxmlformats.org/officeDocument/2006/relationships/hyperlink" Target="../../../../../../../../../../Cap%20and%20Floor%20Financial%20Models/NEMO/Nemo_CFFM_Jan2017_Ofgem.xlsx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ons.gov.uk/economy/inflationandpriceindices/timeseries/chaw/mm23" TargetMode="External"/><Relationship Id="rId3" Type="http://schemas.openxmlformats.org/officeDocument/2006/relationships/hyperlink" Target="https://www.ons.gov.uk/economy/inflationandpriceindices/timeseries/chaw/mm23" TargetMode="External"/><Relationship Id="rId7" Type="http://schemas.openxmlformats.org/officeDocument/2006/relationships/hyperlink" Target="https://www.bankofengland.co.uk/boeapps/database/fromshowcolumns.asp?Travel=NIxAZxSUx&amp;FromSeries=1&amp;ToSeries=50&amp;DAT=RNG&amp;FD=1&amp;FM=Jan&amp;FY=2010&amp;TD=11&amp;TM=May&amp;TY=2025&amp;FNY=Y&amp;CSVF=TT&amp;html.x=66&amp;html.y=26&amp;SeriesCodes=XUMAERS&amp;UsingCodes=Y&amp;Filter=N&amp;title=XUMAERS&amp;VPD=Y" TargetMode="External"/><Relationship Id="rId2" Type="http://schemas.openxmlformats.org/officeDocument/2006/relationships/hyperlink" Target="https://statbel.fgov.be/en/themes/consumer-prices/consumer-price-index" TargetMode="External"/><Relationship Id="rId1" Type="http://schemas.openxmlformats.org/officeDocument/2006/relationships/hyperlink" Target="https://www.ons.gov.uk/economy/inflationandpriceindices/timeseries/chaw/mm23" TargetMode="External"/><Relationship Id="rId6" Type="http://schemas.openxmlformats.org/officeDocument/2006/relationships/hyperlink" Target="https://www.bankofengland.co.uk/boeapps/database/fromshowcolumns.asp?Travel=NIxAZxSUx&amp;FromSeries=1&amp;ToSeries=50&amp;DAT=RNG&amp;FD=1&amp;FM=Jan&amp;FY=2010&amp;TD=11&amp;TM=May&amp;TY=2025&amp;FNY=Y&amp;CSVF=TT&amp;html.x=66&amp;html.y=26&amp;SeriesCodes=XUMAERS&amp;UsingCodes=Y&amp;Filter=N&amp;title=XUMAERS&amp;VPD=Y" TargetMode="External"/><Relationship Id="rId5" Type="http://schemas.openxmlformats.org/officeDocument/2006/relationships/hyperlink" Target="https://www.ons.gov.uk/economy/inflationandpriceindices/timeseries/chaw/mm23" TargetMode="External"/><Relationship Id="rId4" Type="http://schemas.openxmlformats.org/officeDocument/2006/relationships/hyperlink" Target="https://www.bankofengland.co.uk/boeapps/database/fromshowcolumns.asp?Travel=NIxAZxSUx&amp;FromSeries=1&amp;ToSeries=50&amp;DAT=RNG&amp;FD=1&amp;FM=Jan&amp;FY=2010&amp;TD=11&amp;TM=May&amp;TY=2025&amp;FNY=Y&amp;CSVF=TT&amp;html.x=66&amp;html.y=26&amp;SeriesCodes=XUMAERS&amp;UsingCodes=Y&amp;Filter=N&amp;title=XUMAERS&amp;VPD=Y" TargetMode="External"/><Relationship Id="rId9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tabColor theme="5" tint="0.59999389629810485"/>
    <pageSetUpPr fitToPage="1"/>
  </sheetPr>
  <dimension ref="A1:H45"/>
  <sheetViews>
    <sheetView showGridLines="0" zoomScaleNormal="100" workbookViewId="0">
      <pane ySplit="6" topLeftCell="A7" activePane="bottomLeft" state="frozen"/>
      <selection activeCell="G26" sqref="G26"/>
      <selection pane="bottomLeft" activeCell="E13" sqref="E13"/>
    </sheetView>
  </sheetViews>
  <sheetFormatPr defaultColWidth="0" defaultRowHeight="0" customHeight="1" zeroHeight="1"/>
  <cols>
    <col min="1" max="4" width="1.5703125" style="40" customWidth="1"/>
    <col min="5" max="5" width="19.140625" style="40" customWidth="1"/>
    <col min="6" max="6" width="2.7109375" style="40" customWidth="1"/>
    <col min="7" max="7" width="96.42578125" style="40" customWidth="1"/>
    <col min="8" max="8" width="3.140625" customWidth="1"/>
    <col min="9" max="9" width="0" style="40" hidden="1" customWidth="1"/>
    <col min="10" max="16384" width="0" style="40" hidden="1"/>
  </cols>
  <sheetData>
    <row r="1" spans="1:8" ht="57" customHeight="1"/>
    <row r="2" spans="1:8" s="36" customFormat="1" ht="21">
      <c r="A2" s="34" t="s">
        <v>0</v>
      </c>
      <c r="B2" s="35"/>
      <c r="C2" s="35"/>
      <c r="D2" s="35"/>
      <c r="E2" s="35"/>
      <c r="H2"/>
    </row>
    <row r="3" spans="1:8" s="36" customFormat="1" ht="15.75">
      <c r="A3" s="37"/>
      <c r="B3" s="37" t="s">
        <v>1</v>
      </c>
      <c r="C3" s="35"/>
      <c r="D3" s="35"/>
      <c r="E3" s="35"/>
      <c r="H3"/>
    </row>
    <row r="4" spans="1:8" s="36" customFormat="1" ht="15" customHeight="1">
      <c r="A4" s="35"/>
      <c r="B4" s="35"/>
      <c r="C4" s="266" t="str">
        <f ca="1">MID(CELL("filename"),SEARCH("[",CELL("filename"))+1,SEARCH("]",CELL("filename"))-SEARCH("[",CELL("filename"))-1)</f>
        <v>GCFFM1_PCR.xlsm</v>
      </c>
      <c r="D4" s="38"/>
      <c r="E4" s="38"/>
      <c r="F4" s="39"/>
      <c r="G4" s="39"/>
      <c r="H4"/>
    </row>
    <row r="5" spans="1:8" s="36" customFormat="1" ht="13.15">
      <c r="A5" s="35"/>
      <c r="B5" s="35"/>
      <c r="C5" s="268" t="s">
        <v>2</v>
      </c>
      <c r="D5" s="268"/>
      <c r="E5" s="268"/>
      <c r="F5" s="268"/>
      <c r="G5" s="268"/>
      <c r="H5"/>
    </row>
    <row r="6" spans="1:8" s="36" customFormat="1" ht="13.15">
      <c r="A6" s="35"/>
      <c r="B6" s="35"/>
      <c r="C6" s="210" t="s">
        <v>3</v>
      </c>
      <c r="D6" s="178"/>
      <c r="E6" s="178"/>
      <c r="F6" s="178"/>
      <c r="G6" s="178"/>
      <c r="H6"/>
    </row>
    <row r="7" spans="1:8" ht="15" customHeight="1">
      <c r="B7" s="41"/>
    </row>
    <row r="8" spans="1:8" s="4" customFormat="1" ht="15" customHeight="1">
      <c r="B8" s="267" t="s">
        <v>4</v>
      </c>
      <c r="C8" s="11"/>
      <c r="D8" s="11"/>
      <c r="E8" s="11"/>
      <c r="F8" s="11"/>
      <c r="G8" s="11"/>
      <c r="H8"/>
    </row>
    <row r="9" spans="1:8" s="4" customFormat="1" ht="15" customHeight="1">
      <c r="E9" s="17"/>
      <c r="G9" s="1"/>
      <c r="H9"/>
    </row>
    <row r="10" spans="1:8" s="4" customFormat="1" ht="15" customHeight="1">
      <c r="E10" s="1" t="s">
        <v>5</v>
      </c>
      <c r="G10" s="1" t="s">
        <v>6</v>
      </c>
      <c r="H10"/>
    </row>
    <row r="11" spans="1:8" s="4" customFormat="1" ht="15" customHeight="1">
      <c r="E11" s="44" t="s">
        <v>5</v>
      </c>
      <c r="G11" s="4" t="s">
        <v>7</v>
      </c>
      <c r="H11"/>
    </row>
    <row r="12" spans="1:8" s="4" customFormat="1" ht="15" customHeight="1">
      <c r="E12" s="42" t="s">
        <v>5</v>
      </c>
      <c r="G12" s="1" t="s">
        <v>8</v>
      </c>
      <c r="H12"/>
    </row>
    <row r="13" spans="1:8" s="4" customFormat="1" ht="15" customHeight="1">
      <c r="E13" s="43" t="s">
        <v>5</v>
      </c>
      <c r="G13" s="1" t="s">
        <v>9</v>
      </c>
      <c r="H13"/>
    </row>
    <row r="14" spans="1:8" s="4" customFormat="1" ht="15" customHeight="1">
      <c r="E14" s="168" t="s">
        <v>5</v>
      </c>
      <c r="G14" s="1" t="s">
        <v>10</v>
      </c>
      <c r="H14"/>
    </row>
    <row r="15" spans="1:8" s="4" customFormat="1" ht="15" customHeight="1">
      <c r="E15" s="48" t="s">
        <v>5</v>
      </c>
      <c r="G15" s="4" t="s">
        <v>11</v>
      </c>
      <c r="H15"/>
    </row>
    <row r="16" spans="1:8" s="4" customFormat="1" ht="15" customHeight="1">
      <c r="E16" s="102" t="s">
        <v>5</v>
      </c>
      <c r="G16" s="4" t="s">
        <v>12</v>
      </c>
      <c r="H16"/>
    </row>
    <row r="17" spans="2:8" s="4" customFormat="1" ht="15" customHeight="1">
      <c r="E17" s="49" t="s">
        <v>5</v>
      </c>
      <c r="G17" s="4" t="s">
        <v>13</v>
      </c>
      <c r="H17"/>
    </row>
    <row r="18" spans="2:8" s="4" customFormat="1" ht="15" customHeight="1">
      <c r="E18" s="3" t="s">
        <v>5</v>
      </c>
      <c r="G18" s="4" t="s">
        <v>14</v>
      </c>
      <c r="H18"/>
    </row>
    <row r="19" spans="2:8" s="4" customFormat="1" ht="15" customHeight="1">
      <c r="E19" s="53" t="s">
        <v>5</v>
      </c>
      <c r="G19" s="4" t="s">
        <v>15</v>
      </c>
      <c r="H19"/>
    </row>
    <row r="20" spans="2:8" s="4" customFormat="1" ht="15" customHeight="1">
      <c r="E20" s="220"/>
      <c r="G20" s="4" t="s">
        <v>16</v>
      </c>
      <c r="H20"/>
    </row>
    <row r="21" spans="2:8" s="4" customFormat="1" ht="15" customHeight="1">
      <c r="H21"/>
    </row>
    <row r="22" spans="2:8" s="4" customFormat="1" ht="15" customHeight="1">
      <c r="B22" s="267" t="s">
        <v>17</v>
      </c>
      <c r="C22" s="11"/>
      <c r="D22" s="11"/>
      <c r="E22" s="11"/>
      <c r="F22" s="11"/>
      <c r="G22" s="11"/>
      <c r="H22"/>
    </row>
    <row r="23" spans="2:8" s="4" customFormat="1" ht="15" customHeight="1" thickBot="1">
      <c r="E23" s="17"/>
      <c r="G23" s="1"/>
      <c r="H23"/>
    </row>
    <row r="24" spans="2:8" s="4" customFormat="1" ht="15" customHeight="1" thickBot="1">
      <c r="E24" s="124" t="s">
        <v>18</v>
      </c>
      <c r="F24" s="122"/>
      <c r="G24" s="45" t="s">
        <v>19</v>
      </c>
      <c r="H24"/>
    </row>
    <row r="25" spans="2:8" s="4" customFormat="1" ht="15" customHeight="1" thickBot="1">
      <c r="E25" s="124" t="s">
        <v>20</v>
      </c>
      <c r="F25" s="133"/>
      <c r="G25" s="45" t="s">
        <v>21</v>
      </c>
      <c r="H25"/>
    </row>
    <row r="26" spans="2:8" s="4" customFormat="1" ht="15" customHeight="1" thickTop="1" thickBot="1">
      <c r="E26" s="124" t="s">
        <v>22</v>
      </c>
      <c r="F26" s="46"/>
      <c r="G26" s="45" t="s">
        <v>23</v>
      </c>
      <c r="H26"/>
    </row>
    <row r="27" spans="2:8" s="4" customFormat="1" ht="15" customHeight="1" thickTop="1" thickBot="1">
      <c r="E27" s="124" t="s">
        <v>24</v>
      </c>
      <c r="F27" s="46"/>
      <c r="G27" s="45" t="s">
        <v>25</v>
      </c>
      <c r="H27"/>
    </row>
    <row r="28" spans="2:8" s="4" customFormat="1" ht="15" customHeight="1" thickTop="1" thickBot="1">
      <c r="E28" s="124" t="s">
        <v>26</v>
      </c>
      <c r="F28" s="47"/>
      <c r="G28" s="45" t="s">
        <v>27</v>
      </c>
      <c r="H28"/>
    </row>
    <row r="29" spans="2:8" s="4" customFormat="1" ht="15" customHeight="1" thickBot="1">
      <c r="E29" s="124" t="s">
        <v>28</v>
      </c>
      <c r="F29" s="47"/>
      <c r="G29" s="45" t="s">
        <v>29</v>
      </c>
      <c r="H29"/>
    </row>
    <row r="30" spans="2:8" s="4" customFormat="1" ht="15" customHeight="1" thickBot="1">
      <c r="E30" s="124" t="s">
        <v>30</v>
      </c>
      <c r="F30" s="47"/>
      <c r="G30" s="45" t="s">
        <v>31</v>
      </c>
      <c r="H30"/>
    </row>
    <row r="31" spans="2:8" s="4" customFormat="1" ht="15" customHeight="1" thickBot="1">
      <c r="E31" s="124" t="s">
        <v>32</v>
      </c>
      <c r="F31" s="47"/>
      <c r="G31" s="45" t="s">
        <v>33</v>
      </c>
      <c r="H31"/>
    </row>
    <row r="32" spans="2:8" s="4" customFormat="1" ht="15" customHeight="1" thickBot="1">
      <c r="E32" s="124" t="s">
        <v>34</v>
      </c>
      <c r="F32" s="47"/>
      <c r="G32" s="45" t="s">
        <v>35</v>
      </c>
      <c r="H32"/>
    </row>
    <row r="33" spans="2:8" s="4" customFormat="1" ht="15" customHeight="1" thickBot="1">
      <c r="E33" s="124" t="s">
        <v>36</v>
      </c>
      <c r="F33" s="47"/>
      <c r="G33" s="45" t="s">
        <v>37</v>
      </c>
      <c r="H33"/>
    </row>
    <row r="34" spans="2:8" s="4" customFormat="1" ht="15" customHeight="1" thickBot="1">
      <c r="E34" s="124" t="s">
        <v>38</v>
      </c>
      <c r="F34" s="47"/>
      <c r="G34" s="45" t="s">
        <v>39</v>
      </c>
      <c r="H34"/>
    </row>
    <row r="35" spans="2:8" s="4" customFormat="1" ht="15" customHeight="1" thickBot="1">
      <c r="E35" s="124" t="s">
        <v>40</v>
      </c>
      <c r="F35" s="47"/>
      <c r="G35" s="45" t="s">
        <v>41</v>
      </c>
      <c r="H35"/>
    </row>
    <row r="36" spans="2:8" s="4" customFormat="1" ht="15" customHeight="1" thickBot="1">
      <c r="E36" s="124" t="s">
        <v>42</v>
      </c>
      <c r="F36" s="121"/>
      <c r="G36" s="45" t="s">
        <v>43</v>
      </c>
      <c r="H36"/>
    </row>
    <row r="37" spans="2:8" s="4" customFormat="1" ht="15" customHeight="1">
      <c r="E37" s="179"/>
      <c r="G37" s="45"/>
      <c r="H37"/>
    </row>
    <row r="38" spans="2:8" s="4" customFormat="1" ht="15" customHeight="1">
      <c r="B38" s="265" t="s">
        <v>44</v>
      </c>
      <c r="C38" s="11"/>
      <c r="D38" s="11"/>
      <c r="E38" s="11"/>
      <c r="F38" s="11"/>
      <c r="G38" s="11"/>
      <c r="H38"/>
    </row>
    <row r="39" spans="2:8" s="4" customFormat="1" ht="15" customHeight="1">
      <c r="E39" s="179"/>
      <c r="G39" s="45"/>
      <c r="H39"/>
    </row>
    <row r="40" spans="2:8" s="4" customFormat="1" ht="15" customHeight="1">
      <c r="E40" s="5" t="s">
        <v>45</v>
      </c>
      <c r="F40" s="5"/>
      <c r="G40" s="181" t="str">
        <f>'Op Rav'!I27</f>
        <v>TRUE</v>
      </c>
      <c r="H40"/>
    </row>
    <row r="41" spans="2:8" s="4" customFormat="1" ht="15" customHeight="1">
      <c r="E41" s="5" t="s">
        <v>46</v>
      </c>
      <c r="F41" s="5"/>
      <c r="G41" s="181" t="b">
        <f>Inputs!I157</f>
        <v>0</v>
      </c>
      <c r="H41"/>
    </row>
    <row r="42" spans="2:8" s="4" customFormat="1" ht="15" customHeight="1">
      <c r="E42" s="179"/>
      <c r="G42" s="45"/>
      <c r="H42"/>
    </row>
    <row r="43" spans="2:8" s="4" customFormat="1" ht="15" customHeight="1">
      <c r="B43" s="265" t="s">
        <v>47</v>
      </c>
      <c r="C43" s="11"/>
      <c r="D43" s="11"/>
      <c r="E43" s="11"/>
      <c r="F43" s="11"/>
      <c r="G43" s="11"/>
      <c r="H43"/>
    </row>
    <row r="44" spans="2:8" s="4" customFormat="1" ht="15" customHeight="1">
      <c r="E44" s="180"/>
      <c r="F44" s="180"/>
      <c r="G44" s="45"/>
      <c r="H44"/>
    </row>
    <row r="45" spans="2:8" ht="15" hidden="1" customHeight="1"/>
  </sheetData>
  <mergeCells count="1">
    <mergeCell ref="C5:G5"/>
  </mergeCells>
  <hyperlinks>
    <hyperlink ref="E24" location="Cover!A1" display="Cover" xr:uid="{00000000-0004-0000-0000-000000000000}"/>
    <hyperlink ref="E27" location="'Data sources'!A1" display="Data sources" xr:uid="{00000000-0004-0000-0000-000001000000}"/>
    <hyperlink ref="E29" location="Finance!A1" display="Finance" xr:uid="{00000000-0004-0000-0000-000002000000}"/>
    <hyperlink ref="E31" location="'Allowances Cap'!A1" display="Allowances Cap" xr:uid="{00000000-0004-0000-0000-000003000000}"/>
    <hyperlink ref="E28" location="'Pre Op RAV'!A1" display="Pre Op RAV" xr:uid="{00000000-0004-0000-0000-000004000000}"/>
    <hyperlink ref="E32" location="'Allowances Floor'!A1" display="Allowances Floor" xr:uid="{00000000-0004-0000-0000-000005000000}"/>
    <hyperlink ref="E30" location="'Op Rav'!A1" display="Op RAV" xr:uid="{00000000-0004-0000-0000-000006000000}"/>
    <hyperlink ref="E36" location="'Cap Floor Levels'!A1" display="Cap Floor Levels" xr:uid="{00000000-0004-0000-0000-000007000000}"/>
    <hyperlink ref="E33:E35" location="AllowancesFloor!A1" display="AllowancesFloor" xr:uid="{00000000-0004-0000-0000-000008000000}"/>
    <hyperlink ref="E33" location="'Tax Deductions'!A1" display="Tax Deductions" xr:uid="{00000000-0004-0000-0000-000009000000}"/>
    <hyperlink ref="E34" location="'Tax Cap'!A1" display="Tax Cap" xr:uid="{00000000-0004-0000-0000-00000A000000}"/>
    <hyperlink ref="E35" location="'Tax Floor'!A1" display="Tax Floor" xr:uid="{00000000-0004-0000-0000-00000B000000}"/>
    <hyperlink ref="E26" location="Inputs!A1" display="Inputs" xr:uid="{00000000-0004-0000-0000-00000C000000}"/>
    <hyperlink ref="E25" location="'Version Control'!A1" display="Version Control" xr:uid="{00000000-0004-0000-0000-00000D000000}"/>
  </hyperlinks>
  <pageMargins left="0.23622047244094491" right="0.23622047244094491" top="0.74803149606299213" bottom="0.74803149606299213" header="0.31496062992125984" footer="0.31496062992125984"/>
  <pageSetup paperSize="9" scale="88" fitToHeight="0" orientation="portrait" r:id="rId1"/>
  <headerFooter>
    <oddHeader>&amp;C&amp;"Aptos"&amp;10&amp;K000000 OFFICIAL&amp;1#_x000D_</oddHeader>
    <oddFooter>&amp;C_x000D_&amp;1#&amp;"Aptos"&amp;10&amp;K000000 OFFICIAL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0.59999389629810485"/>
  </sheetPr>
  <dimension ref="A1:P24"/>
  <sheetViews>
    <sheetView zoomScaleNormal="100" workbookViewId="0">
      <pane ySplit="2" topLeftCell="A5" activePane="bottomLeft" state="frozen"/>
      <selection pane="bottomLeft" activeCell="G14" sqref="G14"/>
    </sheetView>
  </sheetViews>
  <sheetFormatPr defaultColWidth="0" defaultRowHeight="13.15" zeroHeight="1"/>
  <cols>
    <col min="1" max="1" width="2.7109375" style="126" customWidth="1"/>
    <col min="2" max="2" width="13.28515625" style="126" bestFit="1" customWidth="1"/>
    <col min="3" max="4" width="13.28515625" style="126" customWidth="1"/>
    <col min="5" max="5" width="16.5703125" style="126" customWidth="1"/>
    <col min="6" max="6" width="10.85546875" style="126" bestFit="1" customWidth="1"/>
    <col min="7" max="7" width="23.42578125" style="126" bestFit="1" customWidth="1"/>
    <col min="8" max="8" width="28.5703125" style="126" customWidth="1"/>
    <col min="9" max="9" width="16.7109375" style="126" bestFit="1" customWidth="1"/>
    <col min="10" max="10" width="15" style="126" bestFit="1" customWidth="1"/>
    <col min="11" max="11" width="16.7109375" style="126" customWidth="1"/>
    <col min="12" max="12" width="18.28515625" style="126" customWidth="1"/>
    <col min="13" max="13" width="3.140625" style="127" customWidth="1"/>
    <col min="14" max="16" width="0" style="126" hidden="1" customWidth="1"/>
    <col min="17" max="16384" width="10.7109375" style="126" hidden="1"/>
  </cols>
  <sheetData>
    <row r="1" spans="1:13" s="130" customFormat="1" ht="14.25">
      <c r="A1" s="177" t="s">
        <v>48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9"/>
    </row>
    <row r="2" spans="1:13" s="130" customFormat="1" ht="39.4">
      <c r="A2" s="128"/>
      <c r="B2" s="176" t="s">
        <v>49</v>
      </c>
      <c r="C2" s="176" t="s">
        <v>50</v>
      </c>
      <c r="D2" s="176" t="s">
        <v>51</v>
      </c>
      <c r="E2" s="176" t="s">
        <v>52</v>
      </c>
      <c r="F2" s="176" t="s">
        <v>53</v>
      </c>
      <c r="G2" s="176" t="s">
        <v>54</v>
      </c>
      <c r="H2" s="176" t="s">
        <v>55</v>
      </c>
      <c r="I2" s="176" t="s">
        <v>56</v>
      </c>
      <c r="J2" s="176" t="s">
        <v>57</v>
      </c>
      <c r="K2" s="176" t="s">
        <v>58</v>
      </c>
      <c r="L2" s="176" t="s">
        <v>59</v>
      </c>
      <c r="M2" s="129"/>
    </row>
    <row r="3" spans="1:13"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</row>
    <row r="4" spans="1:13" ht="26.25">
      <c r="B4" s="132">
        <v>1.1000000000000001</v>
      </c>
      <c r="C4" s="160" t="s">
        <v>60</v>
      </c>
      <c r="D4" s="134" t="s">
        <v>61</v>
      </c>
      <c r="E4" s="132" t="s">
        <v>62</v>
      </c>
      <c r="F4" s="135">
        <v>42766</v>
      </c>
      <c r="G4" s="137" t="s">
        <v>61</v>
      </c>
      <c r="H4" s="137" t="s">
        <v>61</v>
      </c>
      <c r="I4" s="137" t="s">
        <v>61</v>
      </c>
      <c r="J4" s="137" t="s">
        <v>61</v>
      </c>
      <c r="K4" s="137" t="s">
        <v>63</v>
      </c>
      <c r="L4" s="137" t="s">
        <v>64</v>
      </c>
    </row>
    <row r="5" spans="1:13" ht="26.25">
      <c r="B5" s="132">
        <v>2.1</v>
      </c>
      <c r="C5" s="160" t="s">
        <v>60</v>
      </c>
      <c r="D5" s="134">
        <v>1.1000000000000001</v>
      </c>
      <c r="E5" s="132" t="s">
        <v>65</v>
      </c>
      <c r="F5" s="135">
        <v>43544</v>
      </c>
      <c r="G5" s="137" t="s">
        <v>66</v>
      </c>
      <c r="H5" s="137" t="s">
        <v>67</v>
      </c>
      <c r="I5" s="137" t="s">
        <v>68</v>
      </c>
      <c r="J5" s="137" t="s">
        <v>69</v>
      </c>
      <c r="K5" s="137" t="s">
        <v>70</v>
      </c>
      <c r="L5" s="137" t="s">
        <v>71</v>
      </c>
    </row>
    <row r="6" spans="1:13" ht="39.4">
      <c r="B6" s="132">
        <v>2.2000000000000002</v>
      </c>
      <c r="C6" s="160"/>
      <c r="D6" s="134">
        <v>2.1</v>
      </c>
      <c r="E6" s="132" t="s">
        <v>65</v>
      </c>
      <c r="F6" s="135">
        <v>43713</v>
      </c>
      <c r="G6" s="137" t="s">
        <v>72</v>
      </c>
      <c r="H6" s="137" t="s">
        <v>73</v>
      </c>
      <c r="I6" s="137" t="s">
        <v>68</v>
      </c>
      <c r="J6" s="137" t="s">
        <v>69</v>
      </c>
      <c r="K6" s="137" t="s">
        <v>70</v>
      </c>
      <c r="L6" s="137" t="s">
        <v>74</v>
      </c>
    </row>
    <row r="7" spans="1:13" ht="65.650000000000006">
      <c r="B7" s="132">
        <v>3.1</v>
      </c>
      <c r="C7" s="160"/>
      <c r="D7" s="134">
        <v>2.2000000000000002</v>
      </c>
      <c r="E7" s="132" t="s">
        <v>75</v>
      </c>
      <c r="F7" s="135">
        <v>44176</v>
      </c>
      <c r="G7" s="137" t="s">
        <v>76</v>
      </c>
      <c r="H7" s="137" t="s">
        <v>77</v>
      </c>
      <c r="I7" s="137" t="s">
        <v>68</v>
      </c>
      <c r="J7" s="137" t="s">
        <v>78</v>
      </c>
      <c r="K7" s="137" t="s">
        <v>70</v>
      </c>
      <c r="L7" s="137" t="s">
        <v>79</v>
      </c>
    </row>
    <row r="8" spans="1:13" ht="52.5">
      <c r="B8" s="132">
        <v>3.2</v>
      </c>
      <c r="C8" s="160"/>
      <c r="D8" s="134">
        <v>3.1</v>
      </c>
      <c r="E8" s="132" t="s">
        <v>65</v>
      </c>
      <c r="F8" s="135">
        <v>44232</v>
      </c>
      <c r="G8" s="137" t="s">
        <v>80</v>
      </c>
      <c r="H8" s="137" t="s">
        <v>81</v>
      </c>
      <c r="I8" s="137" t="s">
        <v>68</v>
      </c>
      <c r="J8" s="137" t="s">
        <v>82</v>
      </c>
      <c r="K8" s="137" t="s">
        <v>83</v>
      </c>
      <c r="L8" s="137" t="s">
        <v>84</v>
      </c>
    </row>
    <row r="9" spans="1:13" ht="39.4">
      <c r="B9" s="132">
        <v>3.3</v>
      </c>
      <c r="C9" s="160"/>
      <c r="D9" s="134">
        <v>3.2</v>
      </c>
      <c r="E9" s="132" t="s">
        <v>85</v>
      </c>
      <c r="F9" s="135">
        <v>44330</v>
      </c>
      <c r="G9" s="137" t="s">
        <v>86</v>
      </c>
      <c r="H9" s="137" t="s">
        <v>87</v>
      </c>
      <c r="I9" s="137" t="s">
        <v>68</v>
      </c>
      <c r="J9" s="137" t="s">
        <v>69</v>
      </c>
      <c r="K9" s="137" t="s">
        <v>88</v>
      </c>
      <c r="L9" s="137" t="s">
        <v>89</v>
      </c>
    </row>
    <row r="10" spans="1:13" ht="65.650000000000006">
      <c r="B10" s="132">
        <v>3.4</v>
      </c>
      <c r="C10" s="132"/>
      <c r="D10" s="134">
        <v>3.3</v>
      </c>
      <c r="E10" s="132" t="s">
        <v>90</v>
      </c>
      <c r="F10" s="135">
        <v>44781</v>
      </c>
      <c r="G10" s="137" t="s">
        <v>91</v>
      </c>
      <c r="H10" s="137" t="s">
        <v>92</v>
      </c>
      <c r="I10" s="137" t="s">
        <v>68</v>
      </c>
      <c r="J10" s="137" t="s">
        <v>93</v>
      </c>
      <c r="K10" s="137" t="s">
        <v>94</v>
      </c>
      <c r="L10" s="137" t="s">
        <v>95</v>
      </c>
    </row>
    <row r="11" spans="1:13" ht="26.25">
      <c r="B11" s="132">
        <v>3.5</v>
      </c>
      <c r="C11" s="132"/>
      <c r="D11" s="134">
        <v>3.4</v>
      </c>
      <c r="E11" s="132" t="s">
        <v>96</v>
      </c>
      <c r="F11" s="135">
        <v>46127</v>
      </c>
      <c r="G11" s="132" t="s">
        <v>97</v>
      </c>
      <c r="H11" s="132" t="s">
        <v>97</v>
      </c>
      <c r="I11" s="132" t="s">
        <v>97</v>
      </c>
      <c r="J11" s="132" t="s">
        <v>98</v>
      </c>
      <c r="K11" s="132" t="s">
        <v>99</v>
      </c>
      <c r="L11" s="132"/>
    </row>
    <row r="12" spans="1:13" ht="26.25">
      <c r="B12" s="132">
        <v>3.6</v>
      </c>
      <c r="C12" s="132"/>
      <c r="D12" s="134">
        <v>3.5</v>
      </c>
      <c r="E12" s="132" t="s">
        <v>100</v>
      </c>
      <c r="F12" s="135">
        <v>46262</v>
      </c>
      <c r="G12" s="132" t="s">
        <v>101</v>
      </c>
      <c r="H12" s="132" t="s">
        <v>102</v>
      </c>
      <c r="I12" s="132" t="s">
        <v>22</v>
      </c>
      <c r="J12" s="132" t="s">
        <v>98</v>
      </c>
      <c r="K12" s="132"/>
      <c r="L12" s="132"/>
    </row>
    <row r="13" spans="1:13" ht="26.25">
      <c r="B13" s="132">
        <v>3.6</v>
      </c>
      <c r="C13" s="132"/>
      <c r="D13" s="134">
        <v>3.5</v>
      </c>
      <c r="E13" s="132" t="s">
        <v>100</v>
      </c>
      <c r="F13" s="135">
        <v>46262</v>
      </c>
      <c r="G13" s="132" t="s">
        <v>103</v>
      </c>
      <c r="H13" s="132" t="s">
        <v>104</v>
      </c>
      <c r="I13" s="132" t="s">
        <v>30</v>
      </c>
      <c r="J13" s="132" t="s">
        <v>105</v>
      </c>
      <c r="K13" s="136"/>
      <c r="L13" s="136"/>
    </row>
    <row r="14" spans="1:13" ht="26.25">
      <c r="B14" s="132">
        <v>3.6</v>
      </c>
      <c r="C14" s="132"/>
      <c r="D14" s="134">
        <v>3.5</v>
      </c>
      <c r="E14" s="132" t="s">
        <v>100</v>
      </c>
      <c r="F14" s="135">
        <v>46262</v>
      </c>
      <c r="G14" s="132" t="s">
        <v>106</v>
      </c>
      <c r="H14" s="132" t="s">
        <v>107</v>
      </c>
      <c r="I14" s="132" t="s">
        <v>22</v>
      </c>
      <c r="J14" s="132" t="s">
        <v>105</v>
      </c>
      <c r="K14" s="136"/>
      <c r="L14" s="136"/>
    </row>
    <row r="15" spans="1:13">
      <c r="B15" s="136"/>
      <c r="C15" s="136"/>
      <c r="D15" s="136"/>
      <c r="E15" s="136"/>
      <c r="F15" s="136"/>
      <c r="G15" s="136"/>
      <c r="H15" s="136"/>
      <c r="I15" s="136"/>
      <c r="J15" s="136"/>
      <c r="K15" s="136"/>
      <c r="L15" s="136"/>
    </row>
    <row r="16" spans="1:13">
      <c r="B16" s="136"/>
      <c r="C16" s="136"/>
      <c r="D16" s="136"/>
      <c r="E16" s="136"/>
      <c r="F16" s="136"/>
      <c r="G16" s="136"/>
      <c r="H16" s="136"/>
      <c r="I16" s="136"/>
      <c r="J16" s="136"/>
      <c r="K16" s="136"/>
      <c r="L16" s="136"/>
    </row>
    <row r="17" spans="2:12">
      <c r="B17" s="136"/>
      <c r="C17" s="136"/>
      <c r="D17" s="136"/>
      <c r="E17" s="136"/>
      <c r="F17" s="136"/>
      <c r="G17" s="136"/>
      <c r="H17" s="136"/>
      <c r="I17" s="136"/>
      <c r="J17" s="136"/>
      <c r="K17" s="136"/>
      <c r="L17" s="136"/>
    </row>
    <row r="18" spans="2:12">
      <c r="B18" s="136"/>
      <c r="C18" s="136"/>
      <c r="D18" s="136"/>
      <c r="E18" s="136"/>
      <c r="F18" s="136"/>
      <c r="G18" s="136"/>
      <c r="H18" s="136"/>
      <c r="I18" s="136"/>
      <c r="J18" s="136"/>
      <c r="K18" s="136"/>
      <c r="L18" s="136"/>
    </row>
    <row r="19" spans="2:12">
      <c r="B19" s="136"/>
      <c r="C19" s="136"/>
      <c r="D19" s="136"/>
      <c r="E19" s="136"/>
      <c r="F19" s="136"/>
      <c r="G19" s="136"/>
      <c r="H19" s="136"/>
      <c r="I19" s="136"/>
      <c r="J19" s="136"/>
      <c r="K19" s="136"/>
      <c r="L19" s="136"/>
    </row>
    <row r="20" spans="2:12">
      <c r="B20" s="136"/>
      <c r="C20" s="136"/>
      <c r="D20" s="136"/>
      <c r="E20" s="136"/>
      <c r="F20" s="136"/>
      <c r="G20" s="136"/>
      <c r="H20" s="136"/>
      <c r="I20" s="136"/>
      <c r="J20" s="136"/>
      <c r="K20" s="136"/>
      <c r="L20" s="136"/>
    </row>
    <row r="21" spans="2:12">
      <c r="B21" s="136"/>
      <c r="C21" s="136"/>
      <c r="D21" s="136"/>
      <c r="E21" s="136"/>
      <c r="F21" s="136"/>
      <c r="G21" s="136"/>
      <c r="H21" s="136"/>
      <c r="I21" s="136"/>
      <c r="J21" s="136"/>
      <c r="K21" s="136"/>
      <c r="L21" s="136"/>
    </row>
    <row r="22" spans="2:12">
      <c r="B22" s="136"/>
      <c r="C22" s="136"/>
      <c r="D22" s="136"/>
      <c r="E22" s="136"/>
      <c r="F22" s="136"/>
      <c r="G22" s="136"/>
      <c r="H22" s="136"/>
      <c r="I22" s="136"/>
      <c r="J22" s="136"/>
      <c r="K22" s="136"/>
      <c r="L22" s="136"/>
    </row>
    <row r="23" spans="2:12">
      <c r="B23" s="136"/>
      <c r="C23" s="136"/>
      <c r="D23" s="136"/>
      <c r="E23" s="136"/>
      <c r="F23" s="136"/>
      <c r="G23" s="136"/>
      <c r="H23" s="136"/>
      <c r="I23" s="136"/>
      <c r="J23" s="136"/>
      <c r="K23" s="136"/>
      <c r="L23" s="136"/>
    </row>
    <row r="24" spans="2:12"/>
  </sheetData>
  <phoneticPr fontId="95" type="noConversion"/>
  <hyperlinks>
    <hyperlink ref="C4" r:id="rId1" xr:uid="{00000000-0004-0000-0100-000000000000}"/>
    <hyperlink ref="C5" r:id="rId2" xr:uid="{00000000-0004-0000-0100-000001000000}"/>
  </hyperlinks>
  <pageMargins left="0.7" right="0.7" top="0.75" bottom="0.75" header="0.3" footer="0.3"/>
  <pageSetup paperSize="9" orientation="portrait" r:id="rId3"/>
  <headerFooter>
    <oddHeader>&amp;C&amp;"Aptos"&amp;10&amp;K000000 OFFICIAL&amp;1#_x000D_</oddHeader>
    <oddFooter>&amp;C_x000D_&amp;1#&amp;"Aptos"&amp;10&amp;K000000 OFFICIAL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tabColor rgb="FFFFFFCC"/>
    <pageSetUpPr fitToPage="1"/>
  </sheetPr>
  <dimension ref="A1:XFA291"/>
  <sheetViews>
    <sheetView tabSelected="1" zoomScale="110" zoomScaleNormal="110" workbookViewId="0">
      <pane xSplit="10" ySplit="2" topLeftCell="K6" activePane="bottomRight" state="frozen"/>
      <selection pane="topRight" activeCell="K1" sqref="K1"/>
      <selection pane="bottomLeft" activeCell="A3" sqref="A3"/>
      <selection pane="bottomRight" activeCell="K17" sqref="K17:K18"/>
    </sheetView>
  </sheetViews>
  <sheetFormatPr defaultColWidth="0" defaultRowHeight="15" customHeight="1" zeroHeight="1"/>
  <cols>
    <col min="1" max="4" width="2.5703125" style="4" customWidth="1"/>
    <col min="5" max="5" width="54.140625" style="4" bestFit="1" customWidth="1"/>
    <col min="6" max="6" width="1.5703125" style="4" customWidth="1"/>
    <col min="7" max="7" width="19.28515625" style="4" bestFit="1" customWidth="1"/>
    <col min="8" max="8" width="13.28515625" style="4" customWidth="1"/>
    <col min="9" max="9" width="14" style="4" customWidth="1"/>
    <col min="10" max="10" width="1.42578125" style="4" customWidth="1"/>
    <col min="11" max="31" width="10.5703125" style="4" customWidth="1"/>
    <col min="32" max="32" width="11.5703125" style="4" bestFit="1" customWidth="1"/>
    <col min="33" max="48" width="10.5703125" style="4" customWidth="1"/>
    <col min="49" max="50" width="10.7109375" style="4" customWidth="1"/>
    <col min="51" max="51" width="3.140625" customWidth="1"/>
    <col min="52" max="52" width="10.140625" hidden="1"/>
    <col min="53" max="16381" width="9.140625" hidden="1"/>
    <col min="16382" max="16384" width="2.140625" hidden="1"/>
  </cols>
  <sheetData>
    <row r="1" spans="1:52" ht="14.25">
      <c r="A1" s="157" t="s">
        <v>22</v>
      </c>
      <c r="B1" s="12"/>
      <c r="C1" s="12"/>
      <c r="D1" s="12"/>
      <c r="E1" s="12"/>
      <c r="F1" s="12"/>
      <c r="G1" s="12"/>
      <c r="H1" s="12" t="s">
        <v>108</v>
      </c>
      <c r="I1" s="12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spans="1:52" ht="15" customHeight="1">
      <c r="A2" s="12"/>
      <c r="B2" s="12"/>
      <c r="C2" s="12"/>
      <c r="D2" s="12"/>
      <c r="E2" s="14" t="s">
        <v>109</v>
      </c>
      <c r="F2" s="14"/>
      <c r="G2" s="14" t="s">
        <v>110</v>
      </c>
      <c r="H2" s="14" t="s">
        <v>111</v>
      </c>
      <c r="I2" s="22" t="s">
        <v>112</v>
      </c>
      <c r="J2" s="15"/>
      <c r="K2" s="14" t="s">
        <v>113</v>
      </c>
      <c r="L2" s="15"/>
      <c r="M2" s="15"/>
      <c r="N2" s="15"/>
      <c r="O2" s="15"/>
      <c r="P2" s="12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2"/>
      <c r="AQ2" s="12"/>
      <c r="AR2" s="12"/>
      <c r="AS2" s="12"/>
      <c r="AT2" s="12"/>
      <c r="AU2" s="12"/>
      <c r="AV2" s="12"/>
      <c r="AW2" s="12"/>
      <c r="AX2" s="12"/>
    </row>
    <row r="3" spans="1:52" ht="15" customHeight="1"/>
    <row r="4" spans="1:52" ht="15" customHeight="1">
      <c r="B4" s="267" t="s">
        <v>114</v>
      </c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56"/>
      <c r="AX4" s="56"/>
    </row>
    <row r="5" spans="1:52" ht="15" customHeight="1"/>
    <row r="6" spans="1:52" ht="15" customHeight="1">
      <c r="E6" s="4" t="s">
        <v>115</v>
      </c>
      <c r="G6" s="4" t="s">
        <v>116</v>
      </c>
      <c r="I6" s="100">
        <v>1</v>
      </c>
      <c r="K6" s="246"/>
    </row>
    <row r="7" spans="1:52" ht="15" customHeight="1">
      <c r="E7" s="4" t="s">
        <v>117</v>
      </c>
      <c r="G7" s="4" t="s">
        <v>118</v>
      </c>
      <c r="I7" s="101">
        <f>100%-I6</f>
        <v>0</v>
      </c>
      <c r="K7" s="246"/>
    </row>
    <row r="8" spans="1:52" ht="15" customHeight="1">
      <c r="A8"/>
      <c r="B8"/>
      <c r="C8"/>
      <c r="D8"/>
      <c r="E8"/>
      <c r="F8"/>
      <c r="G8"/>
      <c r="H8"/>
      <c r="I8"/>
      <c r="J8"/>
      <c r="K8" s="247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</row>
    <row r="9" spans="1:52" ht="15" customHeight="1">
      <c r="A9"/>
      <c r="E9" s="4" t="s">
        <v>119</v>
      </c>
      <c r="G9" s="4" t="s">
        <v>120</v>
      </c>
      <c r="I9" s="112" t="s">
        <v>121</v>
      </c>
      <c r="K9" s="246"/>
    </row>
    <row r="10" spans="1:52" s="17" customFormat="1" ht="15" customHeight="1">
      <c r="A10"/>
      <c r="K10" s="246"/>
      <c r="AY10"/>
      <c r="AZ10"/>
    </row>
    <row r="11" spans="1:52" s="17" customFormat="1" ht="15" customHeight="1">
      <c r="A11"/>
      <c r="E11" s="17" t="s">
        <v>122</v>
      </c>
      <c r="G11" s="4" t="s">
        <v>120</v>
      </c>
      <c r="I11" s="119" t="s">
        <v>123</v>
      </c>
      <c r="K11" s="244"/>
      <c r="AY11"/>
      <c r="AZ11"/>
    </row>
    <row r="12" spans="1:52" s="17" customFormat="1" ht="15" customHeight="1">
      <c r="I12" s="24"/>
      <c r="AY12"/>
      <c r="AZ12"/>
    </row>
    <row r="13" spans="1:52" ht="15" customHeight="1">
      <c r="A13" s="17"/>
      <c r="B13" s="267" t="s">
        <v>124</v>
      </c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56"/>
      <c r="AK13" s="56"/>
      <c r="AL13" s="56"/>
      <c r="AM13" s="56"/>
      <c r="AN13" s="56"/>
      <c r="AO13" s="56"/>
      <c r="AP13" s="56"/>
      <c r="AQ13" s="56"/>
      <c r="AR13" s="56"/>
      <c r="AS13" s="56"/>
      <c r="AT13" s="56"/>
      <c r="AU13" s="56"/>
      <c r="AV13" s="56"/>
      <c r="AW13" s="56"/>
      <c r="AX13" s="56"/>
    </row>
    <row r="14" spans="1:52" ht="15" customHeight="1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</row>
    <row r="15" spans="1:52" ht="15" customHeight="1">
      <c r="A15" s="17"/>
      <c r="B15" s="17"/>
      <c r="C15" s="10" t="s">
        <v>125</v>
      </c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spans="1:52" ht="15" customHeight="1"/>
    <row r="17" spans="1:50" ht="15" customHeight="1">
      <c r="A17" s="70"/>
      <c r="B17" s="70"/>
      <c r="C17" s="70"/>
      <c r="D17" s="70"/>
      <c r="E17" s="8" t="s">
        <v>126</v>
      </c>
      <c r="F17" s="72"/>
      <c r="G17" s="72"/>
      <c r="H17" s="72"/>
      <c r="I17" s="72"/>
      <c r="J17" s="71"/>
      <c r="K17" s="19">
        <f>$I$148</f>
        <v>41275</v>
      </c>
      <c r="L17" s="9">
        <f>+K18+1</f>
        <v>41640</v>
      </c>
      <c r="M17" s="9">
        <f>+L18+1</f>
        <v>42005</v>
      </c>
      <c r="N17" s="9">
        <f t="shared" ref="N17" si="0">+M18+1</f>
        <v>42370</v>
      </c>
      <c r="O17" s="9">
        <f t="shared" ref="O17" si="1">+N18+1</f>
        <v>42736</v>
      </c>
      <c r="P17" s="9">
        <f t="shared" ref="P17" si="2">+O18+1</f>
        <v>43101</v>
      </c>
      <c r="Q17" s="9">
        <f t="shared" ref="Q17" si="3">+P18+1</f>
        <v>43466</v>
      </c>
      <c r="R17" s="9">
        <f t="shared" ref="R17" si="4">+Q18+1</f>
        <v>43831</v>
      </c>
      <c r="S17" s="9">
        <f t="shared" ref="S17" si="5">+R18+1</f>
        <v>44197</v>
      </c>
      <c r="T17" s="9">
        <f t="shared" ref="T17" si="6">+S18+1</f>
        <v>44562</v>
      </c>
      <c r="U17" s="9">
        <f t="shared" ref="U17" si="7">+T18+1</f>
        <v>44927</v>
      </c>
      <c r="V17" s="9">
        <f t="shared" ref="V17" si="8">+U18+1</f>
        <v>45292</v>
      </c>
      <c r="W17" s="9">
        <f t="shared" ref="W17" si="9">+V18+1</f>
        <v>45658</v>
      </c>
      <c r="X17" s="9">
        <f t="shared" ref="X17" si="10">+W18+1</f>
        <v>46023</v>
      </c>
      <c r="Y17" s="9">
        <f t="shared" ref="Y17" si="11">+X18+1</f>
        <v>46388</v>
      </c>
      <c r="Z17" s="9">
        <f t="shared" ref="Z17" si="12">+Y18+1</f>
        <v>46753</v>
      </c>
      <c r="AA17" s="9">
        <f t="shared" ref="AA17" si="13">+Z18+1</f>
        <v>47119</v>
      </c>
      <c r="AB17" s="9">
        <f t="shared" ref="AB17" si="14">+AA18+1</f>
        <v>47484</v>
      </c>
      <c r="AC17" s="9">
        <f t="shared" ref="AC17" si="15">+AB18+1</f>
        <v>47849</v>
      </c>
      <c r="AD17" s="9">
        <f t="shared" ref="AD17" si="16">+AC18+1</f>
        <v>48214</v>
      </c>
      <c r="AE17" s="9">
        <f t="shared" ref="AE17" si="17">+AD18+1</f>
        <v>48580</v>
      </c>
      <c r="AF17" s="9">
        <f t="shared" ref="AF17" si="18">+AE18+1</f>
        <v>48945</v>
      </c>
      <c r="AG17" s="9">
        <f t="shared" ref="AG17" si="19">+AF18+1</f>
        <v>49310</v>
      </c>
      <c r="AH17" s="9">
        <f t="shared" ref="AH17" si="20">+AG18+1</f>
        <v>49675</v>
      </c>
      <c r="AI17" s="9">
        <f t="shared" ref="AI17" si="21">+AH18+1</f>
        <v>50041</v>
      </c>
      <c r="AJ17" s="9">
        <f t="shared" ref="AJ17" si="22">+AI18+1</f>
        <v>50406</v>
      </c>
      <c r="AK17" s="9">
        <f t="shared" ref="AK17" si="23">+AJ18+1</f>
        <v>50771</v>
      </c>
      <c r="AL17" s="9">
        <f t="shared" ref="AL17" si="24">+AK18+1</f>
        <v>51136</v>
      </c>
      <c r="AM17" s="9">
        <f t="shared" ref="AM17" si="25">+AL18+1</f>
        <v>51502</v>
      </c>
      <c r="AN17" s="9">
        <f t="shared" ref="AN17" si="26">+AM18+1</f>
        <v>51867</v>
      </c>
      <c r="AO17" s="9">
        <f t="shared" ref="AO17" si="27">+AN18+1</f>
        <v>52232</v>
      </c>
      <c r="AP17" s="9">
        <f t="shared" ref="AP17" si="28">+AO18+1</f>
        <v>52597</v>
      </c>
      <c r="AQ17" s="9">
        <f t="shared" ref="AQ17" si="29">+AP18+1</f>
        <v>52963</v>
      </c>
      <c r="AR17" s="9">
        <f t="shared" ref="AR17" si="30">+AQ18+1</f>
        <v>53328</v>
      </c>
      <c r="AS17" s="9">
        <f t="shared" ref="AS17" si="31">+AR18+1</f>
        <v>53693</v>
      </c>
      <c r="AT17" s="9">
        <f t="shared" ref="AT17" si="32">+AS18+1</f>
        <v>54058</v>
      </c>
      <c r="AU17" s="9">
        <f t="shared" ref="AU17" si="33">+AT18+1</f>
        <v>54424</v>
      </c>
      <c r="AV17" s="9">
        <f t="shared" ref="AV17" si="34">+AU18+1</f>
        <v>54789</v>
      </c>
      <c r="AW17" s="9">
        <f t="shared" ref="AW17" si="35">+AV18+1</f>
        <v>55154</v>
      </c>
      <c r="AX17" s="9">
        <f t="shared" ref="AX17" si="36">+AW18+1</f>
        <v>55519</v>
      </c>
    </row>
    <row r="18" spans="1:50" ht="15" customHeight="1">
      <c r="A18" s="73"/>
      <c r="B18" s="73"/>
      <c r="C18" s="73"/>
      <c r="D18" s="73"/>
      <c r="E18" s="8" t="s">
        <v>127</v>
      </c>
      <c r="F18" s="73"/>
      <c r="G18" s="73"/>
      <c r="H18" s="73"/>
      <c r="I18" s="74"/>
      <c r="J18" s="73"/>
      <c r="K18" s="19">
        <f>EOMONTH(K17,11)</f>
        <v>41639</v>
      </c>
      <c r="L18" s="9">
        <f t="shared" ref="L18" si="37">DATE(YEAR(K18) + 1, MONTH(K18), DAY(K18))</f>
        <v>42004</v>
      </c>
      <c r="M18" s="9">
        <f t="shared" ref="M18" si="38">DATE(YEAR(L18) + 1, MONTH(L18), DAY(L18))</f>
        <v>42369</v>
      </c>
      <c r="N18" s="9">
        <f t="shared" ref="N18" si="39">DATE(YEAR(M18) + 1, MONTH(M18), DAY(M18))</f>
        <v>42735</v>
      </c>
      <c r="O18" s="9">
        <f t="shared" ref="O18" si="40">DATE(YEAR(N18) + 1, MONTH(N18), DAY(N18))</f>
        <v>43100</v>
      </c>
      <c r="P18" s="9">
        <f t="shared" ref="P18" si="41">DATE(YEAR(O18) + 1, MONTH(O18), DAY(O18))</f>
        <v>43465</v>
      </c>
      <c r="Q18" s="9">
        <f t="shared" ref="Q18" si="42">DATE(YEAR(P18) + 1, MONTH(P18), DAY(P18))</f>
        <v>43830</v>
      </c>
      <c r="R18" s="9">
        <f t="shared" ref="R18" si="43">DATE(YEAR(Q18) + 1, MONTH(Q18), DAY(Q18))</f>
        <v>44196</v>
      </c>
      <c r="S18" s="9">
        <f t="shared" ref="S18" si="44">DATE(YEAR(R18) + 1, MONTH(R18), DAY(R18))</f>
        <v>44561</v>
      </c>
      <c r="T18" s="9">
        <f t="shared" ref="T18" si="45">DATE(YEAR(S18) + 1, MONTH(S18), DAY(S18))</f>
        <v>44926</v>
      </c>
      <c r="U18" s="9">
        <f t="shared" ref="U18" si="46">DATE(YEAR(T18) + 1, MONTH(T18), DAY(T18))</f>
        <v>45291</v>
      </c>
      <c r="V18" s="9">
        <f t="shared" ref="V18" si="47">DATE(YEAR(U18) + 1, MONTH(U18), DAY(U18))</f>
        <v>45657</v>
      </c>
      <c r="W18" s="9">
        <f t="shared" ref="W18" si="48">DATE(YEAR(V18) + 1, MONTH(V18), DAY(V18))</f>
        <v>46022</v>
      </c>
      <c r="X18" s="9">
        <f t="shared" ref="X18" si="49">DATE(YEAR(W18) + 1, MONTH(W18), DAY(W18))</f>
        <v>46387</v>
      </c>
      <c r="Y18" s="9">
        <f t="shared" ref="Y18" si="50">DATE(YEAR(X18) + 1, MONTH(X18), DAY(X18))</f>
        <v>46752</v>
      </c>
      <c r="Z18" s="9">
        <f t="shared" ref="Z18" si="51">DATE(YEAR(Y18) + 1, MONTH(Y18), DAY(Y18))</f>
        <v>47118</v>
      </c>
      <c r="AA18" s="9">
        <f t="shared" ref="AA18" si="52">DATE(YEAR(Z18) + 1, MONTH(Z18), DAY(Z18))</f>
        <v>47483</v>
      </c>
      <c r="AB18" s="9">
        <f t="shared" ref="AB18" si="53">DATE(YEAR(AA18) + 1, MONTH(AA18), DAY(AA18))</f>
        <v>47848</v>
      </c>
      <c r="AC18" s="9">
        <f t="shared" ref="AC18" si="54">DATE(YEAR(AB18) + 1, MONTH(AB18), DAY(AB18))</f>
        <v>48213</v>
      </c>
      <c r="AD18" s="9">
        <f t="shared" ref="AD18" si="55">DATE(YEAR(AC18) + 1, MONTH(AC18), DAY(AC18))</f>
        <v>48579</v>
      </c>
      <c r="AE18" s="9">
        <f t="shared" ref="AE18" si="56">DATE(YEAR(AD18) + 1, MONTH(AD18), DAY(AD18))</f>
        <v>48944</v>
      </c>
      <c r="AF18" s="9">
        <f t="shared" ref="AF18" si="57">DATE(YEAR(AE18) + 1, MONTH(AE18), DAY(AE18))</f>
        <v>49309</v>
      </c>
      <c r="AG18" s="9">
        <f t="shared" ref="AG18" si="58">DATE(YEAR(AF18) + 1, MONTH(AF18), DAY(AF18))</f>
        <v>49674</v>
      </c>
      <c r="AH18" s="9">
        <f t="shared" ref="AH18" si="59">DATE(YEAR(AG18) + 1, MONTH(AG18), DAY(AG18))</f>
        <v>50040</v>
      </c>
      <c r="AI18" s="9">
        <f t="shared" ref="AI18" si="60">DATE(YEAR(AH18) + 1, MONTH(AH18), DAY(AH18))</f>
        <v>50405</v>
      </c>
      <c r="AJ18" s="9">
        <f t="shared" ref="AJ18" si="61">DATE(YEAR(AI18) + 1, MONTH(AI18), DAY(AI18))</f>
        <v>50770</v>
      </c>
      <c r="AK18" s="9">
        <f t="shared" ref="AK18" si="62">DATE(YEAR(AJ18) + 1, MONTH(AJ18), DAY(AJ18))</f>
        <v>51135</v>
      </c>
      <c r="AL18" s="9">
        <f t="shared" ref="AL18" si="63">DATE(YEAR(AK18) + 1, MONTH(AK18), DAY(AK18))</f>
        <v>51501</v>
      </c>
      <c r="AM18" s="9">
        <f t="shared" ref="AM18" si="64">DATE(YEAR(AL18) + 1, MONTH(AL18), DAY(AL18))</f>
        <v>51866</v>
      </c>
      <c r="AN18" s="9">
        <f t="shared" ref="AN18" si="65">DATE(YEAR(AM18) + 1, MONTH(AM18), DAY(AM18))</f>
        <v>52231</v>
      </c>
      <c r="AO18" s="9">
        <f t="shared" ref="AO18" si="66">DATE(YEAR(AN18) + 1, MONTH(AN18), DAY(AN18))</f>
        <v>52596</v>
      </c>
      <c r="AP18" s="9">
        <f t="shared" ref="AP18" si="67">DATE(YEAR(AO18) + 1, MONTH(AO18), DAY(AO18))</f>
        <v>52962</v>
      </c>
      <c r="AQ18" s="9">
        <f t="shared" ref="AQ18" si="68">DATE(YEAR(AP18) + 1, MONTH(AP18), DAY(AP18))</f>
        <v>53327</v>
      </c>
      <c r="AR18" s="9">
        <f t="shared" ref="AR18" si="69">DATE(YEAR(AQ18) + 1, MONTH(AQ18), DAY(AQ18))</f>
        <v>53692</v>
      </c>
      <c r="AS18" s="9">
        <f t="shared" ref="AS18" si="70">DATE(YEAR(AR18) + 1, MONTH(AR18), DAY(AR18))</f>
        <v>54057</v>
      </c>
      <c r="AT18" s="9">
        <f t="shared" ref="AT18" si="71">DATE(YEAR(AS18) + 1, MONTH(AS18), DAY(AS18))</f>
        <v>54423</v>
      </c>
      <c r="AU18" s="9">
        <f t="shared" ref="AU18" si="72">DATE(YEAR(AT18) + 1, MONTH(AT18), DAY(AT18))</f>
        <v>54788</v>
      </c>
      <c r="AV18" s="9">
        <f t="shared" ref="AV18" si="73">DATE(YEAR(AU18) + 1, MONTH(AU18), DAY(AU18))</f>
        <v>55153</v>
      </c>
      <c r="AW18" s="9">
        <f t="shared" ref="AW18" si="74">DATE(YEAR(AV18) + 1, MONTH(AV18), DAY(AV18))</f>
        <v>55518</v>
      </c>
      <c r="AX18" s="9">
        <f t="shared" ref="AX18" si="75">DATE(YEAR(AW18) + 1, MONTH(AW18), DAY(AW18))</f>
        <v>55884</v>
      </c>
    </row>
    <row r="19" spans="1:50" ht="15" customHeight="1"/>
    <row r="20" spans="1:50" ht="15" customHeight="1">
      <c r="A20"/>
      <c r="E20" s="4" t="s">
        <v>128</v>
      </c>
      <c r="G20" s="4" t="str">
        <f>CONCATENATE($I$9,"m nominal prices")</f>
        <v>£m nominal prices</v>
      </c>
      <c r="H20" s="58"/>
      <c r="K20" s="183">
        <v>0</v>
      </c>
      <c r="L20" s="183">
        <v>4.7715780720508298E-2</v>
      </c>
      <c r="M20" s="183">
        <v>3.6284031397781816E-2</v>
      </c>
      <c r="N20" s="183">
        <v>0.22953457522960496</v>
      </c>
      <c r="O20" s="183">
        <v>0.29489002388558871</v>
      </c>
      <c r="P20" s="183">
        <v>5.0910830549650381</v>
      </c>
      <c r="Q20" s="183">
        <v>2.4097223201852414</v>
      </c>
      <c r="R20" s="183">
        <v>0.98195360256461961</v>
      </c>
      <c r="S20" s="183">
        <v>3.7163523704966108</v>
      </c>
      <c r="T20" s="183">
        <v>-0.55252353368189333</v>
      </c>
      <c r="U20" s="183">
        <v>0</v>
      </c>
      <c r="V20" s="183">
        <v>0</v>
      </c>
      <c r="W20" s="183">
        <v>0</v>
      </c>
      <c r="X20" s="183">
        <v>0</v>
      </c>
      <c r="Y20" s="183">
        <v>0</v>
      </c>
      <c r="Z20" s="183">
        <v>0</v>
      </c>
      <c r="AA20" s="183">
        <v>0</v>
      </c>
      <c r="AB20" s="183">
        <v>0</v>
      </c>
      <c r="AC20" s="183">
        <v>0</v>
      </c>
      <c r="AD20" s="183">
        <v>0</v>
      </c>
      <c r="AE20" s="183">
        <v>0</v>
      </c>
      <c r="AF20" s="183">
        <v>0</v>
      </c>
      <c r="AG20" s="183">
        <v>0</v>
      </c>
      <c r="AH20" s="183">
        <v>0</v>
      </c>
      <c r="AI20" s="183">
        <v>0</v>
      </c>
      <c r="AJ20" s="183">
        <v>0</v>
      </c>
      <c r="AK20" s="183">
        <v>0</v>
      </c>
      <c r="AL20" s="183">
        <v>0</v>
      </c>
      <c r="AM20" s="183">
        <v>0</v>
      </c>
      <c r="AN20" s="183">
        <v>0</v>
      </c>
      <c r="AO20" s="183">
        <v>0</v>
      </c>
      <c r="AP20" s="183">
        <v>0</v>
      </c>
      <c r="AQ20" s="183">
        <v>0</v>
      </c>
      <c r="AR20" s="183">
        <v>0</v>
      </c>
      <c r="AS20" s="183">
        <v>0</v>
      </c>
      <c r="AT20" s="183">
        <v>0</v>
      </c>
      <c r="AU20" s="183">
        <v>0</v>
      </c>
      <c r="AV20" s="183">
        <v>0</v>
      </c>
      <c r="AW20" s="183">
        <v>0</v>
      </c>
      <c r="AX20" s="183">
        <v>0</v>
      </c>
    </row>
    <row r="21" spans="1:50" ht="15" customHeight="1">
      <c r="A21"/>
      <c r="E21" s="4" t="s">
        <v>129</v>
      </c>
      <c r="G21" s="4" t="str">
        <f t="shared" ref="G21:G22" si="76">CONCATENATE($I$9,"m nominal prices")</f>
        <v>£m nominal prices</v>
      </c>
      <c r="H21" s="58"/>
      <c r="K21" s="183">
        <v>0</v>
      </c>
      <c r="L21" s="183">
        <v>0</v>
      </c>
      <c r="M21" s="183">
        <v>0</v>
      </c>
      <c r="N21" s="183">
        <v>0</v>
      </c>
      <c r="O21" s="183">
        <v>0</v>
      </c>
      <c r="P21" s="183">
        <v>0</v>
      </c>
      <c r="Q21" s="183">
        <v>0</v>
      </c>
      <c r="R21" s="183">
        <v>0</v>
      </c>
      <c r="S21" s="183">
        <v>3.6104422512199799</v>
      </c>
      <c r="T21" s="183">
        <v>72.653088244012608</v>
      </c>
      <c r="U21" s="183">
        <v>68.652788282444703</v>
      </c>
      <c r="V21" s="183">
        <v>62.62114821398341</v>
      </c>
      <c r="W21" s="183">
        <v>9.9316535596750004</v>
      </c>
      <c r="X21" s="183">
        <v>0</v>
      </c>
      <c r="Y21" s="183">
        <v>0</v>
      </c>
      <c r="Z21" s="183">
        <v>0</v>
      </c>
      <c r="AA21" s="183">
        <v>0</v>
      </c>
      <c r="AB21" s="183">
        <v>0</v>
      </c>
      <c r="AC21" s="183">
        <v>0</v>
      </c>
      <c r="AD21" s="183">
        <v>0</v>
      </c>
      <c r="AE21" s="183">
        <v>0</v>
      </c>
      <c r="AF21" s="183">
        <v>0</v>
      </c>
      <c r="AG21" s="183">
        <v>0</v>
      </c>
      <c r="AH21" s="183">
        <v>0</v>
      </c>
      <c r="AI21" s="183">
        <v>0</v>
      </c>
      <c r="AJ21" s="183">
        <v>0</v>
      </c>
      <c r="AK21" s="183">
        <v>0</v>
      </c>
      <c r="AL21" s="183">
        <v>0</v>
      </c>
      <c r="AM21" s="183">
        <v>0</v>
      </c>
      <c r="AN21" s="183">
        <v>0</v>
      </c>
      <c r="AO21" s="183">
        <v>0</v>
      </c>
      <c r="AP21" s="183">
        <v>0</v>
      </c>
      <c r="AQ21" s="183">
        <v>0</v>
      </c>
      <c r="AR21" s="183">
        <v>0</v>
      </c>
      <c r="AS21" s="183">
        <v>0</v>
      </c>
      <c r="AT21" s="183">
        <v>0</v>
      </c>
      <c r="AU21" s="183">
        <v>0</v>
      </c>
      <c r="AV21" s="183">
        <v>0</v>
      </c>
      <c r="AW21" s="183">
        <v>0</v>
      </c>
      <c r="AX21" s="183">
        <v>0</v>
      </c>
    </row>
    <row r="22" spans="1:50" ht="15" customHeight="1">
      <c r="A22"/>
      <c r="E22" s="4" t="s">
        <v>130</v>
      </c>
      <c r="G22" s="4" t="str">
        <f t="shared" si="76"/>
        <v>£m nominal prices</v>
      </c>
      <c r="H22" s="58"/>
      <c r="K22" s="183">
        <v>0</v>
      </c>
      <c r="L22" s="183">
        <v>0</v>
      </c>
      <c r="M22" s="183">
        <v>0</v>
      </c>
      <c r="N22" s="183">
        <v>0</v>
      </c>
      <c r="O22" s="183">
        <v>0</v>
      </c>
      <c r="P22" s="183">
        <v>0</v>
      </c>
      <c r="Q22" s="183">
        <v>0</v>
      </c>
      <c r="R22" s="183">
        <v>0</v>
      </c>
      <c r="S22" s="183">
        <v>0</v>
      </c>
      <c r="T22" s="183">
        <v>1.8994251257137986</v>
      </c>
      <c r="U22" s="183">
        <v>2.1698887527992992</v>
      </c>
      <c r="V22" s="183">
        <v>1.8711672591840189</v>
      </c>
      <c r="W22" s="183">
        <v>0.38559793888606742</v>
      </c>
      <c r="X22" s="183">
        <v>0</v>
      </c>
      <c r="Y22" s="183">
        <v>0</v>
      </c>
      <c r="Z22" s="183">
        <v>0</v>
      </c>
      <c r="AA22" s="183">
        <v>0</v>
      </c>
      <c r="AB22" s="183">
        <v>0</v>
      </c>
      <c r="AC22" s="183">
        <v>0</v>
      </c>
      <c r="AD22" s="183">
        <v>0</v>
      </c>
      <c r="AE22" s="183">
        <v>0</v>
      </c>
      <c r="AF22" s="183">
        <v>0</v>
      </c>
      <c r="AG22" s="183">
        <v>0</v>
      </c>
      <c r="AH22" s="183">
        <v>0</v>
      </c>
      <c r="AI22" s="183">
        <v>0</v>
      </c>
      <c r="AJ22" s="183">
        <v>0</v>
      </c>
      <c r="AK22" s="183">
        <v>0</v>
      </c>
      <c r="AL22" s="183">
        <v>0</v>
      </c>
      <c r="AM22" s="183">
        <v>0</v>
      </c>
      <c r="AN22" s="183">
        <v>0</v>
      </c>
      <c r="AO22" s="183">
        <v>0</v>
      </c>
      <c r="AP22" s="183">
        <v>0</v>
      </c>
      <c r="AQ22" s="183">
        <v>0</v>
      </c>
      <c r="AR22" s="183">
        <v>0</v>
      </c>
      <c r="AS22" s="183">
        <v>0</v>
      </c>
      <c r="AT22" s="183">
        <v>0</v>
      </c>
      <c r="AU22" s="183">
        <v>0</v>
      </c>
      <c r="AV22" s="183">
        <v>0</v>
      </c>
      <c r="AW22" s="183">
        <v>0</v>
      </c>
      <c r="AX22" s="183">
        <v>0</v>
      </c>
    </row>
    <row r="23" spans="1:50" ht="15" customHeight="1">
      <c r="I23" s="259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/>
      <c r="AK23" s="63"/>
      <c r="AL23" s="63"/>
      <c r="AM23" s="63"/>
      <c r="AN23" s="63"/>
      <c r="AO23" s="63"/>
      <c r="AP23" s="63"/>
      <c r="AQ23" s="63"/>
      <c r="AR23" s="63"/>
      <c r="AS23" s="63"/>
      <c r="AT23" s="63"/>
      <c r="AU23" s="63"/>
      <c r="AV23" s="63"/>
      <c r="AW23" s="63"/>
      <c r="AX23" s="63"/>
    </row>
    <row r="24" spans="1:50" ht="26.25">
      <c r="A24"/>
      <c r="E24" s="118" t="s">
        <v>131</v>
      </c>
      <c r="G24" s="119" t="s">
        <v>132</v>
      </c>
      <c r="H24" s="119" t="s">
        <v>133</v>
      </c>
      <c r="I24" s="260">
        <v>293.10000000000002</v>
      </c>
      <c r="K24" s="61"/>
      <c r="L24" s="61"/>
      <c r="M24" s="61"/>
      <c r="N24" s="61"/>
      <c r="O24" s="61"/>
      <c r="P24" s="61"/>
      <c r="Q24" s="61"/>
      <c r="R24" s="64"/>
      <c r="S24" s="101"/>
      <c r="T24" s="101"/>
      <c r="U24" s="10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</row>
    <row r="25" spans="1:50" ht="13.15">
      <c r="A25"/>
      <c r="E25" s="194"/>
      <c r="G25" s="195"/>
      <c r="H25" s="195"/>
      <c r="I25" s="200"/>
      <c r="K25" s="61"/>
      <c r="L25" s="193"/>
      <c r="M25" s="193"/>
      <c r="N25" s="193"/>
      <c r="O25" s="193"/>
      <c r="P25" s="193"/>
      <c r="Q25" s="193"/>
      <c r="R25" s="61"/>
      <c r="S25" s="235"/>
      <c r="T25" s="235"/>
      <c r="U25" s="235"/>
      <c r="V25" s="61"/>
      <c r="W25" s="193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</row>
    <row r="26" spans="1:50" ht="13.15">
      <c r="A26"/>
      <c r="E26" s="194"/>
      <c r="G26" s="195"/>
      <c r="H26" s="195"/>
      <c r="I26" s="200"/>
      <c r="K26" s="61"/>
      <c r="L26" s="193"/>
      <c r="M26" s="193"/>
      <c r="N26" s="193"/>
      <c r="O26" s="193"/>
      <c r="P26" s="193"/>
      <c r="Q26" s="193"/>
      <c r="R26" s="61"/>
      <c r="S26" s="61"/>
      <c r="T26" s="61"/>
      <c r="U26" s="61"/>
      <c r="V26" s="61"/>
      <c r="W26" s="193"/>
      <c r="X26" s="61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</row>
    <row r="27" spans="1:50" ht="15" customHeight="1">
      <c r="A27"/>
      <c r="K27" s="61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</row>
    <row r="28" spans="1:50" ht="13.15">
      <c r="A28"/>
      <c r="E28" s="118" t="s">
        <v>134</v>
      </c>
      <c r="G28" s="66" t="str">
        <f>G24</f>
        <v>Jan 1987 = 100</v>
      </c>
      <c r="H28" s="119" t="s">
        <v>135</v>
      </c>
      <c r="K28" s="184">
        <v>250.10833333333301</v>
      </c>
      <c r="L28" s="184">
        <v>256.0333333333333</v>
      </c>
      <c r="M28" s="184">
        <v>258.54166666666669</v>
      </c>
      <c r="N28" s="184">
        <v>263.05</v>
      </c>
      <c r="O28" s="184">
        <v>272.47500000000002</v>
      </c>
      <c r="P28" s="184">
        <v>281.58333333333331</v>
      </c>
      <c r="Q28" s="184">
        <v>288.8</v>
      </c>
      <c r="R28" s="184">
        <v>293.14166666666699</v>
      </c>
      <c r="S28" s="184">
        <v>305</v>
      </c>
      <c r="T28" s="184">
        <v>340.33333333333331</v>
      </c>
      <c r="U28" s="184">
        <v>373.31666666666666</v>
      </c>
      <c r="V28" s="184">
        <v>386.70000000000005</v>
      </c>
      <c r="W28" s="184">
        <v>402.7</v>
      </c>
      <c r="X28" s="234">
        <f t="shared" ref="X28:AX28" si="77">W28*(1+$I$179)</f>
        <v>419.93555999999995</v>
      </c>
      <c r="Y28" s="234">
        <f t="shared" si="77"/>
        <v>437.90880196799992</v>
      </c>
      <c r="Z28" s="234">
        <f t="shared" si="77"/>
        <v>456.65129869223028</v>
      </c>
      <c r="AA28" s="234">
        <f t="shared" si="77"/>
        <v>476.19597427625774</v>
      </c>
      <c r="AB28" s="234">
        <f t="shared" si="77"/>
        <v>496.57716197528157</v>
      </c>
      <c r="AC28" s="234">
        <f t="shared" si="77"/>
        <v>517.8306645078236</v>
      </c>
      <c r="AD28" s="234">
        <f t="shared" si="77"/>
        <v>539.99381694875842</v>
      </c>
      <c r="AE28" s="234">
        <f t="shared" si="77"/>
        <v>563.10555231416527</v>
      </c>
      <c r="AF28" s="234">
        <f t="shared" si="77"/>
        <v>587.20646995321147</v>
      </c>
      <c r="AG28" s="234">
        <f t="shared" si="77"/>
        <v>612.33890686720883</v>
      </c>
      <c r="AH28" s="234">
        <f t="shared" si="77"/>
        <v>638.54701208112533</v>
      </c>
      <c r="AI28" s="234">
        <f t="shared" si="77"/>
        <v>665.87682419819748</v>
      </c>
      <c r="AJ28" s="234">
        <f t="shared" si="77"/>
        <v>694.37635227388034</v>
      </c>
      <c r="AK28" s="234">
        <f t="shared" si="77"/>
        <v>724.09566015120242</v>
      </c>
      <c r="AL28" s="234">
        <f t="shared" si="77"/>
        <v>755.08695440567385</v>
      </c>
      <c r="AM28" s="234">
        <f t="shared" si="77"/>
        <v>787.40467605423669</v>
      </c>
      <c r="AN28" s="234">
        <f t="shared" si="77"/>
        <v>821.10559618935793</v>
      </c>
      <c r="AO28" s="234">
        <f t="shared" si="77"/>
        <v>856.24891570626244</v>
      </c>
      <c r="AP28" s="234">
        <f t="shared" si="77"/>
        <v>892.89636929849041</v>
      </c>
      <c r="AQ28" s="234">
        <f t="shared" si="77"/>
        <v>931.1123339044658</v>
      </c>
      <c r="AR28" s="234">
        <f t="shared" si="77"/>
        <v>970.96394179557694</v>
      </c>
      <c r="AS28" s="234">
        <f t="shared" si="77"/>
        <v>1012.5211985044276</v>
      </c>
      <c r="AT28" s="234">
        <f t="shared" si="77"/>
        <v>1055.857105800417</v>
      </c>
      <c r="AU28" s="234">
        <f t="shared" si="77"/>
        <v>1101.0477899286748</v>
      </c>
      <c r="AV28" s="234">
        <f t="shared" si="77"/>
        <v>1148.1726353376221</v>
      </c>
      <c r="AW28" s="234">
        <f t="shared" si="77"/>
        <v>1197.3144241300722</v>
      </c>
      <c r="AX28" s="234">
        <f t="shared" si="77"/>
        <v>1248.5594814828391</v>
      </c>
    </row>
    <row r="29" spans="1:50" ht="13.15">
      <c r="A29"/>
      <c r="E29" s="194"/>
      <c r="G29" s="195"/>
      <c r="H29" s="195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0"/>
      <c r="AE29" s="200"/>
      <c r="AF29" s="200"/>
      <c r="AG29" s="200"/>
      <c r="AH29" s="200"/>
      <c r="AI29" s="200"/>
      <c r="AJ29" s="200"/>
      <c r="AK29" s="200"/>
      <c r="AL29" s="200"/>
      <c r="AM29" s="200"/>
      <c r="AN29" s="200"/>
      <c r="AO29" s="200"/>
      <c r="AP29" s="200"/>
      <c r="AQ29" s="200"/>
      <c r="AR29" s="200"/>
      <c r="AS29" s="200"/>
      <c r="AT29" s="200"/>
      <c r="AU29" s="200"/>
      <c r="AV29" s="200"/>
      <c r="AW29" s="200"/>
      <c r="AX29" s="200"/>
    </row>
    <row r="30" spans="1:50" ht="13.15">
      <c r="A30"/>
      <c r="E30" s="118" t="s">
        <v>136</v>
      </c>
      <c r="G30" s="66" t="s">
        <v>137</v>
      </c>
      <c r="H30" s="119" t="s">
        <v>138</v>
      </c>
      <c r="K30" s="184">
        <v>1.1775749999999998</v>
      </c>
      <c r="L30" s="184">
        <v>1.2405833333333331</v>
      </c>
      <c r="M30" s="184">
        <v>1.3780166666666667</v>
      </c>
      <c r="N30" s="184">
        <v>1.2243666666666666</v>
      </c>
      <c r="O30" s="184">
        <v>1.1420583333333332</v>
      </c>
      <c r="P30" s="184">
        <v>1.1304416666666668</v>
      </c>
      <c r="Q30" s="184">
        <v>1.1407333333333332</v>
      </c>
      <c r="R30" s="184">
        <v>1.1254833333333334</v>
      </c>
      <c r="S30" s="184">
        <v>1.1629249999999998</v>
      </c>
      <c r="T30" s="184">
        <v>1.1733</v>
      </c>
      <c r="U30" s="184">
        <v>1.1498416666666664</v>
      </c>
      <c r="V30" s="184">
        <v>1.1814</v>
      </c>
      <c r="W30" s="261">
        <f>V30</f>
        <v>1.1814</v>
      </c>
      <c r="X30" s="234">
        <f t="shared" ref="X30:AX30" si="78">W30</f>
        <v>1.1814</v>
      </c>
      <c r="Y30" s="234">
        <f t="shared" si="78"/>
        <v>1.1814</v>
      </c>
      <c r="Z30" s="234">
        <f t="shared" si="78"/>
        <v>1.1814</v>
      </c>
      <c r="AA30" s="234">
        <f t="shared" si="78"/>
        <v>1.1814</v>
      </c>
      <c r="AB30" s="234">
        <f t="shared" si="78"/>
        <v>1.1814</v>
      </c>
      <c r="AC30" s="234">
        <f t="shared" si="78"/>
        <v>1.1814</v>
      </c>
      <c r="AD30" s="234">
        <f t="shared" si="78"/>
        <v>1.1814</v>
      </c>
      <c r="AE30" s="234">
        <f t="shared" si="78"/>
        <v>1.1814</v>
      </c>
      <c r="AF30" s="234">
        <f t="shared" si="78"/>
        <v>1.1814</v>
      </c>
      <c r="AG30" s="234">
        <f t="shared" si="78"/>
        <v>1.1814</v>
      </c>
      <c r="AH30" s="234">
        <f t="shared" si="78"/>
        <v>1.1814</v>
      </c>
      <c r="AI30" s="234">
        <f t="shared" si="78"/>
        <v>1.1814</v>
      </c>
      <c r="AJ30" s="234">
        <f t="shared" si="78"/>
        <v>1.1814</v>
      </c>
      <c r="AK30" s="234">
        <f t="shared" si="78"/>
        <v>1.1814</v>
      </c>
      <c r="AL30" s="234">
        <f t="shared" si="78"/>
        <v>1.1814</v>
      </c>
      <c r="AM30" s="234">
        <f t="shared" si="78"/>
        <v>1.1814</v>
      </c>
      <c r="AN30" s="234">
        <f t="shared" si="78"/>
        <v>1.1814</v>
      </c>
      <c r="AO30" s="234">
        <f t="shared" si="78"/>
        <v>1.1814</v>
      </c>
      <c r="AP30" s="234">
        <f t="shared" si="78"/>
        <v>1.1814</v>
      </c>
      <c r="AQ30" s="234">
        <f t="shared" si="78"/>
        <v>1.1814</v>
      </c>
      <c r="AR30" s="234">
        <f t="shared" si="78"/>
        <v>1.1814</v>
      </c>
      <c r="AS30" s="234">
        <f t="shared" si="78"/>
        <v>1.1814</v>
      </c>
      <c r="AT30" s="234">
        <f t="shared" si="78"/>
        <v>1.1814</v>
      </c>
      <c r="AU30" s="234">
        <f t="shared" si="78"/>
        <v>1.1814</v>
      </c>
      <c r="AV30" s="234">
        <f t="shared" si="78"/>
        <v>1.1814</v>
      </c>
      <c r="AW30" s="234">
        <f t="shared" si="78"/>
        <v>1.1814</v>
      </c>
      <c r="AX30" s="234">
        <f t="shared" si="78"/>
        <v>1.1814</v>
      </c>
    </row>
    <row r="31" spans="1:50" ht="15" customHeight="1">
      <c r="G31" s="66"/>
      <c r="H31" s="66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</row>
    <row r="32" spans="1:50" ht="15" customHeight="1">
      <c r="A32"/>
      <c r="B32" s="17"/>
      <c r="C32" s="17"/>
      <c r="D32" s="17"/>
      <c r="E32" s="17" t="s">
        <v>139</v>
      </c>
      <c r="F32" s="17"/>
      <c r="G32" s="65"/>
      <c r="H32" s="65" t="str">
        <f>IF(I6=100%,"CRPIt","PPPIt")</f>
        <v>CRPIt</v>
      </c>
      <c r="I32" s="17"/>
      <c r="J32" s="17"/>
      <c r="K32" s="77">
        <f>IF($I$6=100%,(K28/$I$24),($I$6*(K28/$I$24)+$I$7*(K29/$I$25)/(K30/$I$26)))</f>
        <v>0.85332082338223469</v>
      </c>
      <c r="L32" s="77">
        <f>IF($I$6=100%,(L28/$I$24),($I$6*(L28/$I$24)+$I$7*(L29/$I$25)/(L30/$I$26)))</f>
        <v>0.87353576708745573</v>
      </c>
      <c r="M32" s="77">
        <f>IF($I$6=100%,(M28/$I$24),($I$6*(M28/$I$24)+$I$7*(M29/$I$25)/(M30/$I$26)))</f>
        <v>0.88209371090640276</v>
      </c>
      <c r="N32" s="77">
        <f t="shared" ref="N32:AX32" si="79">IF($I$6=100%,(N28/$I$24),($I$6*(N28/$I$24)+$I$7*(N29/$I$25)/(N30/$I$26)))</f>
        <v>0.89747526441487546</v>
      </c>
      <c r="O32" s="77">
        <f t="shared" si="79"/>
        <v>0.92963152507676561</v>
      </c>
      <c r="P32" s="77">
        <f t="shared" si="79"/>
        <v>0.96070738087114738</v>
      </c>
      <c r="Q32" s="77">
        <f t="shared" si="79"/>
        <v>0.98532923916751958</v>
      </c>
      <c r="R32" s="77">
        <f t="shared" si="79"/>
        <v>1.0001421585351995</v>
      </c>
      <c r="S32" s="77">
        <f t="shared" si="79"/>
        <v>1.0406004776526783</v>
      </c>
      <c r="T32" s="77">
        <f t="shared" si="79"/>
        <v>1.1611509155009665</v>
      </c>
      <c r="U32" s="77">
        <f t="shared" si="79"/>
        <v>1.2736836119640622</v>
      </c>
      <c r="V32" s="77">
        <f t="shared" si="79"/>
        <v>1.3193449334698055</v>
      </c>
      <c r="W32" s="77">
        <f t="shared" si="79"/>
        <v>1.3739338109860115</v>
      </c>
      <c r="X32" s="77">
        <f t="shared" si="79"/>
        <v>1.4327381780962127</v>
      </c>
      <c r="Y32" s="77">
        <f t="shared" si="79"/>
        <v>1.4940593721187305</v>
      </c>
      <c r="Z32" s="77">
        <f t="shared" si="79"/>
        <v>1.558005113245412</v>
      </c>
      <c r="AA32" s="77">
        <f t="shared" si="79"/>
        <v>1.6246877320923157</v>
      </c>
      <c r="AB32" s="77">
        <f t="shared" si="79"/>
        <v>1.6942243670258668</v>
      </c>
      <c r="AC32" s="77">
        <f t="shared" si="79"/>
        <v>1.7667371699345737</v>
      </c>
      <c r="AD32" s="77">
        <f t="shared" si="79"/>
        <v>1.8423535208077735</v>
      </c>
      <c r="AE32" s="77">
        <f t="shared" si="79"/>
        <v>1.9212062514983461</v>
      </c>
      <c r="AF32" s="77">
        <f t="shared" si="79"/>
        <v>2.0034338790624751</v>
      </c>
      <c r="AG32" s="77">
        <f t="shared" si="79"/>
        <v>2.0891808490863486</v>
      </c>
      <c r="AH32" s="77">
        <f t="shared" si="79"/>
        <v>2.1785977894272444</v>
      </c>
      <c r="AI32" s="77">
        <f t="shared" si="79"/>
        <v>2.2718417748147304</v>
      </c>
      <c r="AJ32" s="77">
        <f t="shared" si="79"/>
        <v>2.3690766027768007</v>
      </c>
      <c r="AK32" s="77">
        <f t="shared" si="79"/>
        <v>2.4704730813756477</v>
      </c>
      <c r="AL32" s="77">
        <f t="shared" si="79"/>
        <v>2.5762093292585253</v>
      </c>
      <c r="AM32" s="77">
        <f t="shared" si="79"/>
        <v>2.6864710885507903</v>
      </c>
      <c r="AN32" s="77">
        <f t="shared" si="79"/>
        <v>2.8014520511407639</v>
      </c>
      <c r="AO32" s="77">
        <f t="shared" si="79"/>
        <v>2.9213541989295884</v>
      </c>
      <c r="AP32" s="77">
        <f t="shared" si="79"/>
        <v>3.0463881586437744</v>
      </c>
      <c r="AQ32" s="77">
        <f t="shared" si="79"/>
        <v>3.1767735718337282</v>
      </c>
      <c r="AR32" s="77">
        <f t="shared" si="79"/>
        <v>3.3127394807082116</v>
      </c>
      <c r="AS32" s="77">
        <f t="shared" si="79"/>
        <v>3.4545247304825231</v>
      </c>
      <c r="AT32" s="77">
        <f t="shared" si="79"/>
        <v>3.6023783889471748</v>
      </c>
      <c r="AU32" s="77">
        <f t="shared" si="79"/>
        <v>3.7565601839941136</v>
      </c>
      <c r="AV32" s="77">
        <f t="shared" si="79"/>
        <v>3.9173409598690618</v>
      </c>
      <c r="AW32" s="77">
        <f t="shared" si="79"/>
        <v>4.0850031529514572</v>
      </c>
      <c r="AX32" s="77">
        <f t="shared" si="79"/>
        <v>4.2598412878977792</v>
      </c>
    </row>
    <row r="33" spans="1:50" ht="15" customHeight="1">
      <c r="A33" s="17"/>
      <c r="B33" s="17"/>
      <c r="C33" s="17"/>
      <c r="D33" s="17"/>
      <c r="E33" s="17"/>
      <c r="F33" s="17"/>
      <c r="G33" s="65"/>
      <c r="H33" s="65"/>
      <c r="I33" s="17"/>
      <c r="J33" s="1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7"/>
      <c r="AW33" s="77"/>
      <c r="AX33" s="77"/>
    </row>
    <row r="34" spans="1:50" ht="13.15">
      <c r="A34"/>
      <c r="B34" s="17"/>
      <c r="C34" s="17"/>
      <c r="D34" s="17"/>
      <c r="E34" s="17" t="str">
        <f>E20</f>
        <v>Development costs</v>
      </c>
      <c r="F34" s="17"/>
      <c r="G34" s="5" t="str">
        <f>$I$11</f>
        <v>£m 2020 prices</v>
      </c>
      <c r="H34" s="58"/>
      <c r="I34" s="17"/>
      <c r="J34" s="17"/>
      <c r="K34" s="169">
        <f>IF($I$9="£",K20/K$32,K20/K$32/K$30)</f>
        <v>0</v>
      </c>
      <c r="L34" s="169">
        <f>IF($I$9="£",L20/L$32,L20/L$32/L$30)</f>
        <v>5.4623728664943312E-2</v>
      </c>
      <c r="M34" s="169">
        <f t="shared" ref="M34:AX34" si="80">IF($I$9="£",M20/M$32,M20/M$32/M$30)</f>
        <v>4.1133987182039713E-2</v>
      </c>
      <c r="N34" s="169">
        <f>IF($I$9="£",N20/N$32,N20/N$32/N$30)</f>
        <v>0.25575587910966441</v>
      </c>
      <c r="O34" s="169">
        <f>IF($I$9="£",O20/O$32,O20/O$32/O$30)</f>
        <v>0.31721172951964788</v>
      </c>
      <c r="P34" s="169">
        <f t="shared" si="80"/>
        <v>5.2993066945614187</v>
      </c>
      <c r="Q34" s="169">
        <f t="shared" si="80"/>
        <v>2.4456011497447863</v>
      </c>
      <c r="R34" s="169">
        <f t="shared" si="80"/>
        <v>0.98181402932037309</v>
      </c>
      <c r="S34" s="169">
        <f t="shared" si="80"/>
        <v>3.5713537042378904</v>
      </c>
      <c r="T34" s="169">
        <f t="shared" si="80"/>
        <v>-0.47584127636286866</v>
      </c>
      <c r="U34" s="169">
        <f t="shared" si="80"/>
        <v>0</v>
      </c>
      <c r="V34" s="169">
        <f t="shared" si="80"/>
        <v>0</v>
      </c>
      <c r="W34" s="169">
        <f t="shared" si="80"/>
        <v>0</v>
      </c>
      <c r="X34" s="169">
        <f t="shared" si="80"/>
        <v>0</v>
      </c>
      <c r="Y34" s="169">
        <f t="shared" si="80"/>
        <v>0</v>
      </c>
      <c r="Z34" s="169">
        <f t="shared" si="80"/>
        <v>0</v>
      </c>
      <c r="AA34" s="169">
        <f t="shared" si="80"/>
        <v>0</v>
      </c>
      <c r="AB34" s="169">
        <f t="shared" si="80"/>
        <v>0</v>
      </c>
      <c r="AC34" s="169">
        <f t="shared" si="80"/>
        <v>0</v>
      </c>
      <c r="AD34" s="169">
        <f t="shared" si="80"/>
        <v>0</v>
      </c>
      <c r="AE34" s="169">
        <f t="shared" si="80"/>
        <v>0</v>
      </c>
      <c r="AF34" s="169">
        <f t="shared" si="80"/>
        <v>0</v>
      </c>
      <c r="AG34" s="169">
        <f t="shared" si="80"/>
        <v>0</v>
      </c>
      <c r="AH34" s="169">
        <f t="shared" si="80"/>
        <v>0</v>
      </c>
      <c r="AI34" s="169">
        <f t="shared" si="80"/>
        <v>0</v>
      </c>
      <c r="AJ34" s="169">
        <f t="shared" si="80"/>
        <v>0</v>
      </c>
      <c r="AK34" s="169">
        <f t="shared" si="80"/>
        <v>0</v>
      </c>
      <c r="AL34" s="169">
        <f t="shared" si="80"/>
        <v>0</v>
      </c>
      <c r="AM34" s="169">
        <f t="shared" si="80"/>
        <v>0</v>
      </c>
      <c r="AN34" s="169">
        <f t="shared" si="80"/>
        <v>0</v>
      </c>
      <c r="AO34" s="169">
        <f t="shared" si="80"/>
        <v>0</v>
      </c>
      <c r="AP34" s="169">
        <f t="shared" si="80"/>
        <v>0</v>
      </c>
      <c r="AQ34" s="169">
        <f t="shared" si="80"/>
        <v>0</v>
      </c>
      <c r="AR34" s="169">
        <f t="shared" si="80"/>
        <v>0</v>
      </c>
      <c r="AS34" s="169">
        <f t="shared" si="80"/>
        <v>0</v>
      </c>
      <c r="AT34" s="169">
        <f t="shared" si="80"/>
        <v>0</v>
      </c>
      <c r="AU34" s="169">
        <f t="shared" si="80"/>
        <v>0</v>
      </c>
      <c r="AV34" s="169">
        <f t="shared" si="80"/>
        <v>0</v>
      </c>
      <c r="AW34" s="169">
        <f t="shared" si="80"/>
        <v>0</v>
      </c>
      <c r="AX34" s="169">
        <f t="shared" si="80"/>
        <v>0</v>
      </c>
    </row>
    <row r="35" spans="1:50" ht="13.15">
      <c r="A35"/>
      <c r="B35" s="17"/>
      <c r="C35" s="17"/>
      <c r="D35" s="17"/>
      <c r="E35" s="17" t="str">
        <f>E21</f>
        <v>Capex</v>
      </c>
      <c r="F35" s="17"/>
      <c r="G35" s="5" t="str">
        <f t="shared" ref="G35:G36" si="81">$I$11</f>
        <v>£m 2020 prices</v>
      </c>
      <c r="H35" s="58"/>
      <c r="I35" s="17"/>
      <c r="J35" s="17"/>
      <c r="K35" s="169">
        <f>IF($I$9="£",K21/K$32,K21/K$32/K$30)</f>
        <v>0</v>
      </c>
      <c r="L35" s="169">
        <f t="shared" ref="K35:AX36" si="82">IF($I$9="£",L21/L$32,L21/L$32/L$30)</f>
        <v>0</v>
      </c>
      <c r="M35" s="169">
        <f t="shared" si="82"/>
        <v>0</v>
      </c>
      <c r="N35" s="169">
        <f t="shared" si="82"/>
        <v>0</v>
      </c>
      <c r="O35" s="169">
        <f t="shared" si="82"/>
        <v>0</v>
      </c>
      <c r="P35" s="169">
        <f t="shared" si="82"/>
        <v>0</v>
      </c>
      <c r="Q35" s="169">
        <f t="shared" si="82"/>
        <v>0</v>
      </c>
      <c r="R35" s="169">
        <f t="shared" si="82"/>
        <v>0</v>
      </c>
      <c r="S35" s="169">
        <f t="shared" si="82"/>
        <v>3.4695758158445118</v>
      </c>
      <c r="T35" s="169">
        <f t="shared" si="82"/>
        <v>62.569892745308813</v>
      </c>
      <c r="U35" s="169">
        <f t="shared" si="82"/>
        <v>53.900974808476839</v>
      </c>
      <c r="V35" s="169">
        <f t="shared" si="82"/>
        <v>47.463818312693398</v>
      </c>
      <c r="W35" s="169">
        <f t="shared" si="82"/>
        <v>7.228625920885877</v>
      </c>
      <c r="X35" s="169">
        <f t="shared" si="82"/>
        <v>0</v>
      </c>
      <c r="Y35" s="169">
        <f t="shared" si="82"/>
        <v>0</v>
      </c>
      <c r="Z35" s="169">
        <f t="shared" si="82"/>
        <v>0</v>
      </c>
      <c r="AA35" s="169">
        <f t="shared" si="82"/>
        <v>0</v>
      </c>
      <c r="AB35" s="169">
        <f t="shared" si="82"/>
        <v>0</v>
      </c>
      <c r="AC35" s="169">
        <f t="shared" si="82"/>
        <v>0</v>
      </c>
      <c r="AD35" s="169">
        <f t="shared" si="82"/>
        <v>0</v>
      </c>
      <c r="AE35" s="169">
        <f t="shared" si="82"/>
        <v>0</v>
      </c>
      <c r="AF35" s="169">
        <f t="shared" si="82"/>
        <v>0</v>
      </c>
      <c r="AG35" s="169">
        <f t="shared" si="82"/>
        <v>0</v>
      </c>
      <c r="AH35" s="169">
        <f t="shared" si="82"/>
        <v>0</v>
      </c>
      <c r="AI35" s="169">
        <f t="shared" si="82"/>
        <v>0</v>
      </c>
      <c r="AJ35" s="169">
        <f t="shared" si="82"/>
        <v>0</v>
      </c>
      <c r="AK35" s="169">
        <f t="shared" si="82"/>
        <v>0</v>
      </c>
      <c r="AL35" s="169">
        <f t="shared" si="82"/>
        <v>0</v>
      </c>
      <c r="AM35" s="169">
        <f t="shared" si="82"/>
        <v>0</v>
      </c>
      <c r="AN35" s="169">
        <f t="shared" si="82"/>
        <v>0</v>
      </c>
      <c r="AO35" s="169">
        <f t="shared" si="82"/>
        <v>0</v>
      </c>
      <c r="AP35" s="169">
        <f t="shared" si="82"/>
        <v>0</v>
      </c>
      <c r="AQ35" s="169">
        <f t="shared" si="82"/>
        <v>0</v>
      </c>
      <c r="AR35" s="169">
        <f t="shared" si="82"/>
        <v>0</v>
      </c>
      <c r="AS35" s="169">
        <f t="shared" si="82"/>
        <v>0</v>
      </c>
      <c r="AT35" s="169">
        <f t="shared" si="82"/>
        <v>0</v>
      </c>
      <c r="AU35" s="169">
        <f t="shared" si="82"/>
        <v>0</v>
      </c>
      <c r="AV35" s="169">
        <f t="shared" si="82"/>
        <v>0</v>
      </c>
      <c r="AW35" s="169">
        <f t="shared" si="82"/>
        <v>0</v>
      </c>
      <c r="AX35" s="169">
        <f t="shared" si="82"/>
        <v>0</v>
      </c>
    </row>
    <row r="36" spans="1:50" ht="13.15">
      <c r="A36"/>
      <c r="B36" s="17"/>
      <c r="C36" s="17"/>
      <c r="D36" s="17"/>
      <c r="E36" s="17" t="str">
        <f>E22</f>
        <v>Spares</v>
      </c>
      <c r="F36" s="17"/>
      <c r="G36" s="5" t="str">
        <f t="shared" si="81"/>
        <v>£m 2020 prices</v>
      </c>
      <c r="H36" s="58"/>
      <c r="I36" s="17"/>
      <c r="J36" s="17"/>
      <c r="K36" s="169">
        <f t="shared" si="82"/>
        <v>0</v>
      </c>
      <c r="L36" s="169">
        <f t="shared" si="82"/>
        <v>0</v>
      </c>
      <c r="M36" s="169">
        <f t="shared" si="82"/>
        <v>0</v>
      </c>
      <c r="N36" s="169">
        <f t="shared" si="82"/>
        <v>0</v>
      </c>
      <c r="O36" s="169">
        <f t="shared" si="82"/>
        <v>0</v>
      </c>
      <c r="P36" s="169">
        <f t="shared" si="82"/>
        <v>0</v>
      </c>
      <c r="Q36" s="169">
        <f t="shared" si="82"/>
        <v>0</v>
      </c>
      <c r="R36" s="169">
        <f t="shared" si="82"/>
        <v>0</v>
      </c>
      <c r="S36" s="169">
        <f t="shared" si="82"/>
        <v>0</v>
      </c>
      <c r="T36" s="169">
        <f t="shared" si="82"/>
        <v>1.6358124515574373</v>
      </c>
      <c r="U36" s="169">
        <f t="shared" si="82"/>
        <v>1.7036324660354694</v>
      </c>
      <c r="V36" s="169">
        <f t="shared" si="82"/>
        <v>1.4182547806227979</v>
      </c>
      <c r="W36" s="169">
        <f t="shared" si="82"/>
        <v>0.2806524854420322</v>
      </c>
      <c r="X36" s="169">
        <f t="shared" si="82"/>
        <v>0</v>
      </c>
      <c r="Y36" s="169">
        <f t="shared" si="82"/>
        <v>0</v>
      </c>
      <c r="Z36" s="169">
        <f t="shared" si="82"/>
        <v>0</v>
      </c>
      <c r="AA36" s="169">
        <f t="shared" si="82"/>
        <v>0</v>
      </c>
      <c r="AB36" s="169">
        <f t="shared" si="82"/>
        <v>0</v>
      </c>
      <c r="AC36" s="169">
        <f t="shared" si="82"/>
        <v>0</v>
      </c>
      <c r="AD36" s="169">
        <f t="shared" si="82"/>
        <v>0</v>
      </c>
      <c r="AE36" s="169">
        <f t="shared" si="82"/>
        <v>0</v>
      </c>
      <c r="AF36" s="169">
        <f t="shared" si="82"/>
        <v>0</v>
      </c>
      <c r="AG36" s="169">
        <f t="shared" si="82"/>
        <v>0</v>
      </c>
      <c r="AH36" s="169">
        <f t="shared" si="82"/>
        <v>0</v>
      </c>
      <c r="AI36" s="169">
        <f t="shared" si="82"/>
        <v>0</v>
      </c>
      <c r="AJ36" s="169">
        <f t="shared" si="82"/>
        <v>0</v>
      </c>
      <c r="AK36" s="169">
        <f t="shared" si="82"/>
        <v>0</v>
      </c>
      <c r="AL36" s="169">
        <f t="shared" si="82"/>
        <v>0</v>
      </c>
      <c r="AM36" s="169">
        <f t="shared" si="82"/>
        <v>0</v>
      </c>
      <c r="AN36" s="169">
        <f t="shared" si="82"/>
        <v>0</v>
      </c>
      <c r="AO36" s="169">
        <f t="shared" si="82"/>
        <v>0</v>
      </c>
      <c r="AP36" s="169">
        <f t="shared" si="82"/>
        <v>0</v>
      </c>
      <c r="AQ36" s="169">
        <f t="shared" si="82"/>
        <v>0</v>
      </c>
      <c r="AR36" s="169">
        <f t="shared" si="82"/>
        <v>0</v>
      </c>
      <c r="AS36" s="169">
        <f t="shared" si="82"/>
        <v>0</v>
      </c>
      <c r="AT36" s="169">
        <f t="shared" si="82"/>
        <v>0</v>
      </c>
      <c r="AU36" s="169">
        <f t="shared" si="82"/>
        <v>0</v>
      </c>
      <c r="AV36" s="169">
        <f t="shared" si="82"/>
        <v>0</v>
      </c>
      <c r="AW36" s="169">
        <f t="shared" si="82"/>
        <v>0</v>
      </c>
      <c r="AX36" s="169">
        <f t="shared" si="82"/>
        <v>0</v>
      </c>
    </row>
    <row r="37" spans="1:50" ht="15" customHeight="1">
      <c r="N37" s="67"/>
    </row>
    <row r="38" spans="1:50" ht="15" customHeight="1">
      <c r="C38" s="10" t="s">
        <v>140</v>
      </c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spans="1:50" ht="15" customHeight="1"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</row>
    <row r="40" spans="1:50" ht="15" customHeight="1">
      <c r="A40" s="12"/>
      <c r="B40" s="12"/>
      <c r="C40" s="12"/>
      <c r="D40" s="12"/>
      <c r="E40" s="15" t="s">
        <v>141</v>
      </c>
      <c r="F40" s="14"/>
      <c r="G40" s="14"/>
      <c r="H40" s="14"/>
      <c r="I40" s="14"/>
      <c r="J40" s="15"/>
      <c r="K40" s="116" t="s">
        <v>142</v>
      </c>
      <c r="L40" s="116" t="s">
        <v>143</v>
      </c>
      <c r="M40" s="116" t="s">
        <v>144</v>
      </c>
      <c r="N40" s="116" t="s">
        <v>145</v>
      </c>
      <c r="O40" s="116" t="s">
        <v>146</v>
      </c>
      <c r="P40" s="116" t="s">
        <v>147</v>
      </c>
      <c r="Q40" s="116" t="s">
        <v>148</v>
      </c>
      <c r="R40" s="116" t="s">
        <v>149</v>
      </c>
      <c r="S40" s="116" t="s">
        <v>150</v>
      </c>
      <c r="T40" s="116" t="s">
        <v>151</v>
      </c>
      <c r="U40" s="116" t="s">
        <v>152</v>
      </c>
      <c r="V40" s="116" t="s">
        <v>153</v>
      </c>
      <c r="W40" s="116" t="s">
        <v>154</v>
      </c>
      <c r="X40" s="116" t="s">
        <v>155</v>
      </c>
      <c r="Y40" s="116" t="s">
        <v>156</v>
      </c>
      <c r="Z40" s="116" t="s">
        <v>157</v>
      </c>
      <c r="AA40" s="116" t="s">
        <v>158</v>
      </c>
      <c r="AB40" s="116" t="s">
        <v>159</v>
      </c>
      <c r="AC40" s="116" t="s">
        <v>160</v>
      </c>
      <c r="AD40" s="116" t="s">
        <v>161</v>
      </c>
      <c r="AE40" s="116" t="s">
        <v>162</v>
      </c>
      <c r="AF40" s="116" t="s">
        <v>163</v>
      </c>
      <c r="AG40" s="116" t="s">
        <v>164</v>
      </c>
      <c r="AH40" s="116" t="s">
        <v>165</v>
      </c>
      <c r="AI40" s="116" t="s">
        <v>166</v>
      </c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</row>
    <row r="41" spans="1:50" ht="15" customHeight="1"/>
    <row r="42" spans="1:50" ht="15" customHeight="1">
      <c r="A42"/>
      <c r="C42" s="17"/>
      <c r="E42" s="17" t="s">
        <v>167</v>
      </c>
      <c r="F42" s="17"/>
      <c r="G42" s="5" t="s">
        <v>168</v>
      </c>
      <c r="H42" s="58"/>
      <c r="I42" s="58"/>
      <c r="J42" s="17"/>
      <c r="K42" s="183">
        <v>0</v>
      </c>
      <c r="L42" s="183">
        <v>0</v>
      </c>
      <c r="M42" s="183">
        <v>0</v>
      </c>
      <c r="N42" s="183">
        <v>0</v>
      </c>
      <c r="O42" s="183">
        <v>0</v>
      </c>
      <c r="P42" s="183">
        <v>0</v>
      </c>
      <c r="Q42" s="183">
        <v>7.0511081551549006</v>
      </c>
      <c r="R42" s="183">
        <v>0</v>
      </c>
      <c r="S42" s="183">
        <v>0</v>
      </c>
      <c r="T42" s="183">
        <v>0</v>
      </c>
      <c r="U42" s="183">
        <v>0</v>
      </c>
      <c r="V42" s="183">
        <v>0</v>
      </c>
      <c r="W42" s="183">
        <v>0</v>
      </c>
      <c r="X42" s="183">
        <v>0</v>
      </c>
      <c r="Y42" s="183">
        <v>4.9357704202640926</v>
      </c>
      <c r="Z42" s="183">
        <v>0</v>
      </c>
      <c r="AA42" s="183">
        <v>0</v>
      </c>
      <c r="AB42" s="183">
        <v>0</v>
      </c>
      <c r="AC42" s="183">
        <v>0</v>
      </c>
      <c r="AD42" s="183">
        <v>16.570127962163536</v>
      </c>
      <c r="AE42" s="183">
        <v>0</v>
      </c>
      <c r="AF42" s="183">
        <v>0</v>
      </c>
      <c r="AG42" s="183">
        <v>0</v>
      </c>
      <c r="AH42" s="183">
        <v>0</v>
      </c>
      <c r="AI42" s="183">
        <v>0</v>
      </c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</row>
    <row r="43" spans="1:50" ht="15" customHeight="1">
      <c r="A43"/>
      <c r="C43" s="17"/>
      <c r="E43" s="17" t="s">
        <v>169</v>
      </c>
      <c r="F43" s="17"/>
      <c r="G43" s="5" t="s">
        <v>168</v>
      </c>
      <c r="H43" s="58"/>
      <c r="I43" s="58"/>
      <c r="J43" s="17"/>
      <c r="K43" s="183">
        <v>0</v>
      </c>
      <c r="L43" s="183">
        <v>0</v>
      </c>
      <c r="M43" s="183">
        <v>0</v>
      </c>
      <c r="N43" s="183">
        <v>0</v>
      </c>
      <c r="O43" s="183">
        <v>0</v>
      </c>
      <c r="P43" s="183">
        <v>0</v>
      </c>
      <c r="Q43" s="183">
        <v>0</v>
      </c>
      <c r="R43" s="183">
        <v>0</v>
      </c>
      <c r="S43" s="183">
        <v>0</v>
      </c>
      <c r="T43" s="183">
        <v>0</v>
      </c>
      <c r="U43" s="183">
        <v>0</v>
      </c>
      <c r="V43" s="183">
        <v>0</v>
      </c>
      <c r="W43" s="183">
        <v>0</v>
      </c>
      <c r="X43" s="183">
        <v>0</v>
      </c>
      <c r="Y43" s="183">
        <v>0</v>
      </c>
      <c r="Z43" s="183">
        <v>0</v>
      </c>
      <c r="AA43" s="183">
        <v>0</v>
      </c>
      <c r="AB43" s="183">
        <v>0</v>
      </c>
      <c r="AC43" s="183">
        <v>0</v>
      </c>
      <c r="AD43" s="183">
        <v>0</v>
      </c>
      <c r="AE43" s="183">
        <v>0</v>
      </c>
      <c r="AF43" s="183">
        <v>0</v>
      </c>
      <c r="AG43" s="183">
        <v>0</v>
      </c>
      <c r="AH43" s="183">
        <v>0</v>
      </c>
      <c r="AI43" s="183">
        <v>4.6441662462861855</v>
      </c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</row>
    <row r="44" spans="1:50" ht="15" customHeight="1">
      <c r="A44"/>
      <c r="C44" s="17"/>
      <c r="E44" s="17" t="s">
        <v>170</v>
      </c>
      <c r="F44" s="17"/>
      <c r="G44" s="5" t="s">
        <v>168</v>
      </c>
      <c r="H44" s="58"/>
      <c r="I44" s="58"/>
      <c r="J44" s="17"/>
      <c r="K44" s="183">
        <v>8.1885198389731642</v>
      </c>
      <c r="L44" s="183">
        <v>5.9037130854645223</v>
      </c>
      <c r="M44" s="183">
        <v>8.3863559457367884</v>
      </c>
      <c r="N44" s="183">
        <v>5.8244351369068426</v>
      </c>
      <c r="O44" s="183">
        <v>7.3090910376776836</v>
      </c>
      <c r="P44" s="183">
        <v>8.3869859714360331</v>
      </c>
      <c r="Q44" s="183">
        <v>7.8824033083338563</v>
      </c>
      <c r="R44" s="183">
        <v>6.4368830213151789</v>
      </c>
      <c r="S44" s="183">
        <v>5.7785846360825737</v>
      </c>
      <c r="T44" s="183">
        <v>9.5154253540200688</v>
      </c>
      <c r="U44" s="183">
        <v>5.2439971349783168</v>
      </c>
      <c r="V44" s="183">
        <v>5.9327675767318926</v>
      </c>
      <c r="W44" s="183">
        <v>5.244661224636296</v>
      </c>
      <c r="X44" s="183">
        <v>5.5215768046632903</v>
      </c>
      <c r="Y44" s="183">
        <v>7.4238158991969474</v>
      </c>
      <c r="Z44" s="183">
        <v>5.8717786838742168</v>
      </c>
      <c r="AA44" s="183">
        <v>5.2460297168574961</v>
      </c>
      <c r="AB44" s="183">
        <v>5.5853028174576451</v>
      </c>
      <c r="AC44" s="183">
        <v>5.2467346614112476</v>
      </c>
      <c r="AD44" s="183">
        <v>5.8262181285727053</v>
      </c>
      <c r="AE44" s="183">
        <v>5.2686151093610256</v>
      </c>
      <c r="AF44" s="183">
        <v>5.4774267666791587</v>
      </c>
      <c r="AG44" s="183">
        <v>5.2481873434799908</v>
      </c>
      <c r="AH44" s="183">
        <v>5.8488466714726304</v>
      </c>
      <c r="AI44" s="183">
        <v>5.2489356563288556</v>
      </c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</row>
    <row r="45" spans="1:50" ht="15" customHeight="1">
      <c r="A45"/>
      <c r="C45" s="17"/>
      <c r="E45" s="17" t="s">
        <v>171</v>
      </c>
      <c r="F45" s="17"/>
      <c r="G45" s="5" t="s">
        <v>168</v>
      </c>
      <c r="H45" s="58"/>
      <c r="I45" s="58"/>
      <c r="J45" s="17"/>
      <c r="K45" s="183">
        <v>1.8899413658449644</v>
      </c>
      <c r="L45" s="183">
        <v>1.8899413658449644</v>
      </c>
      <c r="M45" s="183">
        <v>1.8899413658449644</v>
      </c>
      <c r="N45" s="183">
        <v>1.8899413658449644</v>
      </c>
      <c r="O45" s="183">
        <v>1.8899413658449644</v>
      </c>
      <c r="P45" s="183">
        <v>1.8899413658449644</v>
      </c>
      <c r="Q45" s="183">
        <v>1.8899413658449644</v>
      </c>
      <c r="R45" s="183">
        <v>1.8899413658449644</v>
      </c>
      <c r="S45" s="183">
        <v>1.8899413658449644</v>
      </c>
      <c r="T45" s="183">
        <v>1.8899413658449644</v>
      </c>
      <c r="U45" s="183">
        <v>1.8899413658449644</v>
      </c>
      <c r="V45" s="183">
        <v>1.8899413658449644</v>
      </c>
      <c r="W45" s="183">
        <v>1.8899413658449644</v>
      </c>
      <c r="X45" s="183">
        <v>1.8899413658449644</v>
      </c>
      <c r="Y45" s="183">
        <v>1.8899413658449644</v>
      </c>
      <c r="Z45" s="183">
        <v>1.8899413658449644</v>
      </c>
      <c r="AA45" s="183">
        <v>1.8899413658449644</v>
      </c>
      <c r="AB45" s="183">
        <v>1.8899413658449644</v>
      </c>
      <c r="AC45" s="183">
        <v>1.8899413658449644</v>
      </c>
      <c r="AD45" s="183">
        <v>1.8899413658449644</v>
      </c>
      <c r="AE45" s="183">
        <v>1.8899413658449644</v>
      </c>
      <c r="AF45" s="183">
        <v>1.8899413658449644</v>
      </c>
      <c r="AG45" s="183">
        <v>1.8899413658449644</v>
      </c>
      <c r="AH45" s="183">
        <v>1.8899413658449644</v>
      </c>
      <c r="AI45" s="183">
        <v>1.8899413658449644</v>
      </c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</row>
    <row r="46" spans="1:50" ht="15" customHeight="1">
      <c r="I46" s="250"/>
    </row>
    <row r="47" spans="1:50" ht="26.25">
      <c r="A47" s="66"/>
      <c r="B47" s="17"/>
      <c r="C47" s="17"/>
      <c r="E47" s="17" t="str">
        <f>E24</f>
        <v>Base year UK RPI inflation index value (CHAW)</v>
      </c>
      <c r="F47" s="17"/>
      <c r="G47" s="65" t="str">
        <f>G24</f>
        <v>Jan 1987 = 100</v>
      </c>
      <c r="H47" s="65" t="str">
        <f>H24</f>
        <v>UK RPI index 2020</v>
      </c>
      <c r="I47" s="77">
        <f>I24</f>
        <v>293.10000000000002</v>
      </c>
      <c r="J47" s="17"/>
      <c r="K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</row>
    <row r="48" spans="1:50" ht="13.15">
      <c r="A48" s="66"/>
      <c r="B48" s="17"/>
      <c r="C48" s="17"/>
      <c r="E48" s="17" t="str">
        <f>IF(E25="","",E25)</f>
        <v/>
      </c>
      <c r="F48" s="17"/>
      <c r="G48" s="65" t="str">
        <f t="shared" ref="G48:I49" si="83">IF(G25="","",G25)</f>
        <v/>
      </c>
      <c r="H48" s="65" t="str">
        <f t="shared" si="83"/>
        <v/>
      </c>
      <c r="I48" s="77" t="str">
        <f t="shared" si="83"/>
        <v/>
      </c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</row>
    <row r="49" spans="1:50" ht="13.15">
      <c r="A49" s="66"/>
      <c r="B49" s="17"/>
      <c r="C49" s="17"/>
      <c r="E49" s="17" t="str">
        <f>IF(E26="","",E26)</f>
        <v/>
      </c>
      <c r="F49" s="17"/>
      <c r="G49" s="65" t="str">
        <f t="shared" si="83"/>
        <v/>
      </c>
      <c r="H49" s="65" t="str">
        <f t="shared" si="83"/>
        <v/>
      </c>
      <c r="I49" s="77" t="str">
        <f t="shared" si="83"/>
        <v/>
      </c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</row>
    <row r="50" spans="1:50" ht="13.15">
      <c r="G50" s="66"/>
      <c r="H50" s="66"/>
      <c r="I50" s="259"/>
    </row>
    <row r="51" spans="1:50" ht="15" customHeight="1">
      <c r="E51" s="118" t="s">
        <v>172</v>
      </c>
      <c r="G51" s="16" t="str">
        <f>G24</f>
        <v>Jan 1987 = 100</v>
      </c>
      <c r="I51" s="260">
        <v>386.70000000000005</v>
      </c>
      <c r="J51" s="17"/>
      <c r="K51" s="120"/>
    </row>
    <row r="52" spans="1:50" ht="15" customHeight="1">
      <c r="E52" s="194" t="s">
        <v>173</v>
      </c>
      <c r="G52" s="16" t="str">
        <f>IF(G25="","",G25)</f>
        <v/>
      </c>
      <c r="I52" s="200"/>
      <c r="J52" s="17"/>
      <c r="K52" s="120"/>
    </row>
    <row r="53" spans="1:50" ht="15" customHeight="1">
      <c r="E53" s="118" t="s">
        <v>174</v>
      </c>
      <c r="G53" s="16" t="str">
        <f>IF(G26="","",G26)</f>
        <v/>
      </c>
      <c r="I53" s="184">
        <v>1.1814</v>
      </c>
      <c r="J53" s="17"/>
      <c r="K53" s="120"/>
    </row>
    <row r="54" spans="1:50" ht="15" customHeight="1"/>
    <row r="55" spans="1:50" ht="13.15">
      <c r="A55" s="66"/>
      <c r="E55" s="118" t="s">
        <v>136</v>
      </c>
      <c r="G55" s="66" t="s">
        <v>137</v>
      </c>
      <c r="H55" s="119" t="s">
        <v>138</v>
      </c>
      <c r="K55" s="201">
        <v>1.1814</v>
      </c>
      <c r="L55" s="201">
        <v>1.1814</v>
      </c>
      <c r="M55" s="201">
        <v>1.1814</v>
      </c>
      <c r="N55" s="201">
        <v>1.1814</v>
      </c>
      <c r="O55" s="201">
        <v>1.1814</v>
      </c>
      <c r="P55" s="201">
        <v>1.1814</v>
      </c>
      <c r="Q55" s="201">
        <v>1.1814</v>
      </c>
      <c r="R55" s="201">
        <v>1.1814</v>
      </c>
      <c r="S55" s="201">
        <v>1.1814</v>
      </c>
      <c r="T55" s="201">
        <v>1.1814</v>
      </c>
      <c r="U55" s="201">
        <v>1.1814</v>
      </c>
      <c r="V55" s="201">
        <v>1.1814</v>
      </c>
      <c r="W55" s="201">
        <v>1.1814</v>
      </c>
      <c r="X55" s="201">
        <v>1.1814</v>
      </c>
      <c r="Y55" s="201">
        <v>1.1814</v>
      </c>
      <c r="Z55" s="201">
        <v>1.1814</v>
      </c>
      <c r="AA55" s="201">
        <v>1.1814</v>
      </c>
      <c r="AB55" s="201">
        <v>1.1814</v>
      </c>
      <c r="AC55" s="201">
        <v>1.1814</v>
      </c>
      <c r="AD55" s="201">
        <v>1.1814</v>
      </c>
      <c r="AE55" s="201">
        <v>1.1814</v>
      </c>
      <c r="AF55" s="201">
        <v>1.1814</v>
      </c>
      <c r="AG55" s="201">
        <v>1.1814</v>
      </c>
      <c r="AH55" s="201">
        <v>1.1814</v>
      </c>
      <c r="AI55" s="201">
        <v>1.1814</v>
      </c>
    </row>
    <row r="56" spans="1:50" ht="15" customHeight="1"/>
    <row r="57" spans="1:50" ht="15" customHeight="1">
      <c r="A57" s="17"/>
      <c r="B57" s="17"/>
      <c r="C57" s="17"/>
      <c r="D57" s="17"/>
      <c r="E57" s="17" t="s">
        <v>175</v>
      </c>
      <c r="F57" s="17"/>
      <c r="G57" s="17"/>
      <c r="H57" s="17"/>
      <c r="I57" s="77">
        <f>I51/$I$47</f>
        <v>1.3193449334698055</v>
      </c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</row>
    <row r="58" spans="1:50" ht="15" customHeight="1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</row>
    <row r="59" spans="1:50" ht="13.15">
      <c r="A59" s="65"/>
      <c r="B59" s="17"/>
      <c r="C59" s="17"/>
      <c r="D59" s="17"/>
      <c r="E59" s="17" t="str">
        <f>E42</f>
        <v>Replacement Capex</v>
      </c>
      <c r="F59" s="17"/>
      <c r="G59" s="5" t="str">
        <f t="shared" ref="G59:G62" si="84">$I$11</f>
        <v>£m 2020 prices</v>
      </c>
      <c r="H59" s="58"/>
      <c r="I59" s="58"/>
      <c r="J59" s="17"/>
      <c r="K59" s="169">
        <f t="shared" ref="K59:AI62" si="85">IF($I$9="£",K42/$I$57,K42/K$55/$I$57)</f>
        <v>0</v>
      </c>
      <c r="L59" s="169">
        <f t="shared" si="85"/>
        <v>0</v>
      </c>
      <c r="M59" s="169">
        <f t="shared" si="85"/>
        <v>0</v>
      </c>
      <c r="N59" s="169">
        <f t="shared" si="85"/>
        <v>0</v>
      </c>
      <c r="O59" s="169">
        <f t="shared" si="85"/>
        <v>0</v>
      </c>
      <c r="P59" s="169">
        <f t="shared" si="85"/>
        <v>0</v>
      </c>
      <c r="Q59" s="169">
        <f t="shared" si="85"/>
        <v>5.3444008282283457</v>
      </c>
      <c r="R59" s="169">
        <f t="shared" si="85"/>
        <v>0</v>
      </c>
      <c r="S59" s="169">
        <f t="shared" si="85"/>
        <v>0</v>
      </c>
      <c r="T59" s="169">
        <f t="shared" si="85"/>
        <v>0</v>
      </c>
      <c r="U59" s="169">
        <f t="shared" si="85"/>
        <v>0</v>
      </c>
      <c r="V59" s="169">
        <f t="shared" si="85"/>
        <v>0</v>
      </c>
      <c r="W59" s="169">
        <f t="shared" si="85"/>
        <v>0</v>
      </c>
      <c r="X59" s="169">
        <f t="shared" si="85"/>
        <v>0</v>
      </c>
      <c r="Y59" s="169">
        <f t="shared" si="85"/>
        <v>3.7410765714491996</v>
      </c>
      <c r="Z59" s="169">
        <f t="shared" si="85"/>
        <v>0</v>
      </c>
      <c r="AA59" s="169">
        <f t="shared" si="85"/>
        <v>0</v>
      </c>
      <c r="AB59" s="169">
        <f t="shared" si="85"/>
        <v>0</v>
      </c>
      <c r="AC59" s="169">
        <f t="shared" si="85"/>
        <v>0</v>
      </c>
      <c r="AD59" s="169">
        <f t="shared" si="85"/>
        <v>12.559359983734502</v>
      </c>
      <c r="AE59" s="169">
        <f t="shared" si="85"/>
        <v>0</v>
      </c>
      <c r="AF59" s="169">
        <f t="shared" si="85"/>
        <v>0</v>
      </c>
      <c r="AG59" s="169">
        <f t="shared" si="85"/>
        <v>0</v>
      </c>
      <c r="AH59" s="169">
        <f t="shared" si="85"/>
        <v>0</v>
      </c>
      <c r="AI59" s="169">
        <f t="shared" si="85"/>
        <v>0</v>
      </c>
      <c r="AJ59" s="58"/>
      <c r="AK59" s="58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</row>
    <row r="60" spans="1:50" ht="13.15">
      <c r="A60" s="65"/>
      <c r="B60" s="17"/>
      <c r="C60" s="17"/>
      <c r="D60" s="17"/>
      <c r="E60" s="17" t="str">
        <f>E43</f>
        <v>Decommissioning baseline</v>
      </c>
      <c r="F60" s="17"/>
      <c r="G60" s="5" t="str">
        <f t="shared" si="84"/>
        <v>£m 2020 prices</v>
      </c>
      <c r="H60" s="58"/>
      <c r="I60" s="58"/>
      <c r="J60" s="17"/>
      <c r="K60" s="169">
        <f t="shared" si="85"/>
        <v>0</v>
      </c>
      <c r="L60" s="169">
        <f t="shared" si="85"/>
        <v>0</v>
      </c>
      <c r="M60" s="169">
        <f t="shared" si="85"/>
        <v>0</v>
      </c>
      <c r="N60" s="169">
        <f t="shared" si="85"/>
        <v>0</v>
      </c>
      <c r="O60" s="169">
        <f t="shared" si="85"/>
        <v>0</v>
      </c>
      <c r="P60" s="169">
        <f t="shared" si="85"/>
        <v>0</v>
      </c>
      <c r="Q60" s="169">
        <f t="shared" si="85"/>
        <v>0</v>
      </c>
      <c r="R60" s="169">
        <f t="shared" si="85"/>
        <v>0</v>
      </c>
      <c r="S60" s="169">
        <f t="shared" si="85"/>
        <v>0</v>
      </c>
      <c r="T60" s="169">
        <f t="shared" si="85"/>
        <v>0</v>
      </c>
      <c r="U60" s="169">
        <f t="shared" si="85"/>
        <v>0</v>
      </c>
      <c r="V60" s="169">
        <f t="shared" si="85"/>
        <v>0</v>
      </c>
      <c r="W60" s="169">
        <f t="shared" si="85"/>
        <v>0</v>
      </c>
      <c r="X60" s="169">
        <f t="shared" si="85"/>
        <v>0</v>
      </c>
      <c r="Y60" s="169">
        <f t="shared" si="85"/>
        <v>0</v>
      </c>
      <c r="Z60" s="169">
        <f t="shared" si="85"/>
        <v>0</v>
      </c>
      <c r="AA60" s="169">
        <f t="shared" si="85"/>
        <v>0</v>
      </c>
      <c r="AB60" s="169">
        <f t="shared" si="85"/>
        <v>0</v>
      </c>
      <c r="AC60" s="169">
        <f t="shared" si="85"/>
        <v>0</v>
      </c>
      <c r="AD60" s="169">
        <f t="shared" si="85"/>
        <v>0</v>
      </c>
      <c r="AE60" s="169">
        <f t="shared" si="85"/>
        <v>0</v>
      </c>
      <c r="AF60" s="169">
        <f t="shared" si="85"/>
        <v>0</v>
      </c>
      <c r="AG60" s="169">
        <f t="shared" si="85"/>
        <v>0</v>
      </c>
      <c r="AH60" s="169">
        <f t="shared" si="85"/>
        <v>0</v>
      </c>
      <c r="AI60" s="169">
        <f t="shared" si="85"/>
        <v>3.520054633531112</v>
      </c>
      <c r="AJ60" s="58"/>
      <c r="AK60" s="58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</row>
    <row r="61" spans="1:50" ht="13.15">
      <c r="A61" s="65"/>
      <c r="B61" s="17"/>
      <c r="C61" s="17"/>
      <c r="D61" s="17"/>
      <c r="E61" s="17" t="str">
        <f>E44</f>
        <v>Controllable Opex</v>
      </c>
      <c r="F61" s="17"/>
      <c r="G61" s="5" t="str">
        <f t="shared" si="84"/>
        <v>£m 2020 prices</v>
      </c>
      <c r="H61" s="58"/>
      <c r="I61" s="58"/>
      <c r="J61" s="17"/>
      <c r="K61" s="169">
        <f t="shared" si="85"/>
        <v>6.2065041758547563</v>
      </c>
      <c r="L61" s="169">
        <f t="shared" si="85"/>
        <v>4.4747305543047622</v>
      </c>
      <c r="M61" s="169">
        <f t="shared" si="85"/>
        <v>6.356454429002981</v>
      </c>
      <c r="N61" s="169">
        <f t="shared" si="85"/>
        <v>4.4146416825120136</v>
      </c>
      <c r="O61" s="169">
        <f t="shared" si="85"/>
        <v>5.5399394443840935</v>
      </c>
      <c r="P61" s="169">
        <f t="shared" si="85"/>
        <v>6.3569319581792119</v>
      </c>
      <c r="Q61" s="169">
        <f t="shared" si="85"/>
        <v>5.97448256962155</v>
      </c>
      <c r="R61" s="169">
        <f t="shared" si="85"/>
        <v>4.8788477205779133</v>
      </c>
      <c r="S61" s="169">
        <f t="shared" si="85"/>
        <v>4.3798892082642933</v>
      </c>
      <c r="T61" s="169">
        <f t="shared" si="85"/>
        <v>7.2122347330315026</v>
      </c>
      <c r="U61" s="169">
        <f t="shared" si="85"/>
        <v>3.9746975957128128</v>
      </c>
      <c r="V61" s="169">
        <f t="shared" si="85"/>
        <v>4.496752461184685</v>
      </c>
      <c r="W61" s="169">
        <f t="shared" si="85"/>
        <v>3.9752009437313118</v>
      </c>
      <c r="X61" s="169">
        <f t="shared" si="85"/>
        <v>4.1850896339457213</v>
      </c>
      <c r="Y61" s="169">
        <f t="shared" si="85"/>
        <v>5.626895371229959</v>
      </c>
      <c r="Z61" s="169">
        <f t="shared" si="85"/>
        <v>4.4505258139217299</v>
      </c>
      <c r="AA61" s="169">
        <f t="shared" si="85"/>
        <v>3.9762381950114611</v>
      </c>
      <c r="AB61" s="169">
        <f t="shared" si="85"/>
        <v>4.233390886467121</v>
      </c>
      <c r="AC61" s="169">
        <f t="shared" si="85"/>
        <v>3.9767725090758641</v>
      </c>
      <c r="AD61" s="169">
        <f t="shared" si="85"/>
        <v>4.415993104434083</v>
      </c>
      <c r="AE61" s="169">
        <f t="shared" si="85"/>
        <v>3.9933568361875267</v>
      </c>
      <c r="AF61" s="169">
        <f t="shared" si="85"/>
        <v>4.1516260287397504</v>
      </c>
      <c r="AG61" s="169">
        <f t="shared" si="85"/>
        <v>3.9778735722109784</v>
      </c>
      <c r="AH61" s="169">
        <f t="shared" si="85"/>
        <v>4.4331444515351128</v>
      </c>
      <c r="AI61" s="169">
        <f t="shared" si="85"/>
        <v>3.9784407573570921</v>
      </c>
      <c r="AJ61" s="58"/>
      <c r="AK61" s="58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</row>
    <row r="62" spans="1:50" ht="13.15">
      <c r="A62" s="65"/>
      <c r="B62" s="17"/>
      <c r="C62" s="17"/>
      <c r="D62" s="17"/>
      <c r="E62" s="17" t="str">
        <f>E45</f>
        <v>Non-controllable Opex baseline</v>
      </c>
      <c r="F62" s="17"/>
      <c r="G62" s="5" t="str">
        <f t="shared" si="84"/>
        <v>£m 2020 prices</v>
      </c>
      <c r="H62" s="58"/>
      <c r="I62" s="58"/>
      <c r="J62" s="17"/>
      <c r="K62" s="169">
        <f t="shared" si="85"/>
        <v>1.4324846504503725</v>
      </c>
      <c r="L62" s="169">
        <f t="shared" si="85"/>
        <v>1.4324846504503725</v>
      </c>
      <c r="M62" s="169">
        <f t="shared" si="85"/>
        <v>1.4324846504503725</v>
      </c>
      <c r="N62" s="169">
        <f t="shared" si="85"/>
        <v>1.4324846504503725</v>
      </c>
      <c r="O62" s="169">
        <f t="shared" si="85"/>
        <v>1.4324846504503725</v>
      </c>
      <c r="P62" s="169">
        <f t="shared" si="85"/>
        <v>1.4324846504503725</v>
      </c>
      <c r="Q62" s="169">
        <f t="shared" si="85"/>
        <v>1.4324846504503725</v>
      </c>
      <c r="R62" s="169">
        <f t="shared" si="85"/>
        <v>1.4324846504503725</v>
      </c>
      <c r="S62" s="169">
        <f t="shared" si="85"/>
        <v>1.4324846504503725</v>
      </c>
      <c r="T62" s="169">
        <f t="shared" si="85"/>
        <v>1.4324846504503725</v>
      </c>
      <c r="U62" s="169">
        <f t="shared" si="85"/>
        <v>1.4324846504503725</v>
      </c>
      <c r="V62" s="169">
        <f t="shared" si="85"/>
        <v>1.4324846504503725</v>
      </c>
      <c r="W62" s="169">
        <f t="shared" si="85"/>
        <v>1.4324846504503725</v>
      </c>
      <c r="X62" s="169">
        <f t="shared" si="85"/>
        <v>1.4324846504503725</v>
      </c>
      <c r="Y62" s="169">
        <f t="shared" si="85"/>
        <v>1.4324846504503725</v>
      </c>
      <c r="Z62" s="169">
        <f t="shared" si="85"/>
        <v>1.4324846504503725</v>
      </c>
      <c r="AA62" s="169">
        <f t="shared" si="85"/>
        <v>1.4324846504503725</v>
      </c>
      <c r="AB62" s="169">
        <f t="shared" si="85"/>
        <v>1.4324846504503725</v>
      </c>
      <c r="AC62" s="169">
        <f t="shared" si="85"/>
        <v>1.4324846504503725</v>
      </c>
      <c r="AD62" s="169">
        <f t="shared" si="85"/>
        <v>1.4324846504503725</v>
      </c>
      <c r="AE62" s="169">
        <f t="shared" si="85"/>
        <v>1.4324846504503725</v>
      </c>
      <c r="AF62" s="169">
        <f t="shared" si="85"/>
        <v>1.4324846504503725</v>
      </c>
      <c r="AG62" s="169">
        <f t="shared" si="85"/>
        <v>1.4324846504503725</v>
      </c>
      <c r="AH62" s="169">
        <f t="shared" si="85"/>
        <v>1.4324846504503725</v>
      </c>
      <c r="AI62" s="169">
        <f t="shared" si="85"/>
        <v>1.4324846504503725</v>
      </c>
      <c r="AJ62" s="58"/>
      <c r="AK62" s="58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</row>
    <row r="63" spans="1:50" ht="15" customHeight="1">
      <c r="I63" s="250"/>
    </row>
    <row r="64" spans="1:50" ht="15" customHeight="1">
      <c r="A64" s="5"/>
      <c r="B64" s="267" t="s">
        <v>176</v>
      </c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spans="1:50" ht="15" customHeight="1">
      <c r="A65" s="5"/>
      <c r="B65" s="5"/>
      <c r="C65" s="5"/>
      <c r="D65" s="5"/>
      <c r="E65" s="5"/>
      <c r="F65" s="5"/>
      <c r="G65" s="5"/>
      <c r="H65" s="5"/>
      <c r="I65" s="6"/>
      <c r="J65" s="6"/>
      <c r="K65" s="5"/>
      <c r="L65" s="5"/>
      <c r="M65" s="5"/>
      <c r="N65" s="5"/>
      <c r="O65" s="5"/>
      <c r="P65" s="6"/>
      <c r="Q65" s="6"/>
      <c r="R65" s="6"/>
      <c r="S65" s="5"/>
      <c r="T65" s="5"/>
      <c r="U65" s="5"/>
      <c r="V65" s="5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</row>
    <row r="66" spans="1:50" ht="15" customHeight="1">
      <c r="A66" s="5"/>
      <c r="B66" s="5"/>
      <c r="C66" s="10" t="s">
        <v>28</v>
      </c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spans="1:50" ht="15" customHeight="1">
      <c r="A67" s="5"/>
      <c r="B67" s="5"/>
      <c r="C67" s="5"/>
      <c r="D67" s="5"/>
      <c r="E67" s="5"/>
      <c r="F67" s="5"/>
      <c r="G67" s="5"/>
      <c r="H67" s="5"/>
      <c r="I67" s="6"/>
      <c r="J67" s="6"/>
      <c r="P67" s="6"/>
      <c r="Y67" s="7"/>
      <c r="Z67" s="7"/>
      <c r="AA67" s="7"/>
      <c r="AB67" s="7"/>
      <c r="AC67" s="7"/>
      <c r="AD67" s="7"/>
      <c r="AE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</row>
    <row r="68" spans="1:50" ht="13.15">
      <c r="A68"/>
      <c r="B68" s="17"/>
      <c r="C68" s="17"/>
      <c r="D68" s="17"/>
      <c r="E68" s="17" t="s">
        <v>177</v>
      </c>
      <c r="F68" s="17"/>
      <c r="G68" s="5" t="s">
        <v>178</v>
      </c>
      <c r="H68" s="17"/>
      <c r="I68" s="103">
        <v>8.1000000000000003E-2</v>
      </c>
      <c r="J68" s="17"/>
      <c r="K68" s="17"/>
      <c r="L68" s="17"/>
      <c r="M68" s="17"/>
      <c r="N68" s="17"/>
      <c r="O68" s="17"/>
      <c r="P68" s="6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</row>
    <row r="69" spans="1:50" ht="15" customHeight="1">
      <c r="A69" s="17"/>
      <c r="B69" s="17"/>
      <c r="C69" s="17"/>
      <c r="D69" s="17"/>
      <c r="E69" s="17" t="s">
        <v>179</v>
      </c>
      <c r="F69" s="5"/>
      <c r="G69" s="5" t="s">
        <v>178</v>
      </c>
      <c r="H69" s="17"/>
      <c r="I69" s="103">
        <v>-8.3999999999999995E-3</v>
      </c>
      <c r="J69" s="17"/>
      <c r="K69" s="17"/>
      <c r="L69" s="17"/>
      <c r="M69" s="17"/>
      <c r="N69" s="17"/>
      <c r="O69" s="17"/>
      <c r="P69" s="6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</row>
    <row r="70" spans="1:50" ht="15" customHeight="1">
      <c r="A70" s="17"/>
      <c r="B70" s="17"/>
      <c r="C70" s="17"/>
      <c r="D70" s="17"/>
      <c r="E70" s="17" t="s">
        <v>180</v>
      </c>
      <c r="F70" s="17"/>
      <c r="G70" s="5" t="s">
        <v>178</v>
      </c>
      <c r="H70" s="17"/>
      <c r="I70" s="103">
        <v>5.21E-2</v>
      </c>
      <c r="J70" s="17"/>
      <c r="K70" s="17"/>
      <c r="L70" s="17"/>
      <c r="M70" s="17"/>
      <c r="N70" s="17"/>
      <c r="O70" s="17"/>
      <c r="P70" s="6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</row>
    <row r="71" spans="1:50" ht="15" customHeight="1">
      <c r="A71" s="17"/>
      <c r="B71" s="17"/>
      <c r="C71" s="17"/>
      <c r="D71" s="17"/>
      <c r="E71" s="17" t="s">
        <v>181</v>
      </c>
      <c r="F71" s="17"/>
      <c r="G71" s="5" t="s">
        <v>178</v>
      </c>
      <c r="H71" s="17"/>
      <c r="I71" s="81">
        <f>I69</f>
        <v>-8.3999999999999995E-3</v>
      </c>
      <c r="J71" s="17"/>
      <c r="K71" s="17"/>
      <c r="L71" s="17"/>
      <c r="M71" s="17"/>
      <c r="N71" s="17"/>
      <c r="O71" s="17"/>
      <c r="P71" s="6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</row>
    <row r="72" spans="1:50" ht="15" customHeight="1">
      <c r="A72" s="17"/>
      <c r="B72" s="17"/>
      <c r="C72" s="17"/>
      <c r="D72" s="17"/>
      <c r="E72" s="17"/>
      <c r="F72" s="17"/>
      <c r="G72" s="5"/>
      <c r="H72" s="17"/>
      <c r="I72" s="81"/>
      <c r="J72" s="17"/>
      <c r="K72" s="17"/>
      <c r="L72" s="17"/>
      <c r="M72" s="17"/>
      <c r="N72" s="17"/>
      <c r="O72" s="17"/>
      <c r="P72" s="6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</row>
    <row r="73" spans="1:50" ht="13.15">
      <c r="A73"/>
      <c r="B73" s="17"/>
      <c r="C73" s="17"/>
      <c r="D73" s="17"/>
      <c r="E73" s="17" t="s">
        <v>182</v>
      </c>
      <c r="F73" s="17"/>
      <c r="G73" s="5" t="s">
        <v>118</v>
      </c>
      <c r="H73" s="17"/>
      <c r="I73" s="103">
        <v>0.3977</v>
      </c>
      <c r="J73" s="17"/>
      <c r="K73" s="17"/>
      <c r="L73" s="17"/>
      <c r="M73" s="17"/>
      <c r="N73" s="17"/>
      <c r="O73" s="17"/>
      <c r="P73" s="6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</row>
    <row r="74" spans="1:50" ht="13.15">
      <c r="A74"/>
      <c r="B74" s="17"/>
      <c r="C74" s="17"/>
      <c r="D74" s="17"/>
      <c r="E74" s="17" t="s">
        <v>183</v>
      </c>
      <c r="F74" s="17"/>
      <c r="G74" s="5" t="s">
        <v>118</v>
      </c>
      <c r="H74" s="17"/>
      <c r="I74" s="103">
        <v>0.5</v>
      </c>
      <c r="J74" s="17"/>
      <c r="K74" s="246"/>
      <c r="L74" s="17"/>
      <c r="M74" s="17"/>
      <c r="N74" s="17"/>
      <c r="O74" s="17"/>
      <c r="P74" s="6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</row>
    <row r="75" spans="1:50" ht="15" customHeight="1">
      <c r="A75" s="17"/>
      <c r="B75" s="17"/>
      <c r="C75" s="17"/>
      <c r="D75" s="17"/>
      <c r="E75" s="57"/>
      <c r="F75" s="17"/>
      <c r="G75" s="5"/>
      <c r="H75" s="17"/>
      <c r="I75" s="43"/>
      <c r="J75" s="17"/>
      <c r="K75" s="246"/>
      <c r="L75" s="17"/>
      <c r="M75" s="17"/>
      <c r="N75" s="17"/>
      <c r="O75" s="17"/>
      <c r="P75" s="6"/>
      <c r="Q75" s="6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</row>
    <row r="76" spans="1:50" ht="15" customHeight="1">
      <c r="A76" s="17"/>
      <c r="B76" s="17"/>
      <c r="C76" s="17"/>
      <c r="D76" s="17"/>
      <c r="E76" s="17" t="s">
        <v>184</v>
      </c>
      <c r="F76" s="17"/>
      <c r="G76" s="5" t="s">
        <v>118</v>
      </c>
      <c r="H76" s="17"/>
      <c r="I76" s="103">
        <v>0.05</v>
      </c>
      <c r="J76" s="17"/>
      <c r="K76" s="246"/>
      <c r="L76" s="17"/>
      <c r="M76" s="17"/>
      <c r="N76" s="17"/>
      <c r="O76" s="17"/>
      <c r="P76" s="6"/>
      <c r="Q76" s="6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</row>
    <row r="77" spans="1:50" ht="15" customHeight="1">
      <c r="A77" s="17"/>
      <c r="B77" s="17"/>
      <c r="C77" s="17"/>
      <c r="D77" s="17"/>
      <c r="E77" s="17" t="s">
        <v>185</v>
      </c>
      <c r="F77" s="17"/>
      <c r="G77" s="5" t="s">
        <v>118</v>
      </c>
      <c r="H77" s="17"/>
      <c r="I77" s="103">
        <v>2.5000000000000001E-2</v>
      </c>
      <c r="J77" s="17"/>
      <c r="K77" s="246"/>
      <c r="L77" s="17"/>
      <c r="M77" s="17"/>
      <c r="N77" s="17"/>
      <c r="O77" s="17"/>
      <c r="P77" s="6"/>
      <c r="Q77" s="6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</row>
    <row r="78" spans="1:50" ht="15" customHeight="1">
      <c r="A78" s="17"/>
      <c r="B78" s="17"/>
      <c r="C78" s="17"/>
      <c r="D78" s="17"/>
      <c r="E78" s="17"/>
      <c r="F78" s="17"/>
      <c r="G78" s="5"/>
      <c r="H78" s="17"/>
      <c r="I78" s="16"/>
      <c r="J78" s="17"/>
      <c r="K78" s="17"/>
      <c r="L78" s="17"/>
      <c r="M78" s="17"/>
      <c r="N78" s="17"/>
      <c r="O78" s="17"/>
      <c r="P78" s="6"/>
      <c r="Q78" s="6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</row>
    <row r="79" spans="1:50" ht="15" customHeight="1">
      <c r="A79" s="220"/>
      <c r="B79" s="5"/>
      <c r="C79" s="10" t="s">
        <v>186</v>
      </c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spans="1:50" ht="15" customHeight="1">
      <c r="A80" s="221"/>
    </row>
    <row r="81" spans="1:50" ht="26.25">
      <c r="A81" s="221"/>
      <c r="E81" s="4" t="s">
        <v>187</v>
      </c>
      <c r="G81" s="66" t="s">
        <v>188</v>
      </c>
      <c r="I81" s="165">
        <v>1</v>
      </c>
    </row>
    <row r="82" spans="1:50" ht="15" customHeight="1">
      <c r="A82" s="221"/>
      <c r="E82" s="4" t="s">
        <v>189</v>
      </c>
      <c r="G82" s="4" t="str">
        <f t="shared" ref="G82" si="86">CONCATENATE($I$9,"m nominal prices")</f>
        <v>£m nominal prices</v>
      </c>
      <c r="I82" s="199">
        <v>244.27546350326841</v>
      </c>
    </row>
    <row r="83" spans="1:50" ht="15" customHeight="1">
      <c r="A83" s="221"/>
      <c r="E83" s="4" t="s">
        <v>190</v>
      </c>
      <c r="G83" s="4" t="s">
        <v>118</v>
      </c>
      <c r="I83" s="202"/>
    </row>
    <row r="84" spans="1:50" ht="15" customHeight="1">
      <c r="A84" s="221"/>
    </row>
    <row r="85" spans="1:50" ht="15" customHeight="1">
      <c r="A85" s="221"/>
      <c r="E85" s="17" t="s">
        <v>191</v>
      </c>
      <c r="F85" s="17"/>
      <c r="G85" s="17" t="s">
        <v>192</v>
      </c>
      <c r="H85" s="17"/>
      <c r="I85" s="185">
        <v>22.591780821917808</v>
      </c>
    </row>
    <row r="86" spans="1:50" ht="15" customHeight="1">
      <c r="A86" s="221"/>
      <c r="E86" s="17" t="s">
        <v>193</v>
      </c>
      <c r="F86" s="17"/>
      <c r="G86" s="17" t="s">
        <v>192</v>
      </c>
      <c r="H86" s="17"/>
      <c r="I86" s="185">
        <v>0</v>
      </c>
    </row>
    <row r="87" spans="1:50" ht="15" customHeight="1">
      <c r="A87" s="221"/>
      <c r="E87" s="17" t="s">
        <v>194</v>
      </c>
      <c r="F87" s="17"/>
      <c r="G87" s="5" t="s">
        <v>195</v>
      </c>
      <c r="H87" s="17"/>
      <c r="I87" s="185">
        <v>1.2</v>
      </c>
    </row>
    <row r="88" spans="1:50" ht="15" customHeight="1">
      <c r="A88" s="221"/>
    </row>
    <row r="89" spans="1:50" ht="15" customHeight="1">
      <c r="A89" s="223"/>
      <c r="C89" s="17"/>
      <c r="D89" s="17"/>
      <c r="E89" s="17" t="s">
        <v>196</v>
      </c>
      <c r="F89" s="17"/>
      <c r="G89" s="5" t="s">
        <v>197</v>
      </c>
      <c r="H89" s="17"/>
      <c r="I89" s="103">
        <v>1.3143521893981167E-2</v>
      </c>
      <c r="J89" s="17"/>
      <c r="K89" s="17"/>
      <c r="L89" s="17"/>
      <c r="M89" s="17"/>
      <c r="N89" s="17"/>
      <c r="O89" s="17"/>
      <c r="P89" s="6"/>
      <c r="Q89" s="6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17"/>
    </row>
    <row r="90" spans="1:50" ht="15" customHeight="1">
      <c r="A90" s="223"/>
      <c r="C90" s="17"/>
      <c r="D90" s="17"/>
      <c r="E90" s="17" t="s">
        <v>198</v>
      </c>
      <c r="F90" s="17"/>
      <c r="G90" s="5" t="s">
        <v>197</v>
      </c>
      <c r="H90" s="17"/>
      <c r="I90" s="103">
        <v>1.3010779504157978E-2</v>
      </c>
      <c r="J90" s="17"/>
      <c r="K90" s="17"/>
      <c r="L90" s="17"/>
      <c r="M90" s="17"/>
      <c r="N90" s="17"/>
      <c r="O90" s="17"/>
      <c r="P90" s="6"/>
      <c r="Q90" s="6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17"/>
    </row>
    <row r="91" spans="1:50" ht="15" customHeight="1">
      <c r="A91" s="223"/>
      <c r="C91" s="17"/>
      <c r="D91" s="17"/>
      <c r="E91" s="17"/>
      <c r="F91" s="17"/>
      <c r="G91" s="17"/>
      <c r="H91" s="17"/>
      <c r="I91" s="62"/>
      <c r="J91" s="17"/>
      <c r="K91" s="78"/>
      <c r="L91" s="78"/>
      <c r="M91" s="78"/>
      <c r="N91" s="78"/>
      <c r="O91" s="78"/>
      <c r="P91" s="78"/>
      <c r="Q91" s="78"/>
      <c r="R91" s="78"/>
      <c r="S91" s="78"/>
      <c r="T91" s="78"/>
      <c r="U91" s="78"/>
      <c r="V91" s="78"/>
      <c r="W91" s="78"/>
      <c r="X91" s="78"/>
      <c r="Y91" s="78"/>
      <c r="Z91" s="78"/>
      <c r="AA91" s="78"/>
      <c r="AB91" s="78"/>
      <c r="AC91" s="78"/>
      <c r="AD91" s="78"/>
      <c r="AE91" s="78"/>
      <c r="AF91" s="78"/>
      <c r="AG91" s="78"/>
      <c r="AH91" s="78"/>
      <c r="AI91" s="78"/>
      <c r="AJ91" s="78"/>
      <c r="AK91" s="78"/>
      <c r="AL91" s="78"/>
      <c r="AM91" s="78"/>
      <c r="AN91" s="78"/>
      <c r="AO91" s="78"/>
      <c r="AP91" s="78"/>
      <c r="AQ91" s="78"/>
      <c r="AR91" s="78"/>
      <c r="AS91" s="78"/>
      <c r="AT91" s="78"/>
      <c r="AU91" s="78"/>
      <c r="AV91" s="78"/>
      <c r="AW91" s="78"/>
      <c r="AX91" s="78"/>
    </row>
    <row r="92" spans="1:50" ht="15" customHeight="1">
      <c r="A92" s="221"/>
      <c r="E92" s="17" t="s">
        <v>199</v>
      </c>
      <c r="F92" s="17"/>
      <c r="G92" s="5" t="s">
        <v>197</v>
      </c>
      <c r="H92" s="17"/>
      <c r="I92" s="103">
        <v>1.7704500000000001E-2</v>
      </c>
    </row>
    <row r="93" spans="1:50" ht="15" customHeight="1">
      <c r="A93" s="221"/>
      <c r="E93" s="52" t="s">
        <v>200</v>
      </c>
      <c r="F93" s="52"/>
      <c r="G93" s="187" t="s">
        <v>197</v>
      </c>
      <c r="H93" s="52"/>
      <c r="I93" s="203">
        <v>1.7044999999999999E-3</v>
      </c>
    </row>
    <row r="94" spans="1:50" ht="15" customHeight="1">
      <c r="A94" s="222"/>
      <c r="B94"/>
      <c r="C94"/>
      <c r="D94"/>
      <c r="E94" s="17" t="s">
        <v>201</v>
      </c>
      <c r="G94" s="5" t="s">
        <v>197</v>
      </c>
      <c r="H94" s="17"/>
      <c r="I94" s="103">
        <v>1.4E-2</v>
      </c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</row>
    <row r="95" spans="1:50" ht="15" customHeight="1">
      <c r="A95" s="223"/>
      <c r="B95" s="17"/>
      <c r="C95" s="17"/>
      <c r="D95" s="17"/>
      <c r="E95" s="17" t="s">
        <v>202</v>
      </c>
      <c r="F95" s="17"/>
      <c r="G95" s="5" t="s">
        <v>203</v>
      </c>
      <c r="H95" s="17"/>
      <c r="I95" s="103">
        <v>0.35</v>
      </c>
      <c r="J95" s="17"/>
      <c r="K95" s="17"/>
      <c r="L95" s="17"/>
      <c r="M95" s="17"/>
      <c r="N95" s="17"/>
      <c r="O95" s="17"/>
      <c r="P95" s="6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17"/>
    </row>
    <row r="96" spans="1:50" ht="15" customHeight="1">
      <c r="A96" s="223"/>
      <c r="B96" s="17"/>
      <c r="C96" s="17"/>
      <c r="D96" s="17"/>
      <c r="E96" s="17"/>
      <c r="F96" s="17"/>
      <c r="G96" s="5"/>
      <c r="H96" s="17"/>
      <c r="I96" s="81"/>
      <c r="J96" s="17"/>
      <c r="K96" s="17"/>
      <c r="L96" s="17"/>
      <c r="M96" s="17"/>
      <c r="N96" s="17"/>
      <c r="O96" s="17"/>
      <c r="P96" s="6"/>
      <c r="Q96" s="17"/>
      <c r="R96" s="17"/>
      <c r="S96" s="17"/>
      <c r="T96" s="17"/>
      <c r="U96"/>
      <c r="V96"/>
      <c r="W96"/>
      <c r="X96"/>
      <c r="Y96"/>
      <c r="Z96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17"/>
    </row>
    <row r="97" spans="1:50" ht="15" customHeight="1">
      <c r="A97" s="223"/>
      <c r="B97" s="17"/>
      <c r="C97" s="17"/>
      <c r="D97" s="17"/>
      <c r="E97" s="17" t="s">
        <v>204</v>
      </c>
      <c r="F97" s="17"/>
      <c r="G97" s="5" t="s">
        <v>205</v>
      </c>
      <c r="H97" s="17"/>
      <c r="I97" s="81"/>
      <c r="J97" s="17"/>
      <c r="K97" s="196">
        <v>1</v>
      </c>
      <c r="L97" s="196">
        <v>2</v>
      </c>
      <c r="M97" s="196">
        <v>3</v>
      </c>
      <c r="N97" s="196">
        <v>4</v>
      </c>
      <c r="O97" s="196">
        <v>5</v>
      </c>
      <c r="P97" s="196">
        <v>6</v>
      </c>
      <c r="Q97" s="196">
        <v>7</v>
      </c>
      <c r="R97" s="196">
        <v>8</v>
      </c>
      <c r="S97" s="196">
        <v>9</v>
      </c>
      <c r="T97" s="196">
        <v>10</v>
      </c>
      <c r="U97"/>
      <c r="V97"/>
      <c r="W97"/>
      <c r="X97"/>
      <c r="Y97"/>
      <c r="Z9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</row>
    <row r="98" spans="1:50" ht="15" customHeight="1">
      <c r="A98" s="223"/>
      <c r="B98" s="17"/>
      <c r="C98" s="17"/>
      <c r="D98" s="17"/>
      <c r="E98" s="17" t="s">
        <v>206</v>
      </c>
      <c r="F98" s="17"/>
      <c r="G98" s="5" t="s">
        <v>118</v>
      </c>
      <c r="H98" s="17"/>
      <c r="I98" s="81"/>
      <c r="J98" s="17"/>
      <c r="K98" s="103">
        <v>0.50574215483891483</v>
      </c>
      <c r="L98" s="103">
        <v>0.49425784516108517</v>
      </c>
      <c r="M98" s="103">
        <v>0</v>
      </c>
      <c r="N98" s="103">
        <v>0</v>
      </c>
      <c r="O98" s="103">
        <v>0</v>
      </c>
      <c r="P98" s="103">
        <v>0</v>
      </c>
      <c r="Q98" s="103">
        <v>0</v>
      </c>
      <c r="R98" s="103">
        <v>0</v>
      </c>
      <c r="S98" s="103">
        <v>0</v>
      </c>
      <c r="T98" s="103">
        <v>0</v>
      </c>
      <c r="U98"/>
      <c r="V98"/>
      <c r="W98"/>
      <c r="X98"/>
      <c r="Y98"/>
      <c r="Z98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</row>
    <row r="99" spans="1:50" ht="15" customHeight="1">
      <c r="A99" s="222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</row>
    <row r="100" spans="1:50" ht="15" customHeight="1">
      <c r="A100" s="223"/>
      <c r="E100" s="5" t="s">
        <v>207</v>
      </c>
      <c r="F100" s="17"/>
      <c r="G100" s="4" t="str">
        <f t="shared" ref="G100" si="87">CONCATENATE($I$9,"m nominal prices")</f>
        <v>£m nominal prices</v>
      </c>
      <c r="H100" s="17"/>
      <c r="I100" s="249">
        <v>8.7884366946588557</v>
      </c>
      <c r="U100"/>
      <c r="V100"/>
      <c r="W100"/>
      <c r="X100"/>
      <c r="Y100"/>
      <c r="Z100"/>
    </row>
    <row r="101" spans="1:50" ht="15" customHeight="1">
      <c r="A101" s="222"/>
      <c r="B101"/>
      <c r="C101"/>
      <c r="D101"/>
      <c r="E101" s="17" t="s">
        <v>208</v>
      </c>
      <c r="F101" s="17"/>
      <c r="G101" s="5" t="s">
        <v>197</v>
      </c>
      <c r="H101" s="17"/>
      <c r="I101" s="103">
        <v>1.4E-2</v>
      </c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</row>
    <row r="102" spans="1:50" ht="15" customHeight="1">
      <c r="A102" s="222"/>
      <c r="B102"/>
      <c r="C102"/>
      <c r="D102"/>
      <c r="E102" s="17" t="s">
        <v>209</v>
      </c>
      <c r="F102" s="17"/>
      <c r="G102" s="5" t="s">
        <v>197</v>
      </c>
      <c r="H102" s="17"/>
      <c r="I102" s="103">
        <v>1.6012036458399354E-2</v>
      </c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</row>
    <row r="103" spans="1:50" ht="15" customHeight="1">
      <c r="A103" s="223"/>
      <c r="B103" s="17"/>
      <c r="C103" s="17"/>
      <c r="D103" s="17"/>
      <c r="E103" s="17" t="s">
        <v>210</v>
      </c>
      <c r="F103" s="17"/>
      <c r="G103" s="5" t="s">
        <v>203</v>
      </c>
      <c r="H103" s="17"/>
      <c r="I103" s="103">
        <v>0.35</v>
      </c>
      <c r="J103" s="17"/>
      <c r="K103" s="17"/>
      <c r="L103" s="17"/>
      <c r="M103" s="17"/>
      <c r="N103" s="17"/>
      <c r="O103" s="17"/>
      <c r="P103" s="6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</row>
    <row r="104" spans="1:50" ht="15" customHeight="1">
      <c r="A104" s="222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</row>
    <row r="105" spans="1:50" ht="15" customHeight="1">
      <c r="A105" s="223"/>
      <c r="E105" s="5" t="s">
        <v>211</v>
      </c>
      <c r="F105" s="17"/>
      <c r="G105" s="4" t="str">
        <f t="shared" ref="G105:G106" si="88">CONCATENATE($I$9,"m nominal prices")</f>
        <v>£m nominal prices</v>
      </c>
      <c r="H105" s="17"/>
      <c r="I105" s="249">
        <v>23.221091736647139</v>
      </c>
    </row>
    <row r="106" spans="1:50" ht="14.25" customHeight="1">
      <c r="A106" s="223"/>
      <c r="B106" s="27"/>
      <c r="C106" s="27"/>
      <c r="E106" s="5" t="s">
        <v>212</v>
      </c>
      <c r="F106" s="17"/>
      <c r="G106" s="4" t="str">
        <f t="shared" si="88"/>
        <v>£m nominal prices</v>
      </c>
      <c r="H106" s="17"/>
      <c r="I106" s="165">
        <v>0</v>
      </c>
    </row>
    <row r="107" spans="1:50" ht="15" customHeight="1">
      <c r="A107" s="222"/>
      <c r="B107"/>
      <c r="C107"/>
      <c r="D107"/>
      <c r="E107" s="17" t="s">
        <v>213</v>
      </c>
      <c r="F107" s="17"/>
      <c r="G107" s="5" t="s">
        <v>197</v>
      </c>
      <c r="H107" s="17"/>
      <c r="I107" s="103">
        <v>1.4E-2</v>
      </c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</row>
    <row r="108" spans="1:50" ht="15" customHeight="1">
      <c r="A108" s="222"/>
      <c r="B108"/>
      <c r="C108"/>
      <c r="D108"/>
      <c r="E108" s="17" t="s">
        <v>214</v>
      </c>
      <c r="F108" s="17"/>
      <c r="G108" s="5" t="s">
        <v>197</v>
      </c>
      <c r="H108" s="17"/>
      <c r="I108" s="103">
        <v>1.6038303717231035E-2</v>
      </c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</row>
    <row r="109" spans="1:50" ht="15" customHeight="1">
      <c r="A109" s="223"/>
      <c r="B109" s="17"/>
      <c r="C109" s="17"/>
      <c r="D109" s="17"/>
      <c r="E109" s="17" t="s">
        <v>215</v>
      </c>
      <c r="F109" s="17"/>
      <c r="G109" s="5" t="s">
        <v>203</v>
      </c>
      <c r="H109" s="17"/>
      <c r="I109" s="103">
        <v>0.35</v>
      </c>
      <c r="J109" s="17"/>
      <c r="K109" s="17"/>
      <c r="L109" s="17"/>
      <c r="M109" s="17"/>
      <c r="N109" s="17"/>
      <c r="O109" s="17"/>
      <c r="P109" s="6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</row>
    <row r="110" spans="1:50" ht="15" customHeight="1">
      <c r="A110" s="222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</row>
    <row r="111" spans="1:50" ht="15" customHeight="1">
      <c r="A111" s="222"/>
      <c r="B111"/>
      <c r="C111"/>
      <c r="D111"/>
      <c r="E111" s="5" t="s">
        <v>216</v>
      </c>
      <c r="F111" s="17"/>
      <c r="G111" s="4" t="str">
        <f t="shared" ref="G111" si="89">CONCATENATE($I$9,"m nominal prices")</f>
        <v>£m nominal prices</v>
      </c>
      <c r="H111" s="17"/>
      <c r="I111" s="249">
        <v>0</v>
      </c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</row>
    <row r="112" spans="1:50" ht="15" customHeight="1">
      <c r="A112" s="222"/>
      <c r="B112"/>
      <c r="C112"/>
      <c r="D112"/>
      <c r="E112" s="17" t="s">
        <v>217</v>
      </c>
      <c r="F112" s="17"/>
      <c r="G112" s="5" t="s">
        <v>197</v>
      </c>
      <c r="H112" s="17"/>
      <c r="I112" s="103">
        <v>1.4E-2</v>
      </c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</row>
    <row r="113" spans="1:50" ht="15" customHeight="1">
      <c r="A113" s="222"/>
      <c r="B113"/>
      <c r="C113"/>
      <c r="D113"/>
      <c r="E113" s="17" t="s">
        <v>218</v>
      </c>
      <c r="F113" s="17"/>
      <c r="G113" s="5" t="s">
        <v>197</v>
      </c>
      <c r="H113" s="17"/>
      <c r="I113" s="103">
        <v>1.6E-2</v>
      </c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</row>
    <row r="114" spans="1:50" ht="15" customHeight="1">
      <c r="A114" s="222"/>
      <c r="B114"/>
      <c r="C114"/>
      <c r="D114"/>
      <c r="E114" s="17" t="s">
        <v>219</v>
      </c>
      <c r="F114" s="17"/>
      <c r="G114" s="5" t="s">
        <v>203</v>
      </c>
      <c r="H114" s="17"/>
      <c r="I114" s="103">
        <v>0.35</v>
      </c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</row>
    <row r="115" spans="1:50" ht="15" customHeight="1">
      <c r="A115" s="222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</row>
    <row r="116" spans="1:50" ht="15" customHeight="1">
      <c r="A116" s="222"/>
      <c r="B116"/>
      <c r="C116"/>
      <c r="D116"/>
      <c r="E116" s="17" t="s">
        <v>220</v>
      </c>
      <c r="F116" s="17"/>
      <c r="G116" s="4" t="str">
        <f t="shared" ref="G116:G117" si="90">CONCATENATE($I$9,"m nominal prices")</f>
        <v>£m nominal prices</v>
      </c>
      <c r="H116" s="17"/>
      <c r="I116" s="249">
        <v>0.46442183473294274</v>
      </c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</row>
    <row r="117" spans="1:50" ht="15" customHeight="1">
      <c r="A117" s="222"/>
      <c r="B117"/>
      <c r="C117"/>
      <c r="D117"/>
      <c r="E117" s="17" t="s">
        <v>221</v>
      </c>
      <c r="F117" s="17"/>
      <c r="G117" s="4" t="str">
        <f t="shared" si="90"/>
        <v>£m nominal prices</v>
      </c>
      <c r="H117" s="17"/>
      <c r="I117" s="249">
        <v>0.19181378568180549</v>
      </c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</row>
    <row r="118" spans="1:50" ht="15" customHeight="1">
      <c r="A118" s="222"/>
      <c r="B118"/>
      <c r="C118"/>
      <c r="D118"/>
      <c r="E118" s="17" t="s">
        <v>222</v>
      </c>
      <c r="F118" s="17"/>
      <c r="G118" s="5" t="s">
        <v>197</v>
      </c>
      <c r="H118" s="17"/>
      <c r="I118" s="237">
        <v>1.2999999999999999E-2</v>
      </c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</row>
    <row r="119" spans="1:50" ht="15" customHeight="1">
      <c r="A119" s="222"/>
      <c r="B119"/>
      <c r="C119"/>
      <c r="D119"/>
      <c r="E119" s="17" t="s">
        <v>223</v>
      </c>
      <c r="F119" s="17"/>
      <c r="G119" s="5" t="s">
        <v>197</v>
      </c>
      <c r="H119" s="17"/>
      <c r="I119" s="237">
        <v>1.2500000000000001E-2</v>
      </c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</row>
    <row r="120" spans="1:50" ht="15" customHeight="1">
      <c r="A120" s="222"/>
      <c r="B120"/>
      <c r="C120"/>
      <c r="D120"/>
      <c r="E120" s="17" t="s">
        <v>224</v>
      </c>
      <c r="F120" s="17"/>
      <c r="G120" s="5" t="s">
        <v>203</v>
      </c>
      <c r="H120" s="17"/>
      <c r="I120" s="237">
        <v>0.35</v>
      </c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</row>
    <row r="121" spans="1:50" ht="15" customHeight="1">
      <c r="A121" s="222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</row>
    <row r="122" spans="1:50" ht="15" customHeight="1">
      <c r="A122" s="222"/>
      <c r="B122"/>
      <c r="C122"/>
      <c r="D122"/>
      <c r="E122" s="5" t="s">
        <v>225</v>
      </c>
      <c r="F122" s="17"/>
      <c r="G122" s="4" t="str">
        <f t="shared" ref="G122" si="91">CONCATENATE($I$9,"m nominal prices")</f>
        <v>£m nominal prices</v>
      </c>
      <c r="H122" s="17"/>
      <c r="I122" s="165">
        <v>12.5</v>
      </c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</row>
    <row r="123" spans="1:50" ht="15" customHeight="1">
      <c r="A123" s="222"/>
      <c r="B123"/>
      <c r="C123"/>
      <c r="D123"/>
      <c r="E123" s="17" t="s">
        <v>226</v>
      </c>
      <c r="F123" s="17"/>
      <c r="G123" s="5" t="s">
        <v>197</v>
      </c>
      <c r="H123" s="17"/>
      <c r="I123" s="103">
        <v>1.4E-2</v>
      </c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</row>
    <row r="124" spans="1:50" ht="15" customHeight="1">
      <c r="A124" s="222"/>
      <c r="B124"/>
      <c r="C124"/>
      <c r="D124"/>
      <c r="E124" s="17" t="s">
        <v>227</v>
      </c>
      <c r="F124" s="17"/>
      <c r="G124" s="5" t="s">
        <v>197</v>
      </c>
      <c r="H124" s="17"/>
      <c r="I124" s="103">
        <v>1.6500000000000001E-2</v>
      </c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</row>
    <row r="125" spans="1:50" ht="15" customHeight="1">
      <c r="A125" s="222"/>
      <c r="B125"/>
      <c r="C125"/>
      <c r="D125"/>
      <c r="E125" s="17" t="s">
        <v>228</v>
      </c>
      <c r="F125" s="17"/>
      <c r="G125" s="5" t="s">
        <v>203</v>
      </c>
      <c r="H125" s="17"/>
      <c r="I125" s="103">
        <v>0.35</v>
      </c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</row>
    <row r="126" spans="1:50" ht="15" customHeight="1">
      <c r="A126" s="222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</row>
    <row r="127" spans="1:50" ht="26.25">
      <c r="A127" s="222"/>
      <c r="B127"/>
      <c r="C127"/>
      <c r="D127"/>
      <c r="E127" s="17" t="s">
        <v>229</v>
      </c>
      <c r="F127" s="17"/>
      <c r="G127" s="66" t="s">
        <v>230</v>
      </c>
      <c r="H127" s="17"/>
      <c r="I127" s="165">
        <v>1</v>
      </c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</row>
    <row r="128" spans="1:50" ht="26.25">
      <c r="A128" s="222"/>
      <c r="B128"/>
      <c r="C128"/>
      <c r="D128"/>
      <c r="E128" s="17" t="s">
        <v>231</v>
      </c>
      <c r="F128" s="17"/>
      <c r="G128" s="65" t="s">
        <v>232</v>
      </c>
      <c r="H128" s="17"/>
      <c r="I128" s="165">
        <v>2</v>
      </c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</row>
    <row r="129" spans="1:50" ht="15" customHeight="1">
      <c r="A129" s="222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</row>
    <row r="130" spans="1:50" ht="15" customHeight="1">
      <c r="A130" s="70"/>
      <c r="B130" s="70"/>
      <c r="C130" s="70"/>
      <c r="D130" s="70"/>
      <c r="E130" s="8" t="s">
        <v>126</v>
      </c>
      <c r="F130" s="72"/>
      <c r="G130" s="72"/>
      <c r="H130" s="72"/>
      <c r="I130" s="72"/>
      <c r="J130" s="71"/>
      <c r="K130" s="163">
        <f>$I$148</f>
        <v>41275</v>
      </c>
      <c r="L130" s="9">
        <f>+K131+1</f>
        <v>41640</v>
      </c>
      <c r="M130" s="9">
        <f>+L131+1</f>
        <v>42005</v>
      </c>
      <c r="N130" s="9">
        <f t="shared" ref="N130" si="92">+M131+1</f>
        <v>42370</v>
      </c>
      <c r="O130" s="9">
        <f t="shared" ref="O130" si="93">+N131+1</f>
        <v>42736</v>
      </c>
      <c r="P130" s="9">
        <f>+O131+1</f>
        <v>43101</v>
      </c>
      <c r="Q130" s="9">
        <f t="shared" ref="Q130" si="94">+P131+1</f>
        <v>43466</v>
      </c>
      <c r="R130" s="9">
        <f t="shared" ref="R130" si="95">+Q131+1</f>
        <v>43831</v>
      </c>
      <c r="S130" s="9">
        <f t="shared" ref="S130" si="96">+R131+1</f>
        <v>44197</v>
      </c>
      <c r="T130" s="9">
        <f t="shared" ref="T130" si="97">+S131+1</f>
        <v>44562</v>
      </c>
      <c r="U130" s="9">
        <f>+T131+1</f>
        <v>44927</v>
      </c>
      <c r="V130" s="9">
        <f t="shared" ref="V130" si="98">+U131+1</f>
        <v>45292</v>
      </c>
      <c r="W130" s="9">
        <f t="shared" ref="W130" si="99">+V131+1</f>
        <v>45658</v>
      </c>
      <c r="X130" s="9">
        <f t="shared" ref="X130" si="100">+W131+1</f>
        <v>46023</v>
      </c>
      <c r="Y130" s="9">
        <f t="shared" ref="Y130" si="101">+X131+1</f>
        <v>46388</v>
      </c>
      <c r="Z130" s="9">
        <f t="shared" ref="Z130" si="102">+Y131+1</f>
        <v>46753</v>
      </c>
      <c r="AA130" s="9">
        <f t="shared" ref="AA130" si="103">+Z131+1</f>
        <v>47119</v>
      </c>
      <c r="AB130" s="9">
        <f t="shared" ref="AB130" si="104">+AA131+1</f>
        <v>47484</v>
      </c>
      <c r="AC130" s="9">
        <f t="shared" ref="AC130" si="105">+AB131+1</f>
        <v>47849</v>
      </c>
      <c r="AD130" s="9">
        <f t="shared" ref="AD130" si="106">+AC131+1</f>
        <v>48214</v>
      </c>
      <c r="AE130" s="9">
        <f t="shared" ref="AE130" si="107">+AD131+1</f>
        <v>48580</v>
      </c>
      <c r="AF130" s="9">
        <f t="shared" ref="AF130" si="108">+AE131+1</f>
        <v>48945</v>
      </c>
      <c r="AG130" s="9">
        <f t="shared" ref="AG130" si="109">+AF131+1</f>
        <v>49310</v>
      </c>
      <c r="AH130" s="9">
        <f t="shared" ref="AH130" si="110">+AG131+1</f>
        <v>49675</v>
      </c>
      <c r="AI130" s="9">
        <f t="shared" ref="AI130" si="111">+AH131+1</f>
        <v>50041</v>
      </c>
      <c r="AJ130" s="9">
        <f t="shared" ref="AJ130" si="112">+AI131+1</f>
        <v>50406</v>
      </c>
      <c r="AK130" s="9">
        <f t="shared" ref="AK130" si="113">+AJ131+1</f>
        <v>50771</v>
      </c>
      <c r="AL130" s="9">
        <f t="shared" ref="AL130" si="114">+AK131+1</f>
        <v>51136</v>
      </c>
      <c r="AM130" s="9">
        <f t="shared" ref="AM130" si="115">+AL131+1</f>
        <v>51502</v>
      </c>
      <c r="AN130" s="9">
        <f t="shared" ref="AN130" si="116">+AM131+1</f>
        <v>51867</v>
      </c>
      <c r="AO130" s="9">
        <f t="shared" ref="AO130" si="117">+AN131+1</f>
        <v>52232</v>
      </c>
      <c r="AP130" s="9">
        <f t="shared" ref="AP130" si="118">+AO131+1</f>
        <v>52597</v>
      </c>
      <c r="AQ130" s="9">
        <f t="shared" ref="AQ130" si="119">+AP131+1</f>
        <v>52963</v>
      </c>
      <c r="AR130" s="9">
        <f t="shared" ref="AR130" si="120">+AQ131+1</f>
        <v>53328</v>
      </c>
      <c r="AS130" s="9">
        <f t="shared" ref="AS130" si="121">+AR131+1</f>
        <v>53693</v>
      </c>
      <c r="AT130" s="9">
        <f t="shared" ref="AT130" si="122">+AS131+1</f>
        <v>54058</v>
      </c>
      <c r="AU130" s="9">
        <f t="shared" ref="AU130" si="123">+AT131+1</f>
        <v>54424</v>
      </c>
      <c r="AV130" s="9">
        <f t="shared" ref="AV130" si="124">+AU131+1</f>
        <v>54789</v>
      </c>
      <c r="AW130" s="9">
        <f t="shared" ref="AW130" si="125">+AV131+1</f>
        <v>55154</v>
      </c>
      <c r="AX130" s="9">
        <f t="shared" ref="AX130" si="126">+AW131+1</f>
        <v>55519</v>
      </c>
    </row>
    <row r="131" spans="1:50" ht="15" customHeight="1">
      <c r="A131" s="73"/>
      <c r="B131" s="73"/>
      <c r="C131" s="73"/>
      <c r="D131" s="73"/>
      <c r="E131" s="8" t="s">
        <v>127</v>
      </c>
      <c r="F131" s="73"/>
      <c r="G131" s="73"/>
      <c r="H131" s="73"/>
      <c r="I131" s="74"/>
      <c r="J131" s="73"/>
      <c r="K131" s="163">
        <f>EOMONTH(K130,11)</f>
        <v>41639</v>
      </c>
      <c r="L131" s="9">
        <f t="shared" ref="L131" si="127">DATE(YEAR(K131) + 1, MONTH(K131), DAY(K131))</f>
        <v>42004</v>
      </c>
      <c r="M131" s="9">
        <f t="shared" ref="M131" si="128">DATE(YEAR(L131) + 1, MONTH(L131), DAY(L131))</f>
        <v>42369</v>
      </c>
      <c r="N131" s="9">
        <f t="shared" ref="N131" si="129">DATE(YEAR(M131) + 1, MONTH(M131), DAY(M131))</f>
        <v>42735</v>
      </c>
      <c r="O131" s="9">
        <f t="shared" ref="O131" si="130">DATE(YEAR(N131) + 1, MONTH(N131), DAY(N131))</f>
        <v>43100</v>
      </c>
      <c r="P131" s="9">
        <f t="shared" ref="P131" si="131">DATE(YEAR(O131) + 1, MONTH(O131), DAY(O131))</f>
        <v>43465</v>
      </c>
      <c r="Q131" s="9">
        <f t="shared" ref="Q131" si="132">DATE(YEAR(P131) + 1, MONTH(P131), DAY(P131))</f>
        <v>43830</v>
      </c>
      <c r="R131" s="9">
        <f t="shared" ref="R131" si="133">DATE(YEAR(Q131) + 1, MONTH(Q131), DAY(Q131))</f>
        <v>44196</v>
      </c>
      <c r="S131" s="9">
        <f t="shared" ref="S131" si="134">DATE(YEAR(R131) + 1, MONTH(R131), DAY(R131))</f>
        <v>44561</v>
      </c>
      <c r="T131" s="9">
        <f t="shared" ref="T131" si="135">DATE(YEAR(S131) + 1, MONTH(S131), DAY(S131))</f>
        <v>44926</v>
      </c>
      <c r="U131" s="9">
        <f t="shared" ref="U131" si="136">DATE(YEAR(T131) + 1, MONTH(T131), DAY(T131))</f>
        <v>45291</v>
      </c>
      <c r="V131" s="9">
        <f t="shared" ref="V131" si="137">DATE(YEAR(U131) + 1, MONTH(U131), DAY(U131))</f>
        <v>45657</v>
      </c>
      <c r="W131" s="9">
        <f t="shared" ref="W131" si="138">DATE(YEAR(V131) + 1, MONTH(V131), DAY(V131))</f>
        <v>46022</v>
      </c>
      <c r="X131" s="9">
        <f t="shared" ref="X131" si="139">DATE(YEAR(W131) + 1, MONTH(W131), DAY(W131))</f>
        <v>46387</v>
      </c>
      <c r="Y131" s="9">
        <f t="shared" ref="Y131" si="140">DATE(YEAR(X131) + 1, MONTH(X131), DAY(X131))</f>
        <v>46752</v>
      </c>
      <c r="Z131" s="9">
        <f t="shared" ref="Z131" si="141">DATE(YEAR(Y131) + 1, MONTH(Y131), DAY(Y131))</f>
        <v>47118</v>
      </c>
      <c r="AA131" s="9">
        <f t="shared" ref="AA131" si="142">DATE(YEAR(Z131) + 1, MONTH(Z131), DAY(Z131))</f>
        <v>47483</v>
      </c>
      <c r="AB131" s="9">
        <f t="shared" ref="AB131" si="143">DATE(YEAR(AA131) + 1, MONTH(AA131), DAY(AA131))</f>
        <v>47848</v>
      </c>
      <c r="AC131" s="9">
        <f t="shared" ref="AC131" si="144">DATE(YEAR(AB131) + 1, MONTH(AB131), DAY(AB131))</f>
        <v>48213</v>
      </c>
      <c r="AD131" s="9">
        <f t="shared" ref="AD131" si="145">DATE(YEAR(AC131) + 1, MONTH(AC131), DAY(AC131))</f>
        <v>48579</v>
      </c>
      <c r="AE131" s="9">
        <f t="shared" ref="AE131" si="146">DATE(YEAR(AD131) + 1, MONTH(AD131), DAY(AD131))</f>
        <v>48944</v>
      </c>
      <c r="AF131" s="9">
        <f t="shared" ref="AF131" si="147">DATE(YEAR(AE131) + 1, MONTH(AE131), DAY(AE131))</f>
        <v>49309</v>
      </c>
      <c r="AG131" s="9">
        <f t="shared" ref="AG131" si="148">DATE(YEAR(AF131) + 1, MONTH(AF131), DAY(AF131))</f>
        <v>49674</v>
      </c>
      <c r="AH131" s="9">
        <f t="shared" ref="AH131" si="149">DATE(YEAR(AG131) + 1, MONTH(AG131), DAY(AG131))</f>
        <v>50040</v>
      </c>
      <c r="AI131" s="9">
        <f t="shared" ref="AI131" si="150">DATE(YEAR(AH131) + 1, MONTH(AH131), DAY(AH131))</f>
        <v>50405</v>
      </c>
      <c r="AJ131" s="9">
        <f t="shared" ref="AJ131" si="151">DATE(YEAR(AI131) + 1, MONTH(AI131), DAY(AI131))</f>
        <v>50770</v>
      </c>
      <c r="AK131" s="9">
        <f t="shared" ref="AK131" si="152">DATE(YEAR(AJ131) + 1, MONTH(AJ131), DAY(AJ131))</f>
        <v>51135</v>
      </c>
      <c r="AL131" s="9">
        <f t="shared" ref="AL131" si="153">DATE(YEAR(AK131) + 1, MONTH(AK131), DAY(AK131))</f>
        <v>51501</v>
      </c>
      <c r="AM131" s="9">
        <f t="shared" ref="AM131" si="154">DATE(YEAR(AL131) + 1, MONTH(AL131), DAY(AL131))</f>
        <v>51866</v>
      </c>
      <c r="AN131" s="9">
        <f t="shared" ref="AN131" si="155">DATE(YEAR(AM131) + 1, MONTH(AM131), DAY(AM131))</f>
        <v>52231</v>
      </c>
      <c r="AO131" s="9">
        <f t="shared" ref="AO131" si="156">DATE(YEAR(AN131) + 1, MONTH(AN131), DAY(AN131))</f>
        <v>52596</v>
      </c>
      <c r="AP131" s="9">
        <f t="shared" ref="AP131" si="157">DATE(YEAR(AO131) + 1, MONTH(AO131), DAY(AO131))</f>
        <v>52962</v>
      </c>
      <c r="AQ131" s="9">
        <f t="shared" ref="AQ131" si="158">DATE(YEAR(AP131) + 1, MONTH(AP131), DAY(AP131))</f>
        <v>53327</v>
      </c>
      <c r="AR131" s="9">
        <f t="shared" ref="AR131" si="159">DATE(YEAR(AQ131) + 1, MONTH(AQ131), DAY(AQ131))</f>
        <v>53692</v>
      </c>
      <c r="AS131" s="9">
        <f t="shared" ref="AS131" si="160">DATE(YEAR(AR131) + 1, MONTH(AR131), DAY(AR131))</f>
        <v>54057</v>
      </c>
      <c r="AT131" s="9">
        <f t="shared" ref="AT131" si="161">DATE(YEAR(AS131) + 1, MONTH(AS131), DAY(AS131))</f>
        <v>54423</v>
      </c>
      <c r="AU131" s="9">
        <f t="shared" ref="AU131" si="162">DATE(YEAR(AT131) + 1, MONTH(AT131), DAY(AT131))</f>
        <v>54788</v>
      </c>
      <c r="AV131" s="9">
        <f t="shared" ref="AV131" si="163">DATE(YEAR(AU131) + 1, MONTH(AU131), DAY(AU131))</f>
        <v>55153</v>
      </c>
      <c r="AW131" s="9">
        <f t="shared" ref="AW131" si="164">DATE(YEAR(AV131) + 1, MONTH(AV131), DAY(AV131))</f>
        <v>55518</v>
      </c>
      <c r="AX131" s="9">
        <f t="shared" ref="AX131" si="165">DATE(YEAR(AW131) + 1, MONTH(AW131), DAY(AW131))</f>
        <v>55884</v>
      </c>
    </row>
    <row r="132" spans="1:50" ht="15" customHeight="1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</row>
    <row r="133" spans="1:50" ht="15" customHeight="1">
      <c r="A133" s="224"/>
      <c r="B133" s="243"/>
      <c r="C133" s="40"/>
      <c r="D133" s="40"/>
      <c r="E133" s="17" t="s">
        <v>233</v>
      </c>
      <c r="F133" s="204"/>
      <c r="G133" s="5" t="s">
        <v>205</v>
      </c>
      <c r="H133" s="204"/>
      <c r="I133" s="204"/>
      <c r="J133" s="5"/>
      <c r="K133" s="238">
        <f>K171</f>
        <v>0</v>
      </c>
      <c r="L133" s="238">
        <f t="shared" ref="L133:AX133" si="166">L171</f>
        <v>0</v>
      </c>
      <c r="M133" s="238">
        <f t="shared" si="166"/>
        <v>0</v>
      </c>
      <c r="N133" s="238">
        <f t="shared" si="166"/>
        <v>0</v>
      </c>
      <c r="O133" s="238">
        <f t="shared" si="166"/>
        <v>0</v>
      </c>
      <c r="P133" s="238">
        <f t="shared" si="166"/>
        <v>0</v>
      </c>
      <c r="Q133" s="238">
        <f t="shared" si="166"/>
        <v>0</v>
      </c>
      <c r="R133" s="238">
        <f t="shared" si="166"/>
        <v>0</v>
      </c>
      <c r="S133" s="238">
        <f t="shared" si="166"/>
        <v>0</v>
      </c>
      <c r="T133" s="238">
        <f t="shared" si="166"/>
        <v>0</v>
      </c>
      <c r="U133" s="238">
        <f t="shared" si="166"/>
        <v>0</v>
      </c>
      <c r="V133" s="239">
        <f t="shared" si="166"/>
        <v>0</v>
      </c>
      <c r="W133" s="239">
        <f t="shared" si="166"/>
        <v>0.92054794520547945</v>
      </c>
      <c r="X133" s="239">
        <f t="shared" si="166"/>
        <v>1.9205479452054794</v>
      </c>
      <c r="Y133" s="239">
        <f t="shared" si="166"/>
        <v>2.9205479452054792</v>
      </c>
      <c r="Z133" s="239">
        <f t="shared" si="166"/>
        <v>3.9205479452054792</v>
      </c>
      <c r="AA133" s="239">
        <f t="shared" si="166"/>
        <v>4.9205479452054792</v>
      </c>
      <c r="AB133" s="239">
        <f t="shared" si="166"/>
        <v>5.9205479452054792</v>
      </c>
      <c r="AC133" s="239">
        <f t="shared" si="166"/>
        <v>6.9205479452054792</v>
      </c>
      <c r="AD133" s="239">
        <f t="shared" si="166"/>
        <v>7.9205479452054792</v>
      </c>
      <c r="AE133" s="239">
        <f t="shared" si="166"/>
        <v>8.9205479452054792</v>
      </c>
      <c r="AF133" s="239">
        <f t="shared" si="166"/>
        <v>9.9205479452054792</v>
      </c>
      <c r="AG133" s="239">
        <f t="shared" si="166"/>
        <v>10.920547945205479</v>
      </c>
      <c r="AH133" s="239">
        <f t="shared" si="166"/>
        <v>11.920547945205479</v>
      </c>
      <c r="AI133" s="239">
        <f t="shared" si="166"/>
        <v>12.920547945205479</v>
      </c>
      <c r="AJ133" s="239">
        <f t="shared" si="166"/>
        <v>13.920547945205479</v>
      </c>
      <c r="AK133" s="239">
        <f t="shared" si="166"/>
        <v>14.920547945205479</v>
      </c>
      <c r="AL133" s="239">
        <f t="shared" si="166"/>
        <v>15.920547945205479</v>
      </c>
      <c r="AM133" s="239">
        <f t="shared" si="166"/>
        <v>16.920547945205477</v>
      </c>
      <c r="AN133" s="239">
        <f t="shared" si="166"/>
        <v>17.920547945205477</v>
      </c>
      <c r="AO133" s="239">
        <f t="shared" si="166"/>
        <v>18.920547945205477</v>
      </c>
      <c r="AP133" s="239">
        <f t="shared" si="166"/>
        <v>19.920547945205477</v>
      </c>
      <c r="AQ133" s="238">
        <f t="shared" si="166"/>
        <v>20.920547945205477</v>
      </c>
      <c r="AR133" s="238">
        <f t="shared" si="166"/>
        <v>21.920547945205477</v>
      </c>
      <c r="AS133" s="238">
        <f t="shared" si="166"/>
        <v>22.586301369863012</v>
      </c>
      <c r="AT133" s="238">
        <f t="shared" si="166"/>
        <v>0</v>
      </c>
      <c r="AU133" s="238">
        <f t="shared" si="166"/>
        <v>0</v>
      </c>
      <c r="AV133" s="238">
        <f t="shared" si="166"/>
        <v>0</v>
      </c>
      <c r="AW133" s="238">
        <f t="shared" si="166"/>
        <v>0</v>
      </c>
      <c r="AX133" s="238">
        <f t="shared" si="166"/>
        <v>0</v>
      </c>
    </row>
    <row r="134" spans="1:50" ht="15" customHeight="1">
      <c r="A134" s="220"/>
      <c r="B134" s="5"/>
      <c r="C134" s="5"/>
      <c r="D134" s="5"/>
      <c r="E134" s="4" t="s">
        <v>234</v>
      </c>
      <c r="G134" s="5" t="s">
        <v>118</v>
      </c>
      <c r="H134" s="5"/>
      <c r="I134" s="5"/>
      <c r="J134" s="6"/>
      <c r="K134" s="103"/>
      <c r="L134" s="103"/>
      <c r="M134" s="103"/>
      <c r="N134" s="103"/>
      <c r="O134" s="103"/>
      <c r="P134" s="103"/>
      <c r="Q134" s="103"/>
      <c r="R134" s="103"/>
      <c r="S134" s="103"/>
      <c r="T134" s="103"/>
      <c r="U134" s="103"/>
      <c r="V134" s="103">
        <v>0</v>
      </c>
      <c r="W134" s="103">
        <v>1.9431121328306773E-2</v>
      </c>
      <c r="X134" s="103">
        <v>2.4375989173664295E-2</v>
      </c>
      <c r="Y134" s="103">
        <v>2.6046951464214492E-2</v>
      </c>
      <c r="Z134" s="103">
        <v>2.9582447236245708E-2</v>
      </c>
      <c r="AA134" s="103">
        <v>3.1383612779133763E-2</v>
      </c>
      <c r="AB134" s="103">
        <v>3.2017818622522634E-2</v>
      </c>
      <c r="AC134" s="103">
        <v>2.8014349840947063E-2</v>
      </c>
      <c r="AD134" s="103">
        <v>3.5801376475390639E-2</v>
      </c>
      <c r="AE134" s="103">
        <v>4.2356185642239044E-2</v>
      </c>
      <c r="AF134" s="103">
        <v>4.3990570739643263E-2</v>
      </c>
      <c r="AG134" s="103">
        <v>4.683001111051064E-2</v>
      </c>
      <c r="AH134" s="103">
        <v>4.6828414199576771E-2</v>
      </c>
      <c r="AI134" s="103">
        <v>5.2689369291696576E-2</v>
      </c>
      <c r="AJ134" s="103">
        <v>5.2068479294291738E-2</v>
      </c>
      <c r="AK134" s="103">
        <v>4.5739928343171157E-2</v>
      </c>
      <c r="AL134" s="103">
        <v>4.5877875113697966E-2</v>
      </c>
      <c r="AM134" s="103">
        <v>5.616076474181074E-2</v>
      </c>
      <c r="AN134" s="103">
        <v>5.7879677840293797E-2</v>
      </c>
      <c r="AO134" s="103">
        <v>6.2078161420472094E-2</v>
      </c>
      <c r="AP134" s="103">
        <v>6.278318854400268E-2</v>
      </c>
      <c r="AQ134" s="103">
        <v>6.8457160170738288E-2</v>
      </c>
      <c r="AR134" s="103">
        <v>6.978553203890249E-2</v>
      </c>
      <c r="AS134" s="103">
        <v>1.9821014588527457E-2</v>
      </c>
      <c r="AT134" s="103">
        <v>0</v>
      </c>
      <c r="AU134" s="103"/>
      <c r="AV134" s="103"/>
      <c r="AW134" s="103"/>
      <c r="AX134" s="103"/>
    </row>
    <row r="135" spans="1:50" ht="15" customHeight="1">
      <c r="A135" s="220"/>
      <c r="B135" s="5"/>
      <c r="C135" s="5"/>
      <c r="D135" s="5"/>
      <c r="E135" s="5"/>
      <c r="F135" s="5"/>
      <c r="G135" s="5"/>
      <c r="H135" s="5"/>
      <c r="I135" s="5"/>
      <c r="J135" s="6"/>
      <c r="K135" s="5"/>
      <c r="L135" s="5"/>
      <c r="M135" s="5"/>
      <c r="N135" s="5"/>
      <c r="O135" s="5"/>
      <c r="P135" s="6"/>
      <c r="Q135" s="6"/>
      <c r="R135" s="6"/>
      <c r="S135" s="5"/>
      <c r="T135" s="5"/>
      <c r="U135" s="5"/>
      <c r="V135" s="5"/>
      <c r="W135" s="5"/>
      <c r="X135" s="5"/>
      <c r="Y135" s="5"/>
      <c r="Z135" s="5"/>
      <c r="AA135" s="6"/>
      <c r="AB135" s="6"/>
      <c r="AC135" s="6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</row>
    <row r="136" spans="1:50" ht="15" customHeight="1">
      <c r="A136" s="220"/>
      <c r="B136" s="5"/>
      <c r="C136" s="5"/>
      <c r="D136" s="5"/>
      <c r="E136" s="4" t="s">
        <v>235</v>
      </c>
      <c r="G136" s="5" t="s">
        <v>197</v>
      </c>
      <c r="H136" s="5"/>
      <c r="I136" s="5"/>
      <c r="J136" s="6"/>
      <c r="K136" s="103"/>
      <c r="L136" s="103"/>
      <c r="M136" s="103"/>
      <c r="N136" s="103"/>
      <c r="O136" s="103"/>
      <c r="P136" s="103"/>
      <c r="Q136" s="103"/>
      <c r="R136" s="103"/>
      <c r="S136" s="103"/>
      <c r="T136" s="103"/>
      <c r="U136" s="103"/>
      <c r="V136" s="103">
        <v>1.62045E-2</v>
      </c>
      <c r="W136" s="103">
        <v>1.62045E-2</v>
      </c>
      <c r="X136" s="103">
        <v>1.62045E-2</v>
      </c>
      <c r="Y136" s="103">
        <v>1.62045E-2</v>
      </c>
      <c r="Z136" s="103">
        <v>1.62045E-2</v>
      </c>
      <c r="AA136" s="103">
        <v>1.6289199453551912E-2</v>
      </c>
      <c r="AB136" s="103">
        <v>1.7204500000000001E-2</v>
      </c>
      <c r="AC136" s="103">
        <v>1.7204500000000001E-2</v>
      </c>
      <c r="AD136" s="103">
        <v>1.7204500000000001E-2</v>
      </c>
      <c r="AE136" s="103">
        <v>1.7204500000000001E-2</v>
      </c>
      <c r="AF136" s="103">
        <v>1.7289199453551913E-2</v>
      </c>
      <c r="AG136" s="103">
        <v>1.8204500000000002E-2</v>
      </c>
      <c r="AH136" s="103">
        <v>1.8204500000000002E-2</v>
      </c>
      <c r="AI136" s="103">
        <v>1.8204500000000002E-2</v>
      </c>
      <c r="AJ136" s="103">
        <v>1.8204500000000002E-2</v>
      </c>
      <c r="AK136" s="103">
        <v>1.8289199453551914E-2</v>
      </c>
      <c r="AL136" s="103">
        <v>1.9204500000000003E-2</v>
      </c>
      <c r="AM136" s="103">
        <v>1.9204500000000003E-2</v>
      </c>
      <c r="AN136" s="103">
        <v>1.9204500000000003E-2</v>
      </c>
      <c r="AO136" s="103">
        <v>1.9204500000000003E-2</v>
      </c>
      <c r="AP136" s="103">
        <v>1.9289199453551915E-2</v>
      </c>
      <c r="AQ136" s="103">
        <v>2.02045E-2</v>
      </c>
      <c r="AR136" s="103">
        <v>2.02045E-2</v>
      </c>
      <c r="AS136" s="103">
        <v>2.02045E-2</v>
      </c>
      <c r="AT136" s="103">
        <v>0</v>
      </c>
      <c r="AU136" s="103"/>
      <c r="AV136" s="103"/>
      <c r="AW136" s="103"/>
      <c r="AX136" s="103"/>
    </row>
    <row r="137" spans="1:50" ht="15" customHeight="1">
      <c r="A137" s="220"/>
      <c r="B137" s="5"/>
      <c r="C137" s="5"/>
      <c r="D137" s="5"/>
      <c r="E137" s="4" t="s">
        <v>236</v>
      </c>
      <c r="G137" s="5" t="s">
        <v>197</v>
      </c>
      <c r="H137" s="5"/>
      <c r="I137" s="5"/>
      <c r="J137" s="6"/>
      <c r="K137" s="103"/>
      <c r="L137" s="103"/>
      <c r="M137" s="103"/>
      <c r="N137" s="103"/>
      <c r="O137" s="103"/>
      <c r="P137" s="103"/>
      <c r="Q137" s="103"/>
      <c r="R137" s="103"/>
      <c r="S137" s="103"/>
      <c r="T137" s="103"/>
      <c r="U137" s="103"/>
      <c r="V137" s="103">
        <v>1.451203645839935E-2</v>
      </c>
      <c r="W137" s="103">
        <v>1.451203645839935E-2</v>
      </c>
      <c r="X137" s="103">
        <v>1.451203645839935E-2</v>
      </c>
      <c r="Y137" s="103">
        <v>1.451203645839935E-2</v>
      </c>
      <c r="Z137" s="103">
        <v>1.451203645839935E-2</v>
      </c>
      <c r="AA137" s="103">
        <v>1.4596735911951262E-2</v>
      </c>
      <c r="AB137" s="103">
        <v>1.551203645839935E-2</v>
      </c>
      <c r="AC137" s="103">
        <v>1.551203645839935E-2</v>
      </c>
      <c r="AD137" s="103">
        <v>1.551203645839935E-2</v>
      </c>
      <c r="AE137" s="103">
        <v>1.551203645839935E-2</v>
      </c>
      <c r="AF137" s="103">
        <v>1.5596735911951261E-2</v>
      </c>
      <c r="AG137" s="103">
        <v>1.651203645839935E-2</v>
      </c>
      <c r="AH137" s="103">
        <v>1.651203645839935E-2</v>
      </c>
      <c r="AI137" s="103">
        <v>1.651203645839935E-2</v>
      </c>
      <c r="AJ137" s="103">
        <v>1.651203645839935E-2</v>
      </c>
      <c r="AK137" s="103">
        <v>1.6596735911951262E-2</v>
      </c>
      <c r="AL137" s="103">
        <v>1.7512036458399348E-2</v>
      </c>
      <c r="AM137" s="103">
        <v>1.7512036458399348E-2</v>
      </c>
      <c r="AN137" s="103">
        <v>1.7512036458399348E-2</v>
      </c>
      <c r="AO137" s="103">
        <v>1.7512036458399348E-2</v>
      </c>
      <c r="AP137" s="103">
        <v>1.7596735911951263E-2</v>
      </c>
      <c r="AQ137" s="103">
        <v>1.8512036458399349E-2</v>
      </c>
      <c r="AR137" s="103">
        <v>1.8512036458399349E-2</v>
      </c>
      <c r="AS137" s="103">
        <v>1.8512036458399349E-2</v>
      </c>
      <c r="AT137" s="103">
        <v>0</v>
      </c>
      <c r="AU137" s="103"/>
      <c r="AV137" s="103"/>
      <c r="AW137" s="103"/>
      <c r="AX137" s="103"/>
    </row>
    <row r="138" spans="1:50" ht="15" customHeight="1">
      <c r="A138" s="220"/>
      <c r="B138" s="5"/>
      <c r="C138" s="5"/>
      <c r="D138" s="5"/>
      <c r="E138" s="4" t="s">
        <v>237</v>
      </c>
      <c r="G138" s="5" t="s">
        <v>197</v>
      </c>
      <c r="H138" s="5"/>
      <c r="I138" s="5"/>
      <c r="J138" s="6"/>
      <c r="K138" s="103"/>
      <c r="L138" s="103"/>
      <c r="M138" s="103"/>
      <c r="N138" s="103"/>
      <c r="O138" s="103"/>
      <c r="P138" s="103"/>
      <c r="Q138" s="103"/>
      <c r="R138" s="103"/>
      <c r="S138" s="103"/>
      <c r="T138" s="103"/>
      <c r="U138" s="103"/>
      <c r="V138" s="103">
        <v>1.4538303717231034E-2</v>
      </c>
      <c r="W138" s="103">
        <v>1.4538303717231034E-2</v>
      </c>
      <c r="X138" s="103">
        <v>1.4538303717231034E-2</v>
      </c>
      <c r="Y138" s="103">
        <v>1.4538303717231034E-2</v>
      </c>
      <c r="Z138" s="103">
        <v>1.4538303717231034E-2</v>
      </c>
      <c r="AA138" s="103">
        <v>1.4623003170782946E-2</v>
      </c>
      <c r="AB138" s="103">
        <v>1.5538303717231033E-2</v>
      </c>
      <c r="AC138" s="103">
        <v>1.5538303717231033E-2</v>
      </c>
      <c r="AD138" s="103">
        <v>1.5538303717231033E-2</v>
      </c>
      <c r="AE138" s="103">
        <v>1.5538303717231033E-2</v>
      </c>
      <c r="AF138" s="103">
        <v>1.5623003170782947E-2</v>
      </c>
      <c r="AG138" s="103">
        <v>1.6538303717231036E-2</v>
      </c>
      <c r="AH138" s="103">
        <v>1.6538303717231036E-2</v>
      </c>
      <c r="AI138" s="103">
        <v>1.6538303717231036E-2</v>
      </c>
      <c r="AJ138" s="103">
        <v>1.6538303717231036E-2</v>
      </c>
      <c r="AK138" s="103">
        <v>1.6623003170782948E-2</v>
      </c>
      <c r="AL138" s="103">
        <v>1.7538303717231033E-2</v>
      </c>
      <c r="AM138" s="103">
        <v>1.7538303717231033E-2</v>
      </c>
      <c r="AN138" s="103">
        <v>1.7538303717231033E-2</v>
      </c>
      <c r="AO138" s="103">
        <v>1.7538303717231033E-2</v>
      </c>
      <c r="AP138" s="103">
        <v>1.7623003170782945E-2</v>
      </c>
      <c r="AQ138" s="103">
        <v>1.8538303717231034E-2</v>
      </c>
      <c r="AR138" s="103">
        <v>1.8538303717231034E-2</v>
      </c>
      <c r="AS138" s="103">
        <v>1.8538303717231034E-2</v>
      </c>
      <c r="AT138" s="103">
        <v>0</v>
      </c>
      <c r="AU138" s="103"/>
      <c r="AV138" s="103"/>
      <c r="AW138" s="103"/>
      <c r="AX138" s="103"/>
    </row>
    <row r="139" spans="1:50" ht="15" customHeight="1">
      <c r="A139" s="220"/>
      <c r="B139" s="5"/>
      <c r="C139" s="5"/>
      <c r="D139" s="5"/>
      <c r="E139" s="4" t="s">
        <v>238</v>
      </c>
      <c r="G139" s="5" t="s">
        <v>197</v>
      </c>
      <c r="H139" s="5"/>
      <c r="I139" s="5"/>
      <c r="J139" s="6"/>
      <c r="K139" s="103"/>
      <c r="L139" s="103"/>
      <c r="M139" s="103"/>
      <c r="N139" s="103"/>
      <c r="O139" s="103"/>
      <c r="P139" s="103"/>
      <c r="Q139" s="103"/>
      <c r="R139" s="103"/>
      <c r="S139" s="103"/>
      <c r="T139" s="103"/>
      <c r="U139" s="103"/>
      <c r="V139" s="103">
        <v>0</v>
      </c>
      <c r="W139" s="103">
        <v>0</v>
      </c>
      <c r="X139" s="103">
        <v>0</v>
      </c>
      <c r="Y139" s="103">
        <v>0</v>
      </c>
      <c r="Z139" s="103">
        <v>0</v>
      </c>
      <c r="AA139" s="103">
        <v>0</v>
      </c>
      <c r="AB139" s="103">
        <v>0</v>
      </c>
      <c r="AC139" s="103">
        <v>0</v>
      </c>
      <c r="AD139" s="103">
        <v>0</v>
      </c>
      <c r="AE139" s="103">
        <v>0</v>
      </c>
      <c r="AF139" s="103">
        <v>0</v>
      </c>
      <c r="AG139" s="103">
        <v>0</v>
      </c>
      <c r="AH139" s="103">
        <v>0</v>
      </c>
      <c r="AI139" s="103">
        <v>0</v>
      </c>
      <c r="AJ139" s="103">
        <v>0</v>
      </c>
      <c r="AK139" s="103">
        <v>0</v>
      </c>
      <c r="AL139" s="103">
        <v>0</v>
      </c>
      <c r="AM139" s="103">
        <v>0</v>
      </c>
      <c r="AN139" s="103">
        <v>0</v>
      </c>
      <c r="AO139" s="103">
        <v>0</v>
      </c>
      <c r="AP139" s="103">
        <v>0</v>
      </c>
      <c r="AQ139" s="103">
        <v>0</v>
      </c>
      <c r="AR139" s="103">
        <v>0</v>
      </c>
      <c r="AS139" s="103">
        <v>0</v>
      </c>
      <c r="AT139" s="103">
        <v>0</v>
      </c>
      <c r="AU139" s="103"/>
      <c r="AV139" s="103"/>
      <c r="AW139" s="103"/>
      <c r="AX139" s="103"/>
    </row>
    <row r="140" spans="1:50" ht="15" customHeight="1">
      <c r="A140" s="220"/>
      <c r="B140" s="5"/>
      <c r="C140" s="5"/>
      <c r="D140" s="5"/>
      <c r="E140" s="4" t="s">
        <v>239</v>
      </c>
      <c r="G140" s="5" t="s">
        <v>197</v>
      </c>
      <c r="H140" s="5"/>
      <c r="I140" s="5"/>
      <c r="J140" s="6"/>
      <c r="K140" s="103"/>
      <c r="L140" s="103"/>
      <c r="M140" s="103"/>
      <c r="N140" s="103"/>
      <c r="O140" s="103"/>
      <c r="P140" s="103"/>
      <c r="Q140" s="103"/>
      <c r="R140" s="103"/>
      <c r="S140" s="103"/>
      <c r="T140" s="103"/>
      <c r="U140" s="103"/>
      <c r="V140" s="103">
        <v>1.2500000000000001E-2</v>
      </c>
      <c r="W140" s="103">
        <v>1.2500000000000001E-2</v>
      </c>
      <c r="X140" s="103">
        <v>1.2500000000000001E-2</v>
      </c>
      <c r="Y140" s="103">
        <v>1.2500000000000001E-2</v>
      </c>
      <c r="Z140" s="103">
        <v>1.2500000000000001E-2</v>
      </c>
      <c r="AA140" s="103">
        <v>1.2500000000000001E-2</v>
      </c>
      <c r="AB140" s="103">
        <v>1.2500000000000001E-2</v>
      </c>
      <c r="AC140" s="103">
        <v>1.2500000000000001E-2</v>
      </c>
      <c r="AD140" s="103">
        <v>1.2500000000000001E-2</v>
      </c>
      <c r="AE140" s="103">
        <v>1.2500000000000001E-2</v>
      </c>
      <c r="AF140" s="103">
        <v>1.2500000000000001E-2</v>
      </c>
      <c r="AG140" s="103">
        <v>1.2500000000000001E-2</v>
      </c>
      <c r="AH140" s="103">
        <v>1.2500000000000001E-2</v>
      </c>
      <c r="AI140" s="103">
        <v>1.2500000000000001E-2</v>
      </c>
      <c r="AJ140" s="103">
        <v>1.2500000000000001E-2</v>
      </c>
      <c r="AK140" s="103">
        <v>1.2500000000000001E-2</v>
      </c>
      <c r="AL140" s="103">
        <v>1.2500000000000001E-2</v>
      </c>
      <c r="AM140" s="103">
        <v>1.2500000000000001E-2</v>
      </c>
      <c r="AN140" s="103">
        <v>1.2500000000000001E-2</v>
      </c>
      <c r="AO140" s="103">
        <v>1.2500000000000001E-2</v>
      </c>
      <c r="AP140" s="103">
        <v>1.2500000000000001E-2</v>
      </c>
      <c r="AQ140" s="103">
        <v>1.2500000000000001E-2</v>
      </c>
      <c r="AR140" s="103">
        <v>1.2500000000000001E-2</v>
      </c>
      <c r="AS140" s="103">
        <v>1.2500000000000001E-2</v>
      </c>
      <c r="AT140" s="103">
        <v>0</v>
      </c>
      <c r="AU140" s="103"/>
      <c r="AV140" s="103"/>
      <c r="AW140" s="103"/>
      <c r="AX140" s="103"/>
    </row>
    <row r="141" spans="1:50" ht="15" customHeight="1">
      <c r="A141" s="220"/>
      <c r="B141" s="5"/>
      <c r="C141" s="5"/>
      <c r="D141" s="5"/>
      <c r="E141" s="4" t="s">
        <v>240</v>
      </c>
      <c r="G141" s="5" t="s">
        <v>197</v>
      </c>
      <c r="H141" s="5"/>
      <c r="I141" s="5"/>
      <c r="J141" s="6"/>
      <c r="K141" s="103"/>
      <c r="L141" s="103"/>
      <c r="M141" s="103"/>
      <c r="N141" s="103"/>
      <c r="O141" s="103"/>
      <c r="P141" s="103"/>
      <c r="Q141" s="103"/>
      <c r="R141" s="103"/>
      <c r="S141" s="103"/>
      <c r="T141" s="103"/>
      <c r="U141" s="103"/>
      <c r="V141" s="103">
        <v>1.4999999999999999E-2</v>
      </c>
      <c r="W141" s="103">
        <v>1.4999999999999999E-2</v>
      </c>
      <c r="X141" s="103">
        <v>1.4999999999999999E-2</v>
      </c>
      <c r="Y141" s="103">
        <v>1.4999999999999999E-2</v>
      </c>
      <c r="Z141" s="103">
        <v>1.4999999999999999E-2</v>
      </c>
      <c r="AA141" s="103">
        <v>1.5084699453551911E-2</v>
      </c>
      <c r="AB141" s="103">
        <v>1.6E-2</v>
      </c>
      <c r="AC141" s="103">
        <v>1.6E-2</v>
      </c>
      <c r="AD141" s="103">
        <v>1.6E-2</v>
      </c>
      <c r="AE141" s="103">
        <v>1.6E-2</v>
      </c>
      <c r="AF141" s="103">
        <v>1.6084699453551912E-2</v>
      </c>
      <c r="AG141" s="103">
        <v>1.7000000000000001E-2</v>
      </c>
      <c r="AH141" s="103">
        <v>1.7000000000000001E-2</v>
      </c>
      <c r="AI141" s="103">
        <v>1.7000000000000001E-2</v>
      </c>
      <c r="AJ141" s="103">
        <v>1.7000000000000001E-2</v>
      </c>
      <c r="AK141" s="103">
        <v>1.7084699453551913E-2</v>
      </c>
      <c r="AL141" s="103">
        <v>1.7999999999999999E-2</v>
      </c>
      <c r="AM141" s="103">
        <v>1.7999999999999999E-2</v>
      </c>
      <c r="AN141" s="103">
        <v>1.7999999999999999E-2</v>
      </c>
      <c r="AO141" s="103">
        <v>1.7999999999999999E-2</v>
      </c>
      <c r="AP141" s="103">
        <v>1.8084699453551914E-2</v>
      </c>
      <c r="AQ141" s="103">
        <v>1.9E-2</v>
      </c>
      <c r="AR141" s="103">
        <v>1.9E-2</v>
      </c>
      <c r="AS141" s="103">
        <v>1.9E-2</v>
      </c>
      <c r="AT141" s="103">
        <v>0</v>
      </c>
      <c r="AU141" s="103"/>
      <c r="AV141" s="103"/>
      <c r="AW141" s="103"/>
      <c r="AX141" s="103"/>
    </row>
    <row r="142" spans="1:50" ht="15" customHeight="1">
      <c r="A142" s="220"/>
      <c r="B142" s="5"/>
      <c r="C142" s="5"/>
      <c r="D142" s="5"/>
      <c r="E142" s="5"/>
      <c r="F142" s="5"/>
      <c r="G142" s="5"/>
      <c r="H142" s="5"/>
      <c r="I142" s="5"/>
      <c r="J142" s="6"/>
      <c r="K142" s="5"/>
      <c r="L142" s="5"/>
      <c r="M142" s="5"/>
      <c r="N142" s="5"/>
      <c r="O142" s="5"/>
      <c r="P142" s="6"/>
      <c r="Q142" s="6"/>
      <c r="R142" s="6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</row>
    <row r="143" spans="1:50" ht="15" customHeight="1">
      <c r="A143" s="5"/>
      <c r="B143" s="5"/>
      <c r="C143" s="10" t="s">
        <v>241</v>
      </c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spans="1:50" ht="15" customHeight="1">
      <c r="A144" s="5"/>
      <c r="B144" s="5"/>
      <c r="C144" s="52"/>
      <c r="D144" s="17"/>
      <c r="E144" s="17"/>
      <c r="F144" s="17"/>
      <c r="G144" s="17"/>
      <c r="H144" s="17"/>
      <c r="I144" s="17"/>
      <c r="J144" s="17"/>
      <c r="K144" s="236"/>
      <c r="L144" s="236"/>
      <c r="M144" s="236"/>
      <c r="N144" s="236"/>
      <c r="O144" s="236"/>
      <c r="P144" s="236"/>
      <c r="Q144" s="236"/>
      <c r="R144" s="236"/>
      <c r="S144" s="236"/>
      <c r="T144" s="236"/>
      <c r="U144" s="236"/>
      <c r="V144" s="236"/>
      <c r="W144" s="236"/>
      <c r="X144" s="236"/>
      <c r="Y144" s="236"/>
      <c r="Z144" s="236"/>
      <c r="AA144" s="236"/>
      <c r="AB144" s="236"/>
      <c r="AC144" s="236"/>
      <c r="AD144" s="236"/>
      <c r="AE144" s="236"/>
      <c r="AF144" s="236"/>
      <c r="AG144" s="236"/>
      <c r="AH144" s="236"/>
      <c r="AI144" s="236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17"/>
    </row>
    <row r="145" spans="1:50" ht="15" customHeight="1">
      <c r="A145" s="70"/>
      <c r="B145" s="70"/>
      <c r="C145" s="70"/>
      <c r="D145" s="70"/>
      <c r="E145" s="8" t="s">
        <v>126</v>
      </c>
      <c r="F145" s="72"/>
      <c r="G145" s="72"/>
      <c r="H145" s="72"/>
      <c r="I145" s="72"/>
      <c r="J145" s="71"/>
      <c r="K145" s="163">
        <f>$I$148</f>
        <v>41275</v>
      </c>
      <c r="L145" s="9">
        <f>+K146+1</f>
        <v>41640</v>
      </c>
      <c r="M145" s="9">
        <f>+L146+1</f>
        <v>42005</v>
      </c>
      <c r="N145" s="9">
        <f t="shared" ref="N145" si="167">+M146+1</f>
        <v>42370</v>
      </c>
      <c r="O145" s="9">
        <f t="shared" ref="O145" si="168">+N146+1</f>
        <v>42736</v>
      </c>
      <c r="P145" s="9">
        <f>+O146+1</f>
        <v>43101</v>
      </c>
      <c r="Q145" s="9">
        <f t="shared" ref="Q145" si="169">+P146+1</f>
        <v>43466</v>
      </c>
      <c r="R145" s="9">
        <f t="shared" ref="R145" si="170">+Q146+1</f>
        <v>43831</v>
      </c>
      <c r="S145" s="9">
        <f t="shared" ref="S145" si="171">+R146+1</f>
        <v>44197</v>
      </c>
      <c r="T145" s="9">
        <f t="shared" ref="T145" si="172">+S146+1</f>
        <v>44562</v>
      </c>
      <c r="U145" s="9">
        <f>+T146+1</f>
        <v>44927</v>
      </c>
      <c r="V145" s="9">
        <f t="shared" ref="V145" si="173">+U146+1</f>
        <v>45292</v>
      </c>
      <c r="W145" s="9">
        <f t="shared" ref="W145" si="174">+V146+1</f>
        <v>45658</v>
      </c>
      <c r="X145" s="9">
        <f t="shared" ref="X145" si="175">+W146+1</f>
        <v>46023</v>
      </c>
      <c r="Y145" s="9">
        <f t="shared" ref="Y145" si="176">+X146+1</f>
        <v>46388</v>
      </c>
      <c r="Z145" s="9">
        <f t="shared" ref="Z145" si="177">+Y146+1</f>
        <v>46753</v>
      </c>
      <c r="AA145" s="9">
        <f t="shared" ref="AA145" si="178">+Z146+1</f>
        <v>47119</v>
      </c>
      <c r="AB145" s="9">
        <f t="shared" ref="AB145" si="179">+AA146+1</f>
        <v>47484</v>
      </c>
      <c r="AC145" s="9">
        <f t="shared" ref="AC145" si="180">+AB146+1</f>
        <v>47849</v>
      </c>
      <c r="AD145" s="9">
        <f t="shared" ref="AD145" si="181">+AC146+1</f>
        <v>48214</v>
      </c>
      <c r="AE145" s="9">
        <f t="shared" ref="AE145" si="182">+AD146+1</f>
        <v>48580</v>
      </c>
      <c r="AF145" s="9">
        <f t="shared" ref="AF145" si="183">+AE146+1</f>
        <v>48945</v>
      </c>
      <c r="AG145" s="9">
        <f t="shared" ref="AG145" si="184">+AF146+1</f>
        <v>49310</v>
      </c>
      <c r="AH145" s="9">
        <f t="shared" ref="AH145" si="185">+AG146+1</f>
        <v>49675</v>
      </c>
      <c r="AI145" s="9">
        <f t="shared" ref="AI145" si="186">+AH146+1</f>
        <v>50041</v>
      </c>
      <c r="AJ145" s="9">
        <f t="shared" ref="AJ145" si="187">+AI146+1</f>
        <v>50406</v>
      </c>
      <c r="AK145" s="9">
        <f t="shared" ref="AK145" si="188">+AJ146+1</f>
        <v>50771</v>
      </c>
      <c r="AL145" s="9">
        <f t="shared" ref="AL145" si="189">+AK146+1</f>
        <v>51136</v>
      </c>
      <c r="AM145" s="9">
        <f t="shared" ref="AM145" si="190">+AL146+1</f>
        <v>51502</v>
      </c>
      <c r="AN145" s="9">
        <f t="shared" ref="AN145" si="191">+AM146+1</f>
        <v>51867</v>
      </c>
      <c r="AO145" s="9">
        <f t="shared" ref="AO145" si="192">+AN146+1</f>
        <v>52232</v>
      </c>
      <c r="AP145" s="9">
        <f t="shared" ref="AP145" si="193">+AO146+1</f>
        <v>52597</v>
      </c>
      <c r="AQ145" s="9">
        <f t="shared" ref="AQ145" si="194">+AP146+1</f>
        <v>52963</v>
      </c>
      <c r="AR145" s="9">
        <f t="shared" ref="AR145" si="195">+AQ146+1</f>
        <v>53328</v>
      </c>
      <c r="AS145" s="9">
        <f t="shared" ref="AS145" si="196">+AR146+1</f>
        <v>53693</v>
      </c>
      <c r="AT145" s="9">
        <f t="shared" ref="AT145" si="197">+AS146+1</f>
        <v>54058</v>
      </c>
      <c r="AU145" s="9">
        <f t="shared" ref="AU145" si="198">+AT146+1</f>
        <v>54424</v>
      </c>
      <c r="AV145" s="9">
        <f t="shared" ref="AV145" si="199">+AU146+1</f>
        <v>54789</v>
      </c>
      <c r="AW145" s="9">
        <f t="shared" ref="AW145" si="200">+AV146+1</f>
        <v>55154</v>
      </c>
      <c r="AX145" s="9">
        <f t="shared" ref="AX145" si="201">+AW146+1</f>
        <v>55519</v>
      </c>
    </row>
    <row r="146" spans="1:50" ht="15" customHeight="1">
      <c r="A146" s="73"/>
      <c r="B146" s="73"/>
      <c r="C146" s="73"/>
      <c r="D146" s="73"/>
      <c r="E146" s="8" t="s">
        <v>127</v>
      </c>
      <c r="F146" s="73"/>
      <c r="G146" s="73"/>
      <c r="H146" s="73"/>
      <c r="I146" s="74"/>
      <c r="J146" s="73"/>
      <c r="K146" s="163">
        <f>EOMONTH(K145,11)</f>
        <v>41639</v>
      </c>
      <c r="L146" s="9">
        <f t="shared" ref="L146" si="202">DATE(YEAR(K146) + 1, MONTH(K146), DAY(K146))</f>
        <v>42004</v>
      </c>
      <c r="M146" s="9">
        <f t="shared" ref="M146" si="203">DATE(YEAR(L146) + 1, MONTH(L146), DAY(L146))</f>
        <v>42369</v>
      </c>
      <c r="N146" s="9">
        <f t="shared" ref="N146" si="204">DATE(YEAR(M146) + 1, MONTH(M146), DAY(M146))</f>
        <v>42735</v>
      </c>
      <c r="O146" s="9">
        <f t="shared" ref="O146" si="205">DATE(YEAR(N146) + 1, MONTH(N146), DAY(N146))</f>
        <v>43100</v>
      </c>
      <c r="P146" s="9">
        <f t="shared" ref="P146" si="206">DATE(YEAR(O146) + 1, MONTH(O146), DAY(O146))</f>
        <v>43465</v>
      </c>
      <c r="Q146" s="9">
        <f t="shared" ref="Q146" si="207">DATE(YEAR(P146) + 1, MONTH(P146), DAY(P146))</f>
        <v>43830</v>
      </c>
      <c r="R146" s="9">
        <f t="shared" ref="R146" si="208">DATE(YEAR(Q146) + 1, MONTH(Q146), DAY(Q146))</f>
        <v>44196</v>
      </c>
      <c r="S146" s="9">
        <f t="shared" ref="S146" si="209">DATE(YEAR(R146) + 1, MONTH(R146), DAY(R146))</f>
        <v>44561</v>
      </c>
      <c r="T146" s="9">
        <f t="shared" ref="T146" si="210">DATE(YEAR(S146) + 1, MONTH(S146), DAY(S146))</f>
        <v>44926</v>
      </c>
      <c r="U146" s="9">
        <f t="shared" ref="U146" si="211">DATE(YEAR(T146) + 1, MONTH(T146), DAY(T146))</f>
        <v>45291</v>
      </c>
      <c r="V146" s="9">
        <f t="shared" ref="V146" si="212">DATE(YEAR(U146) + 1, MONTH(U146), DAY(U146))</f>
        <v>45657</v>
      </c>
      <c r="W146" s="9">
        <f t="shared" ref="W146" si="213">DATE(YEAR(V146) + 1, MONTH(V146), DAY(V146))</f>
        <v>46022</v>
      </c>
      <c r="X146" s="9">
        <f t="shared" ref="X146" si="214">DATE(YEAR(W146) + 1, MONTH(W146), DAY(W146))</f>
        <v>46387</v>
      </c>
      <c r="Y146" s="9">
        <f t="shared" ref="Y146" si="215">DATE(YEAR(X146) + 1, MONTH(X146), DAY(X146))</f>
        <v>46752</v>
      </c>
      <c r="Z146" s="9">
        <f t="shared" ref="Z146" si="216">DATE(YEAR(Y146) + 1, MONTH(Y146), DAY(Y146))</f>
        <v>47118</v>
      </c>
      <c r="AA146" s="9">
        <f t="shared" ref="AA146" si="217">DATE(YEAR(Z146) + 1, MONTH(Z146), DAY(Z146))</f>
        <v>47483</v>
      </c>
      <c r="AB146" s="9">
        <f t="shared" ref="AB146" si="218">DATE(YEAR(AA146) + 1, MONTH(AA146), DAY(AA146))</f>
        <v>47848</v>
      </c>
      <c r="AC146" s="9">
        <f t="shared" ref="AC146" si="219">DATE(YEAR(AB146) + 1, MONTH(AB146), DAY(AB146))</f>
        <v>48213</v>
      </c>
      <c r="AD146" s="9">
        <f t="shared" ref="AD146" si="220">DATE(YEAR(AC146) + 1, MONTH(AC146), DAY(AC146))</f>
        <v>48579</v>
      </c>
      <c r="AE146" s="9">
        <f t="shared" ref="AE146" si="221">DATE(YEAR(AD146) + 1, MONTH(AD146), DAY(AD146))</f>
        <v>48944</v>
      </c>
      <c r="AF146" s="9">
        <f t="shared" ref="AF146" si="222">DATE(YEAR(AE146) + 1, MONTH(AE146), DAY(AE146))</f>
        <v>49309</v>
      </c>
      <c r="AG146" s="9">
        <f t="shared" ref="AG146" si="223">DATE(YEAR(AF146) + 1, MONTH(AF146), DAY(AF146))</f>
        <v>49674</v>
      </c>
      <c r="AH146" s="9">
        <f t="shared" ref="AH146" si="224">DATE(YEAR(AG146) + 1, MONTH(AG146), DAY(AG146))</f>
        <v>50040</v>
      </c>
      <c r="AI146" s="9">
        <f t="shared" ref="AI146" si="225">DATE(YEAR(AH146) + 1, MONTH(AH146), DAY(AH146))</f>
        <v>50405</v>
      </c>
      <c r="AJ146" s="9">
        <f t="shared" ref="AJ146" si="226">DATE(YEAR(AI146) + 1, MONTH(AI146), DAY(AI146))</f>
        <v>50770</v>
      </c>
      <c r="AK146" s="9">
        <f t="shared" ref="AK146" si="227">DATE(YEAR(AJ146) + 1, MONTH(AJ146), DAY(AJ146))</f>
        <v>51135</v>
      </c>
      <c r="AL146" s="9">
        <f t="shared" ref="AL146" si="228">DATE(YEAR(AK146) + 1, MONTH(AK146), DAY(AK146))</f>
        <v>51501</v>
      </c>
      <c r="AM146" s="9">
        <f t="shared" ref="AM146" si="229">DATE(YEAR(AL146) + 1, MONTH(AL146), DAY(AL146))</f>
        <v>51866</v>
      </c>
      <c r="AN146" s="9">
        <f t="shared" ref="AN146" si="230">DATE(YEAR(AM146) + 1, MONTH(AM146), DAY(AM146))</f>
        <v>52231</v>
      </c>
      <c r="AO146" s="9">
        <f t="shared" ref="AO146" si="231">DATE(YEAR(AN146) + 1, MONTH(AN146), DAY(AN146))</f>
        <v>52596</v>
      </c>
      <c r="AP146" s="9">
        <f t="shared" ref="AP146" si="232">DATE(YEAR(AO146) + 1, MONTH(AO146), DAY(AO146))</f>
        <v>52962</v>
      </c>
      <c r="AQ146" s="9">
        <f t="shared" ref="AQ146" si="233">DATE(YEAR(AP146) + 1, MONTH(AP146), DAY(AP146))</f>
        <v>53327</v>
      </c>
      <c r="AR146" s="9">
        <f t="shared" ref="AR146" si="234">DATE(YEAR(AQ146) + 1, MONTH(AQ146), DAY(AQ146))</f>
        <v>53692</v>
      </c>
      <c r="AS146" s="9">
        <f t="shared" ref="AS146" si="235">DATE(YEAR(AR146) + 1, MONTH(AR146), DAY(AR146))</f>
        <v>54057</v>
      </c>
      <c r="AT146" s="9">
        <f t="shared" ref="AT146" si="236">DATE(YEAR(AS146) + 1, MONTH(AS146), DAY(AS146))</f>
        <v>54423</v>
      </c>
      <c r="AU146" s="9">
        <f t="shared" ref="AU146" si="237">DATE(YEAR(AT146) + 1, MONTH(AT146), DAY(AT146))</f>
        <v>54788</v>
      </c>
      <c r="AV146" s="9">
        <f t="shared" ref="AV146" si="238">DATE(YEAR(AU146) + 1, MONTH(AU146), DAY(AU146))</f>
        <v>55153</v>
      </c>
      <c r="AW146" s="9">
        <f t="shared" ref="AW146" si="239">DATE(YEAR(AV146) + 1, MONTH(AV146), DAY(AV146))</f>
        <v>55518</v>
      </c>
      <c r="AX146" s="9">
        <f t="shared" ref="AX146" si="240">DATE(YEAR(AW146) + 1, MONTH(AW146), DAY(AW146))</f>
        <v>55884</v>
      </c>
    </row>
    <row r="147" spans="1:50" ht="15" customHeight="1"/>
    <row r="148" spans="1:50" ht="15" customHeight="1">
      <c r="A148" s="17"/>
      <c r="B148" s="17"/>
      <c r="C148" s="17"/>
      <c r="D148" s="17"/>
      <c r="E148" s="17" t="s">
        <v>242</v>
      </c>
      <c r="F148" s="17"/>
      <c r="G148" s="17" t="s">
        <v>243</v>
      </c>
      <c r="H148" s="17"/>
      <c r="I148" s="164">
        <v>41275</v>
      </c>
      <c r="J148" s="17"/>
      <c r="K148" s="246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  <c r="AQ148" s="17"/>
      <c r="AR148" s="17"/>
      <c r="AS148" s="17"/>
      <c r="AT148" s="17"/>
      <c r="AU148" s="17"/>
      <c r="AV148" s="17"/>
      <c r="AW148" s="17"/>
      <c r="AX148" s="17"/>
    </row>
    <row r="149" spans="1:50" ht="15" customHeight="1">
      <c r="A149" s="17"/>
      <c r="B149" s="17"/>
      <c r="C149" s="17"/>
      <c r="D149" s="17"/>
      <c r="E149" s="17" t="s">
        <v>244</v>
      </c>
      <c r="F149" s="17"/>
      <c r="G149" s="17" t="s">
        <v>243</v>
      </c>
      <c r="H149" s="17"/>
      <c r="I149" s="164">
        <v>44682</v>
      </c>
      <c r="J149" s="17"/>
      <c r="K149" s="246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  <c r="AM149" s="17"/>
      <c r="AN149" s="17"/>
      <c r="AO149" s="17"/>
      <c r="AP149" s="17"/>
      <c r="AQ149" s="17"/>
      <c r="AR149" s="17"/>
      <c r="AS149" s="17"/>
      <c r="AT149" s="17"/>
      <c r="AU149" s="17"/>
      <c r="AV149" s="17"/>
      <c r="AW149" s="17"/>
      <c r="AX149" s="17"/>
    </row>
    <row r="150" spans="1:50" ht="15.6" customHeight="1">
      <c r="A150" s="17"/>
      <c r="B150" s="17"/>
      <c r="C150" s="17"/>
      <c r="D150" s="17"/>
      <c r="E150" s="17" t="s">
        <v>245</v>
      </c>
      <c r="F150" s="17"/>
      <c r="G150" s="17" t="s">
        <v>243</v>
      </c>
      <c r="H150" s="17"/>
      <c r="I150" s="245">
        <v>45686</v>
      </c>
      <c r="J150" s="17"/>
      <c r="K150" s="246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  <c r="AO150" s="17"/>
      <c r="AP150" s="17"/>
      <c r="AQ150" s="17"/>
      <c r="AR150" s="17"/>
      <c r="AS150" s="17"/>
      <c r="AT150" s="17"/>
      <c r="AU150" s="17"/>
      <c r="AV150" s="17"/>
      <c r="AW150" s="17"/>
      <c r="AX150" s="17"/>
    </row>
    <row r="151" spans="1:50" ht="15" customHeight="1">
      <c r="A151" s="17"/>
      <c r="B151" s="17"/>
      <c r="C151" s="17"/>
      <c r="D151" s="17"/>
      <c r="E151" s="17" t="s">
        <v>246</v>
      </c>
      <c r="F151" s="17"/>
      <c r="G151" s="17" t="s">
        <v>243</v>
      </c>
      <c r="H151" s="17"/>
      <c r="I151" s="164">
        <v>45687</v>
      </c>
      <c r="J151" s="17"/>
      <c r="K151" s="246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  <c r="AO151" s="17"/>
      <c r="AP151" s="17"/>
      <c r="AQ151" s="17"/>
      <c r="AR151" s="17"/>
      <c r="AS151" s="17"/>
      <c r="AT151" s="17"/>
      <c r="AU151" s="17"/>
      <c r="AV151" s="17"/>
      <c r="AW151" s="17"/>
      <c r="AX151" s="17"/>
    </row>
    <row r="152" spans="1:50" ht="15" customHeight="1">
      <c r="A152" s="17"/>
      <c r="B152" s="17"/>
      <c r="C152" s="17"/>
      <c r="D152" s="17"/>
      <c r="E152" s="17" t="s">
        <v>247</v>
      </c>
      <c r="F152" s="17"/>
      <c r="G152" s="17" t="s">
        <v>243</v>
      </c>
      <c r="H152" s="17"/>
      <c r="I152" s="62">
        <f>DATE(YEAR($I$149)+I155,MONTH($I$149),DAY($I$149))-1</f>
        <v>53812</v>
      </c>
      <c r="J152" s="17"/>
      <c r="K152" s="246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  <c r="AX152" s="17"/>
    </row>
    <row r="153" spans="1:50" ht="15" customHeight="1">
      <c r="A153" s="17"/>
      <c r="B153" s="17"/>
      <c r="C153" s="17"/>
      <c r="D153" s="17"/>
      <c r="E153" s="17" t="s">
        <v>248</v>
      </c>
      <c r="F153" s="17"/>
      <c r="G153" s="17" t="s">
        <v>243</v>
      </c>
      <c r="H153" s="17"/>
      <c r="I153" s="62">
        <f>EOMONTH(I151-1,I85*12)</f>
        <v>53935</v>
      </c>
      <c r="J153" s="17"/>
      <c r="K153" s="246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  <c r="AR153" s="17"/>
      <c r="AS153" s="17"/>
      <c r="AT153" s="17"/>
      <c r="AU153" s="17"/>
      <c r="AV153" s="17"/>
      <c r="AW153" s="17"/>
      <c r="AX153" s="17"/>
    </row>
    <row r="154" spans="1:50" ht="15" customHeight="1">
      <c r="A154" s="17"/>
      <c r="B154" s="17"/>
      <c r="C154" s="17"/>
      <c r="D154" s="17"/>
      <c r="E154" s="17" t="s">
        <v>249</v>
      </c>
      <c r="F154" s="17"/>
      <c r="G154" s="17" t="s">
        <v>243</v>
      </c>
      <c r="H154" s="17"/>
      <c r="I154" s="62">
        <f>MIN(EOMONTH(I151-1,(I85+I86)*12),I152)</f>
        <v>53812</v>
      </c>
      <c r="J154" s="17"/>
      <c r="K154" s="246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  <c r="AM154" s="17"/>
      <c r="AN154" s="17"/>
      <c r="AO154" s="17"/>
      <c r="AP154" s="17"/>
      <c r="AQ154" s="17"/>
      <c r="AR154" s="17"/>
      <c r="AS154" s="17"/>
      <c r="AT154" s="17"/>
      <c r="AU154" s="17"/>
      <c r="AV154" s="17"/>
      <c r="AW154" s="17"/>
      <c r="AX154" s="17"/>
    </row>
    <row r="155" spans="1:50" ht="15" customHeight="1">
      <c r="A155" s="17"/>
      <c r="B155" s="17"/>
      <c r="C155" s="17"/>
      <c r="D155" s="17"/>
      <c r="E155" s="17" t="s">
        <v>250</v>
      </c>
      <c r="F155" s="17"/>
      <c r="G155" s="17" t="s">
        <v>192</v>
      </c>
      <c r="H155" s="17"/>
      <c r="I155" s="165">
        <v>25</v>
      </c>
      <c r="J155" s="17"/>
      <c r="K155" s="246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7"/>
      <c r="AO155" s="17"/>
      <c r="AP155" s="17"/>
      <c r="AQ155" s="17"/>
      <c r="AR155" s="17"/>
      <c r="AS155" s="17"/>
      <c r="AT155" s="17"/>
      <c r="AU155" s="17"/>
      <c r="AV155" s="17"/>
      <c r="AW155" s="17"/>
      <c r="AX155" s="17"/>
    </row>
    <row r="156" spans="1:50" ht="15" customHeight="1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  <c r="AM156" s="17"/>
      <c r="AN156" s="17"/>
      <c r="AO156" s="17"/>
      <c r="AP156" s="17"/>
      <c r="AQ156" s="17"/>
      <c r="AR156" s="17"/>
      <c r="AS156" s="17"/>
      <c r="AT156" s="17"/>
      <c r="AU156" s="17"/>
      <c r="AV156" s="17"/>
      <c r="AW156" s="17"/>
      <c r="AX156" s="17"/>
    </row>
    <row r="157" spans="1:50" ht="15" customHeight="1">
      <c r="A157" s="17"/>
      <c r="B157" s="17"/>
      <c r="C157" s="17"/>
      <c r="D157" s="17"/>
      <c r="E157" s="5" t="s">
        <v>251</v>
      </c>
      <c r="F157" s="5"/>
      <c r="G157" s="5" t="s">
        <v>252</v>
      </c>
      <c r="H157" s="5"/>
      <c r="I157" s="182" t="b">
        <f>I85&lt;=ROUND((I152-I151)/365.25,0)</f>
        <v>0</v>
      </c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  <c r="AM157" s="17"/>
      <c r="AN157" s="17"/>
      <c r="AO157" s="17"/>
      <c r="AP157" s="17"/>
      <c r="AQ157" s="17"/>
      <c r="AR157" s="17"/>
      <c r="AS157" s="17"/>
      <c r="AT157" s="17"/>
      <c r="AU157" s="17"/>
      <c r="AV157" s="17"/>
      <c r="AW157" s="17"/>
      <c r="AX157" s="17"/>
    </row>
    <row r="158" spans="1:50" ht="15" customHeight="1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</row>
    <row r="159" spans="1:50" ht="15" customHeight="1">
      <c r="A159" s="17"/>
      <c r="B159" s="17"/>
      <c r="C159" s="17"/>
      <c r="D159" s="17"/>
      <c r="E159" s="17" t="s">
        <v>253</v>
      </c>
      <c r="F159" s="17"/>
      <c r="G159" s="17" t="s">
        <v>254</v>
      </c>
      <c r="H159" s="17"/>
      <c r="I159" s="62"/>
      <c r="J159" s="17"/>
      <c r="K159" s="240">
        <f t="shared" ref="K159:L159" si="241">K$146-K$145+1</f>
        <v>365</v>
      </c>
      <c r="L159" s="240">
        <f t="shared" si="241"/>
        <v>365</v>
      </c>
      <c r="M159" s="240">
        <f>M$146-M$145+1</f>
        <v>365</v>
      </c>
      <c r="N159" s="240">
        <f t="shared" ref="N159:AX159" si="242">N$146-N$145+1</f>
        <v>366</v>
      </c>
      <c r="O159" s="240">
        <f t="shared" si="242"/>
        <v>365</v>
      </c>
      <c r="P159" s="240">
        <f t="shared" si="242"/>
        <v>365</v>
      </c>
      <c r="Q159" s="240">
        <f t="shared" si="242"/>
        <v>365</v>
      </c>
      <c r="R159" s="240">
        <f t="shared" si="242"/>
        <v>366</v>
      </c>
      <c r="S159" s="240">
        <f t="shared" si="242"/>
        <v>365</v>
      </c>
      <c r="T159" s="240">
        <f t="shared" si="242"/>
        <v>365</v>
      </c>
      <c r="U159" s="240">
        <f t="shared" si="242"/>
        <v>365</v>
      </c>
      <c r="V159" s="240">
        <f t="shared" si="242"/>
        <v>366</v>
      </c>
      <c r="W159" s="240">
        <f t="shared" si="242"/>
        <v>365</v>
      </c>
      <c r="X159" s="240">
        <f t="shared" si="242"/>
        <v>365</v>
      </c>
      <c r="Y159" s="240">
        <f t="shared" si="242"/>
        <v>365</v>
      </c>
      <c r="Z159" s="240">
        <f t="shared" si="242"/>
        <v>366</v>
      </c>
      <c r="AA159" s="240">
        <f t="shared" si="242"/>
        <v>365</v>
      </c>
      <c r="AB159" s="240">
        <f t="shared" si="242"/>
        <v>365</v>
      </c>
      <c r="AC159" s="240">
        <f t="shared" si="242"/>
        <v>365</v>
      </c>
      <c r="AD159" s="240">
        <f t="shared" si="242"/>
        <v>366</v>
      </c>
      <c r="AE159" s="240">
        <f t="shared" si="242"/>
        <v>365</v>
      </c>
      <c r="AF159" s="240">
        <f t="shared" si="242"/>
        <v>365</v>
      </c>
      <c r="AG159" s="240">
        <f t="shared" si="242"/>
        <v>365</v>
      </c>
      <c r="AH159" s="240">
        <f t="shared" si="242"/>
        <v>366</v>
      </c>
      <c r="AI159" s="240">
        <f t="shared" si="242"/>
        <v>365</v>
      </c>
      <c r="AJ159" s="240">
        <f t="shared" si="242"/>
        <v>365</v>
      </c>
      <c r="AK159" s="240">
        <f t="shared" si="242"/>
        <v>365</v>
      </c>
      <c r="AL159" s="240">
        <f t="shared" si="242"/>
        <v>366</v>
      </c>
      <c r="AM159" s="240">
        <f t="shared" si="242"/>
        <v>365</v>
      </c>
      <c r="AN159" s="240">
        <f t="shared" si="242"/>
        <v>365</v>
      </c>
      <c r="AO159" s="240">
        <f t="shared" si="242"/>
        <v>365</v>
      </c>
      <c r="AP159" s="240">
        <f t="shared" si="242"/>
        <v>366</v>
      </c>
      <c r="AQ159" s="240">
        <f t="shared" si="242"/>
        <v>365</v>
      </c>
      <c r="AR159" s="240">
        <f t="shared" si="242"/>
        <v>365</v>
      </c>
      <c r="AS159" s="240">
        <f t="shared" si="242"/>
        <v>365</v>
      </c>
      <c r="AT159" s="240">
        <f t="shared" si="242"/>
        <v>366</v>
      </c>
      <c r="AU159" s="240">
        <f t="shared" si="242"/>
        <v>365</v>
      </c>
      <c r="AV159" s="240">
        <f t="shared" si="242"/>
        <v>365</v>
      </c>
      <c r="AW159" s="240">
        <f t="shared" si="242"/>
        <v>365</v>
      </c>
      <c r="AX159" s="240">
        <f t="shared" si="242"/>
        <v>366</v>
      </c>
    </row>
    <row r="160" spans="1:50" ht="15" customHeight="1">
      <c r="A160" s="17"/>
      <c r="B160" s="17"/>
      <c r="C160" s="17"/>
      <c r="D160" s="17"/>
      <c r="E160" s="17" t="s">
        <v>255</v>
      </c>
      <c r="F160" s="17"/>
      <c r="G160" s="17" t="s">
        <v>256</v>
      </c>
      <c r="H160" s="17"/>
      <c r="I160" s="62"/>
      <c r="J160" s="17"/>
      <c r="K160" s="241">
        <f>IF($I$150&gt;=K$146,1,IF($I$150&gt;=K$145,($I$150-K$145+1)/K$159,0))</f>
        <v>1</v>
      </c>
      <c r="L160" s="241">
        <f t="shared" ref="L160:AX160" si="243">IF($I$150&gt;=L$146,1,IF($I$150&gt;=L$145,($I$150-L$145+1)/L$159,0))</f>
        <v>1</v>
      </c>
      <c r="M160" s="241">
        <f t="shared" si="243"/>
        <v>1</v>
      </c>
      <c r="N160" s="241">
        <f t="shared" si="243"/>
        <v>1</v>
      </c>
      <c r="O160" s="241">
        <f t="shared" si="243"/>
        <v>1</v>
      </c>
      <c r="P160" s="241">
        <f t="shared" si="243"/>
        <v>1</v>
      </c>
      <c r="Q160" s="241">
        <f t="shared" si="243"/>
        <v>1</v>
      </c>
      <c r="R160" s="241">
        <f t="shared" si="243"/>
        <v>1</v>
      </c>
      <c r="S160" s="241">
        <f t="shared" si="243"/>
        <v>1</v>
      </c>
      <c r="T160" s="241">
        <f t="shared" si="243"/>
        <v>1</v>
      </c>
      <c r="U160" s="241">
        <f t="shared" si="243"/>
        <v>1</v>
      </c>
      <c r="V160" s="241">
        <f t="shared" si="243"/>
        <v>1</v>
      </c>
      <c r="W160" s="241">
        <f t="shared" si="243"/>
        <v>7.9452054794520555E-2</v>
      </c>
      <c r="X160" s="241">
        <f t="shared" si="243"/>
        <v>0</v>
      </c>
      <c r="Y160" s="241">
        <f t="shared" si="243"/>
        <v>0</v>
      </c>
      <c r="Z160" s="241">
        <f t="shared" si="243"/>
        <v>0</v>
      </c>
      <c r="AA160" s="241">
        <f t="shared" si="243"/>
        <v>0</v>
      </c>
      <c r="AB160" s="241">
        <f t="shared" si="243"/>
        <v>0</v>
      </c>
      <c r="AC160" s="241">
        <f t="shared" si="243"/>
        <v>0</v>
      </c>
      <c r="AD160" s="241">
        <f t="shared" si="243"/>
        <v>0</v>
      </c>
      <c r="AE160" s="241">
        <f t="shared" si="243"/>
        <v>0</v>
      </c>
      <c r="AF160" s="241">
        <f t="shared" si="243"/>
        <v>0</v>
      </c>
      <c r="AG160" s="241">
        <f t="shared" si="243"/>
        <v>0</v>
      </c>
      <c r="AH160" s="241">
        <f t="shared" si="243"/>
        <v>0</v>
      </c>
      <c r="AI160" s="241">
        <f t="shared" si="243"/>
        <v>0</v>
      </c>
      <c r="AJ160" s="241">
        <f t="shared" si="243"/>
        <v>0</v>
      </c>
      <c r="AK160" s="241">
        <f t="shared" si="243"/>
        <v>0</v>
      </c>
      <c r="AL160" s="241">
        <f t="shared" si="243"/>
        <v>0</v>
      </c>
      <c r="AM160" s="241">
        <f t="shared" si="243"/>
        <v>0</v>
      </c>
      <c r="AN160" s="241">
        <f t="shared" si="243"/>
        <v>0</v>
      </c>
      <c r="AO160" s="241">
        <f t="shared" si="243"/>
        <v>0</v>
      </c>
      <c r="AP160" s="241">
        <f t="shared" si="243"/>
        <v>0</v>
      </c>
      <c r="AQ160" s="241">
        <f t="shared" si="243"/>
        <v>0</v>
      </c>
      <c r="AR160" s="241">
        <f t="shared" si="243"/>
        <v>0</v>
      </c>
      <c r="AS160" s="241">
        <f t="shared" si="243"/>
        <v>0</v>
      </c>
      <c r="AT160" s="241">
        <f t="shared" si="243"/>
        <v>0</v>
      </c>
      <c r="AU160" s="241">
        <f t="shared" si="243"/>
        <v>0</v>
      </c>
      <c r="AV160" s="241">
        <f t="shared" si="243"/>
        <v>0</v>
      </c>
      <c r="AW160" s="241">
        <f t="shared" si="243"/>
        <v>0</v>
      </c>
      <c r="AX160" s="241">
        <f t="shared" si="243"/>
        <v>0</v>
      </c>
    </row>
    <row r="161" spans="1:50" ht="15" customHeight="1">
      <c r="A161" s="17"/>
      <c r="B161" s="17"/>
      <c r="C161" s="17"/>
      <c r="D161" s="17"/>
      <c r="E161" s="17" t="s">
        <v>257</v>
      </c>
      <c r="F161" s="17"/>
      <c r="G161" s="17" t="s">
        <v>256</v>
      </c>
      <c r="H161" s="17"/>
      <c r="I161" s="62"/>
      <c r="J161" s="17"/>
      <c r="K161" s="241">
        <f>IF(OR(K160=1,K162=1),0,IF($I$151&lt;K145,0,IF($I$151&lt;K146,($I$151-(MAX($I$150+1,K145)))/K159,MIN(1,(K146-$I$150)/K159))))</f>
        <v>0</v>
      </c>
      <c r="L161" s="241">
        <f t="shared" ref="L161:AX161" si="244">IF(OR(L160=1,L162=1),0,IF($I$151&lt;L145,0,IF($I$151&lt;L146,($I$151-(MAX($I$150+1,L145)))/L159,MIN(1,(L146-$I$150)/L159))))</f>
        <v>0</v>
      </c>
      <c r="M161" s="241">
        <f t="shared" si="244"/>
        <v>0</v>
      </c>
      <c r="N161" s="241">
        <f t="shared" si="244"/>
        <v>0</v>
      </c>
      <c r="O161" s="241">
        <f t="shared" si="244"/>
        <v>0</v>
      </c>
      <c r="P161" s="241">
        <f t="shared" si="244"/>
        <v>0</v>
      </c>
      <c r="Q161" s="241">
        <f t="shared" si="244"/>
        <v>0</v>
      </c>
      <c r="R161" s="241">
        <f t="shared" si="244"/>
        <v>0</v>
      </c>
      <c r="S161" s="241">
        <f t="shared" si="244"/>
        <v>0</v>
      </c>
      <c r="T161" s="241">
        <f t="shared" si="244"/>
        <v>0</v>
      </c>
      <c r="U161" s="241">
        <f t="shared" si="244"/>
        <v>0</v>
      </c>
      <c r="V161" s="241">
        <f t="shared" si="244"/>
        <v>0</v>
      </c>
      <c r="W161" s="241">
        <f t="shared" si="244"/>
        <v>0</v>
      </c>
      <c r="X161" s="241">
        <f t="shared" si="244"/>
        <v>0</v>
      </c>
      <c r="Y161" s="241">
        <f t="shared" si="244"/>
        <v>0</v>
      </c>
      <c r="Z161" s="241">
        <f t="shared" si="244"/>
        <v>0</v>
      </c>
      <c r="AA161" s="241">
        <f t="shared" si="244"/>
        <v>0</v>
      </c>
      <c r="AB161" s="241">
        <f t="shared" si="244"/>
        <v>0</v>
      </c>
      <c r="AC161" s="241">
        <f t="shared" si="244"/>
        <v>0</v>
      </c>
      <c r="AD161" s="241">
        <f t="shared" si="244"/>
        <v>0</v>
      </c>
      <c r="AE161" s="241">
        <f t="shared" si="244"/>
        <v>0</v>
      </c>
      <c r="AF161" s="241">
        <f t="shared" si="244"/>
        <v>0</v>
      </c>
      <c r="AG161" s="241">
        <f t="shared" si="244"/>
        <v>0</v>
      </c>
      <c r="AH161" s="241">
        <f t="shared" si="244"/>
        <v>0</v>
      </c>
      <c r="AI161" s="241">
        <f t="shared" si="244"/>
        <v>0</v>
      </c>
      <c r="AJ161" s="241">
        <f t="shared" si="244"/>
        <v>0</v>
      </c>
      <c r="AK161" s="241">
        <f t="shared" si="244"/>
        <v>0</v>
      </c>
      <c r="AL161" s="241">
        <f t="shared" si="244"/>
        <v>0</v>
      </c>
      <c r="AM161" s="241">
        <f t="shared" si="244"/>
        <v>0</v>
      </c>
      <c r="AN161" s="241">
        <f t="shared" si="244"/>
        <v>0</v>
      </c>
      <c r="AO161" s="241">
        <f t="shared" si="244"/>
        <v>0</v>
      </c>
      <c r="AP161" s="241">
        <f t="shared" si="244"/>
        <v>0</v>
      </c>
      <c r="AQ161" s="241">
        <f t="shared" si="244"/>
        <v>0</v>
      </c>
      <c r="AR161" s="241">
        <f t="shared" si="244"/>
        <v>0</v>
      </c>
      <c r="AS161" s="241">
        <f t="shared" si="244"/>
        <v>0</v>
      </c>
      <c r="AT161" s="241">
        <f t="shared" si="244"/>
        <v>0</v>
      </c>
      <c r="AU161" s="241">
        <f t="shared" si="244"/>
        <v>0</v>
      </c>
      <c r="AV161" s="241">
        <f t="shared" si="244"/>
        <v>0</v>
      </c>
      <c r="AW161" s="241">
        <f t="shared" si="244"/>
        <v>0</v>
      </c>
      <c r="AX161" s="241">
        <f t="shared" si="244"/>
        <v>0</v>
      </c>
    </row>
    <row r="162" spans="1:50" ht="15" customHeight="1">
      <c r="A162" s="17"/>
      <c r="B162" s="17"/>
      <c r="D162" s="17"/>
      <c r="E162" s="17" t="s">
        <v>258</v>
      </c>
      <c r="F162" s="17"/>
      <c r="G162" s="17" t="s">
        <v>256</v>
      </c>
      <c r="H162" s="17"/>
      <c r="I162" s="62"/>
      <c r="J162" s="17"/>
      <c r="K162" s="241">
        <f t="shared" ref="K162:AX162" si="245">IF(OR($I$151&gt;K$146,$I$152&lt;K$145),0,IF($I$151&gt;=K$145,(K$146-$I$151+1)/K$159,IF($I$152&lt;=K$146,($I$152-K$145+1)/K$159,1)))</f>
        <v>0</v>
      </c>
      <c r="L162" s="241">
        <f t="shared" si="245"/>
        <v>0</v>
      </c>
      <c r="M162" s="241">
        <f t="shared" si="245"/>
        <v>0</v>
      </c>
      <c r="N162" s="241">
        <f t="shared" si="245"/>
        <v>0</v>
      </c>
      <c r="O162" s="241">
        <f t="shared" si="245"/>
        <v>0</v>
      </c>
      <c r="P162" s="241">
        <f t="shared" si="245"/>
        <v>0</v>
      </c>
      <c r="Q162" s="241">
        <f t="shared" si="245"/>
        <v>0</v>
      </c>
      <c r="R162" s="241">
        <f t="shared" si="245"/>
        <v>0</v>
      </c>
      <c r="S162" s="241">
        <f t="shared" si="245"/>
        <v>0</v>
      </c>
      <c r="T162" s="241">
        <f t="shared" si="245"/>
        <v>0</v>
      </c>
      <c r="U162" s="241">
        <f t="shared" si="245"/>
        <v>0</v>
      </c>
      <c r="V162" s="241">
        <f t="shared" si="245"/>
        <v>0</v>
      </c>
      <c r="W162" s="241">
        <f t="shared" si="245"/>
        <v>0.92054794520547945</v>
      </c>
      <c r="X162" s="241">
        <f t="shared" si="245"/>
        <v>1</v>
      </c>
      <c r="Y162" s="241">
        <f t="shared" si="245"/>
        <v>1</v>
      </c>
      <c r="Z162" s="241">
        <f t="shared" si="245"/>
        <v>1</v>
      </c>
      <c r="AA162" s="241">
        <f t="shared" si="245"/>
        <v>1</v>
      </c>
      <c r="AB162" s="241">
        <f t="shared" si="245"/>
        <v>1</v>
      </c>
      <c r="AC162" s="241">
        <f t="shared" si="245"/>
        <v>1</v>
      </c>
      <c r="AD162" s="241">
        <f t="shared" si="245"/>
        <v>1</v>
      </c>
      <c r="AE162" s="241">
        <f t="shared" si="245"/>
        <v>1</v>
      </c>
      <c r="AF162" s="241">
        <f t="shared" si="245"/>
        <v>1</v>
      </c>
      <c r="AG162" s="241">
        <f t="shared" si="245"/>
        <v>1</v>
      </c>
      <c r="AH162" s="241">
        <f t="shared" si="245"/>
        <v>1</v>
      </c>
      <c r="AI162" s="241">
        <f t="shared" si="245"/>
        <v>1</v>
      </c>
      <c r="AJ162" s="241">
        <f t="shared" si="245"/>
        <v>1</v>
      </c>
      <c r="AK162" s="241">
        <f t="shared" si="245"/>
        <v>1</v>
      </c>
      <c r="AL162" s="241">
        <f t="shared" si="245"/>
        <v>1</v>
      </c>
      <c r="AM162" s="241">
        <f t="shared" si="245"/>
        <v>1</v>
      </c>
      <c r="AN162" s="241">
        <f t="shared" si="245"/>
        <v>1</v>
      </c>
      <c r="AO162" s="241">
        <f t="shared" si="245"/>
        <v>1</v>
      </c>
      <c r="AP162" s="241">
        <f t="shared" si="245"/>
        <v>1</v>
      </c>
      <c r="AQ162" s="241">
        <f t="shared" si="245"/>
        <v>1</v>
      </c>
      <c r="AR162" s="241">
        <f t="shared" si="245"/>
        <v>1</v>
      </c>
      <c r="AS162" s="241">
        <f t="shared" si="245"/>
        <v>0.32876712328767121</v>
      </c>
      <c r="AT162" s="241">
        <f t="shared" si="245"/>
        <v>0</v>
      </c>
      <c r="AU162" s="241">
        <f t="shared" si="245"/>
        <v>0</v>
      </c>
      <c r="AV162" s="241">
        <f t="shared" si="245"/>
        <v>0</v>
      </c>
      <c r="AW162" s="241">
        <f t="shared" si="245"/>
        <v>0</v>
      </c>
      <c r="AX162" s="241">
        <f t="shared" si="245"/>
        <v>0</v>
      </c>
    </row>
    <row r="163" spans="1:50" ht="15" customHeight="1">
      <c r="A163" s="17"/>
      <c r="B163" s="17"/>
      <c r="C163" s="17"/>
      <c r="D163" s="17"/>
      <c r="E163" s="17" t="s">
        <v>259</v>
      </c>
      <c r="F163" s="17"/>
      <c r="G163" s="17" t="s">
        <v>256</v>
      </c>
      <c r="H163" s="17"/>
      <c r="I163" s="62"/>
      <c r="J163" s="17"/>
      <c r="K163" s="241">
        <f>IF(OR($I$149&gt;K$146,$I$152&lt;K$145),0,IF($I$149&gt;=K$145,(K$146-$I$149+1)/K$159,IF($I$152&lt;=K$146,($I$152-K$145+1)/K$159,1)))</f>
        <v>0</v>
      </c>
      <c r="L163" s="241">
        <f t="shared" ref="L163:AX163" si="246">IF(OR($I$149&gt;L$146,$I$152&lt;L$145),0,IF($I$149&gt;=L$145,(L$146-$I$149+1)/L$159,IF($I$152&lt;=L$146,($I$152-L$145+1)/L$159,1)))</f>
        <v>0</v>
      </c>
      <c r="M163" s="241">
        <f t="shared" si="246"/>
        <v>0</v>
      </c>
      <c r="N163" s="241">
        <f t="shared" si="246"/>
        <v>0</v>
      </c>
      <c r="O163" s="241">
        <f t="shared" si="246"/>
        <v>0</v>
      </c>
      <c r="P163" s="241">
        <f t="shared" si="246"/>
        <v>0</v>
      </c>
      <c r="Q163" s="241">
        <f t="shared" si="246"/>
        <v>0</v>
      </c>
      <c r="R163" s="241">
        <f t="shared" si="246"/>
        <v>0</v>
      </c>
      <c r="S163" s="241">
        <f t="shared" si="246"/>
        <v>0</v>
      </c>
      <c r="T163" s="241">
        <f t="shared" si="246"/>
        <v>0.67123287671232879</v>
      </c>
      <c r="U163" s="241">
        <f t="shared" si="246"/>
        <v>1</v>
      </c>
      <c r="V163" s="241">
        <f t="shared" si="246"/>
        <v>1</v>
      </c>
      <c r="W163" s="241">
        <f t="shared" si="246"/>
        <v>1</v>
      </c>
      <c r="X163" s="241">
        <f t="shared" si="246"/>
        <v>1</v>
      </c>
      <c r="Y163" s="241">
        <f t="shared" si="246"/>
        <v>1</v>
      </c>
      <c r="Z163" s="241">
        <f t="shared" si="246"/>
        <v>1</v>
      </c>
      <c r="AA163" s="241">
        <f t="shared" si="246"/>
        <v>1</v>
      </c>
      <c r="AB163" s="241">
        <f t="shared" si="246"/>
        <v>1</v>
      </c>
      <c r="AC163" s="241">
        <f t="shared" si="246"/>
        <v>1</v>
      </c>
      <c r="AD163" s="241">
        <f t="shared" si="246"/>
        <v>1</v>
      </c>
      <c r="AE163" s="241">
        <f t="shared" si="246"/>
        <v>1</v>
      </c>
      <c r="AF163" s="241">
        <f t="shared" si="246"/>
        <v>1</v>
      </c>
      <c r="AG163" s="241">
        <f t="shared" si="246"/>
        <v>1</v>
      </c>
      <c r="AH163" s="241">
        <f t="shared" si="246"/>
        <v>1</v>
      </c>
      <c r="AI163" s="241">
        <f t="shared" si="246"/>
        <v>1</v>
      </c>
      <c r="AJ163" s="241">
        <f t="shared" si="246"/>
        <v>1</v>
      </c>
      <c r="AK163" s="241">
        <f t="shared" si="246"/>
        <v>1</v>
      </c>
      <c r="AL163" s="241">
        <f t="shared" si="246"/>
        <v>1</v>
      </c>
      <c r="AM163" s="241">
        <f t="shared" si="246"/>
        <v>1</v>
      </c>
      <c r="AN163" s="241">
        <f t="shared" si="246"/>
        <v>1</v>
      </c>
      <c r="AO163" s="241">
        <f t="shared" si="246"/>
        <v>1</v>
      </c>
      <c r="AP163" s="241">
        <f t="shared" si="246"/>
        <v>1</v>
      </c>
      <c r="AQ163" s="241">
        <f t="shared" si="246"/>
        <v>1</v>
      </c>
      <c r="AR163" s="241">
        <f t="shared" si="246"/>
        <v>1</v>
      </c>
      <c r="AS163" s="241">
        <f t="shared" si="246"/>
        <v>0.32876712328767121</v>
      </c>
      <c r="AT163" s="241">
        <f t="shared" si="246"/>
        <v>0</v>
      </c>
      <c r="AU163" s="241">
        <f t="shared" si="246"/>
        <v>0</v>
      </c>
      <c r="AV163" s="241">
        <f t="shared" si="246"/>
        <v>0</v>
      </c>
      <c r="AW163" s="241">
        <f t="shared" si="246"/>
        <v>0</v>
      </c>
      <c r="AX163" s="241">
        <f t="shared" si="246"/>
        <v>0</v>
      </c>
    </row>
    <row r="164" spans="1:50" ht="15" customHeight="1">
      <c r="A164" s="17"/>
      <c r="B164" s="17"/>
      <c r="C164" s="17"/>
      <c r="D164" s="17"/>
      <c r="E164" s="17" t="s">
        <v>260</v>
      </c>
      <c r="F164" s="17"/>
      <c r="G164" s="17" t="s">
        <v>261</v>
      </c>
      <c r="H164" s="17"/>
      <c r="I164" s="62"/>
      <c r="J164" s="17"/>
      <c r="K164" s="241">
        <f>ROUNDUP(SUM($K$163:K163)*(K163&lt;&gt;0),0)</f>
        <v>0</v>
      </c>
      <c r="L164" s="241">
        <f>ROUNDUP(SUM($K$163:L163)*(L163&lt;&gt;0),0)</f>
        <v>0</v>
      </c>
      <c r="M164" s="241">
        <f>ROUNDUP(SUM($K$163:M163)*(M163&lt;&gt;0),0)</f>
        <v>0</v>
      </c>
      <c r="N164" s="241">
        <f>ROUNDUP(SUM($K$163:N163)*(N163&lt;&gt;0),0)</f>
        <v>0</v>
      </c>
      <c r="O164" s="241">
        <f>ROUNDUP(SUM($K$163:O163)*(O163&lt;&gt;0),0)</f>
        <v>0</v>
      </c>
      <c r="P164" s="241">
        <f>ROUNDUP(SUM($K$163:P163)*(P163&lt;&gt;0),0)</f>
        <v>0</v>
      </c>
      <c r="Q164" s="241">
        <f>ROUNDUP(SUM($K$163:Q163)*(Q163&lt;&gt;0),0)</f>
        <v>0</v>
      </c>
      <c r="R164" s="241">
        <f>ROUNDUP(SUM($K$163:R163)*(R163&lt;&gt;0),0)</f>
        <v>0</v>
      </c>
      <c r="S164" s="241">
        <f>ROUNDUP(SUM($K$163:S163)*(S163&lt;&gt;0),0)</f>
        <v>0</v>
      </c>
      <c r="T164" s="241">
        <f>ROUNDUP(SUM($K$163:T163)*(T163&lt;&gt;0),0)</f>
        <v>1</v>
      </c>
      <c r="U164" s="241">
        <f>ROUNDUP(SUM($K$163:U163)*(U163&lt;&gt;0),0)</f>
        <v>2</v>
      </c>
      <c r="V164" s="241">
        <f>ROUNDUP(SUM($K$163:V163)*(V163&lt;&gt;0),0)</f>
        <v>3</v>
      </c>
      <c r="W164" s="241">
        <f>ROUNDUP(SUM($K$163:W163)*(W163&lt;&gt;0),0)</f>
        <v>4</v>
      </c>
      <c r="X164" s="241">
        <f>ROUNDUP(SUM($K$163:X163)*(X163&lt;&gt;0),0)</f>
        <v>5</v>
      </c>
      <c r="Y164" s="241">
        <f>ROUNDUP(SUM($K$163:Y163)*(Y163&lt;&gt;0),0)</f>
        <v>6</v>
      </c>
      <c r="Z164" s="241">
        <f>ROUNDUP(SUM($K$163:Z163)*(Z163&lt;&gt;0),0)</f>
        <v>7</v>
      </c>
      <c r="AA164" s="241">
        <f>ROUNDUP(SUM($K$163:AA163)*(AA163&lt;&gt;0),0)</f>
        <v>8</v>
      </c>
      <c r="AB164" s="241">
        <f>ROUNDUP(SUM($K$163:AB163)*(AB163&lt;&gt;0),0)</f>
        <v>9</v>
      </c>
      <c r="AC164" s="241">
        <f>ROUNDUP(SUM($K$163:AC163)*(AC163&lt;&gt;0),0)</f>
        <v>10</v>
      </c>
      <c r="AD164" s="241">
        <f>ROUNDUP(SUM($K$163:AD163)*(AD163&lt;&gt;0),0)</f>
        <v>11</v>
      </c>
      <c r="AE164" s="241">
        <f>ROUNDUP(SUM($K$163:AE163)*(AE163&lt;&gt;0),0)</f>
        <v>12</v>
      </c>
      <c r="AF164" s="241">
        <f>ROUNDUP(SUM($K$163:AF163)*(AF163&lt;&gt;0),0)</f>
        <v>13</v>
      </c>
      <c r="AG164" s="241">
        <f>ROUNDUP(SUM($K$163:AG163)*(AG163&lt;&gt;0),0)</f>
        <v>14</v>
      </c>
      <c r="AH164" s="241">
        <f>ROUNDUP(SUM($K$163:AH163)*(AH163&lt;&gt;0),0)</f>
        <v>15</v>
      </c>
      <c r="AI164" s="241">
        <f>ROUNDUP(SUM($K$163:AI163)*(AI163&lt;&gt;0),0)</f>
        <v>16</v>
      </c>
      <c r="AJ164" s="241">
        <f>ROUNDUP(SUM($K$163:AJ163)*(AJ163&lt;&gt;0),0)</f>
        <v>17</v>
      </c>
      <c r="AK164" s="241">
        <f>ROUNDUP(SUM($K$163:AK163)*(AK163&lt;&gt;0),0)</f>
        <v>18</v>
      </c>
      <c r="AL164" s="241">
        <f>ROUNDUP(SUM($K$163:AL163)*(AL163&lt;&gt;0),0)</f>
        <v>19</v>
      </c>
      <c r="AM164" s="241">
        <f>ROUNDUP(SUM($K$163:AM163)*(AM163&lt;&gt;0),0)</f>
        <v>20</v>
      </c>
      <c r="AN164" s="241">
        <f>ROUNDUP(SUM($K$163:AN163)*(AN163&lt;&gt;0),0)</f>
        <v>21</v>
      </c>
      <c r="AO164" s="241">
        <f>ROUNDUP(SUM($K$163:AO163)*(AO163&lt;&gt;0),0)</f>
        <v>22</v>
      </c>
      <c r="AP164" s="241">
        <f>ROUNDUP(SUM($K$163:AP163)*(AP163&lt;&gt;0),0)</f>
        <v>23</v>
      </c>
      <c r="AQ164" s="241">
        <f>ROUNDUP(SUM($K$163:AQ163)*(AQ163&lt;&gt;0),0)</f>
        <v>24</v>
      </c>
      <c r="AR164" s="241">
        <f>ROUNDUP(SUM($K$163:AR163)*(AR163&lt;&gt;0),0)</f>
        <v>25</v>
      </c>
      <c r="AS164" s="241">
        <f>ROUNDUP(SUM($K$163:AS163)*(AS163&lt;&gt;0),0)</f>
        <v>25</v>
      </c>
      <c r="AT164" s="241">
        <f>ROUNDUP(SUM($K$163:AT163)*(AT163&lt;&gt;0),0)</f>
        <v>0</v>
      </c>
      <c r="AU164" s="241">
        <f>ROUNDUP(SUM($K$163:AU163)*(AU163&lt;&gt;0),0)</f>
        <v>0</v>
      </c>
      <c r="AV164" s="241">
        <f>ROUNDUP(SUM($K$163:AV163)*(AV163&lt;&gt;0),0)</f>
        <v>0</v>
      </c>
      <c r="AW164" s="241">
        <f>ROUNDUP(SUM($K$163:AW163)*(AW163&lt;&gt;0),0)</f>
        <v>0</v>
      </c>
      <c r="AX164" s="241">
        <f>ROUNDUP(SUM($K$163:AX163)*(AX163&lt;&gt;0),0)</f>
        <v>0</v>
      </c>
    </row>
    <row r="165" spans="1:50" ht="15" customHeight="1">
      <c r="A165" s="17"/>
      <c r="B165" s="17"/>
      <c r="C165" s="17"/>
      <c r="D165" s="17"/>
      <c r="E165" s="17" t="s">
        <v>262</v>
      </c>
      <c r="F165" s="17"/>
      <c r="G165" s="17" t="s">
        <v>256</v>
      </c>
      <c r="H165" s="17"/>
      <c r="I165" s="62"/>
      <c r="J165" s="17"/>
      <c r="K165" s="241">
        <f>IF(AND(SUM(K34:K36)&lt;&gt;0,SUM(L34:$AY36)=0),1,0)</f>
        <v>0</v>
      </c>
      <c r="L165" s="241">
        <f>IF(AND(SUM(L34:L36)&lt;&gt;0,SUM(M34:$AY36)=0),1,0)</f>
        <v>0</v>
      </c>
      <c r="M165" s="241">
        <f>IF(AND(SUM(M34:M36)&lt;&gt;0,SUM(N34:$AY36)=0),1,0)</f>
        <v>0</v>
      </c>
      <c r="N165" s="241">
        <f>IF(AND(SUM(N34:N36)&lt;&gt;0,SUM(O34:$AY36)=0),1,0)</f>
        <v>0</v>
      </c>
      <c r="O165" s="241">
        <f>IF(AND(SUM(O34:O36)&lt;&gt;0,SUM(P34:$AY36)=0),1,0)</f>
        <v>0</v>
      </c>
      <c r="P165" s="241">
        <f>IF(AND(SUM(P34:P36)&lt;&gt;0,SUM(Q34:$AY36)=0),1,0)</f>
        <v>0</v>
      </c>
      <c r="Q165" s="241">
        <f>IF(AND(SUM(Q34:Q36)&lt;&gt;0,SUM(R34:$AY36)=0),1,0)</f>
        <v>0</v>
      </c>
      <c r="R165" s="241">
        <f>IF(AND(SUM(R34:R36)&lt;&gt;0,SUM(S34:$AY36)=0),1,0)</f>
        <v>0</v>
      </c>
      <c r="S165" s="241">
        <f>IF(AND(SUM(S34:S36)&lt;&gt;0,SUM(T34:$AY36)=0),1,0)</f>
        <v>0</v>
      </c>
      <c r="T165" s="241">
        <f>IF(AND(SUM(T34:T36)&lt;&gt;0,SUM(U34:$AY36)=0),1,0)</f>
        <v>0</v>
      </c>
      <c r="U165" s="241">
        <f>IF(AND(SUM(U34:U36)&lt;&gt;0,SUM(V34:$AY36)=0),1,0)</f>
        <v>0</v>
      </c>
      <c r="V165" s="241">
        <f>IF(AND(SUM(V34:V36)&lt;&gt;0,SUM(W34:$AY36)=0),1,0)</f>
        <v>0</v>
      </c>
      <c r="W165" s="241">
        <f>IF(AND(SUM(W34:W36)&lt;&gt;0,SUM(X34:$AY36)=0),1,0)</f>
        <v>1</v>
      </c>
      <c r="X165" s="241">
        <f>IF(AND(SUM(X34:X36)&lt;&gt;0,SUM(Y34:$AY36)=0),1,0)</f>
        <v>0</v>
      </c>
      <c r="Y165" s="241">
        <f>IF(AND(SUM(Y34:Y36)&lt;&gt;0,SUM(Z34:$AY36)=0),1,0)</f>
        <v>0</v>
      </c>
      <c r="Z165" s="241">
        <f>IF(AND(SUM(Z34:Z36)&lt;&gt;0,SUM(AA34:$AY36)=0),1,0)</f>
        <v>0</v>
      </c>
      <c r="AA165" s="241">
        <f>IF(AND(SUM(AA34:AA36)&lt;&gt;0,SUM(AB34:$AY36)=0),1,0)</f>
        <v>0</v>
      </c>
      <c r="AB165" s="241">
        <f>IF(AND(SUM(AB34:AB36)&lt;&gt;0,SUM(AC34:$AY36)=0),1,0)</f>
        <v>0</v>
      </c>
      <c r="AC165" s="241">
        <f>IF(AND(SUM(AC34:AC36)&lt;&gt;0,SUM(AD34:$AY36)=0),1,0)</f>
        <v>0</v>
      </c>
      <c r="AD165" s="241">
        <f>IF(AND(SUM(AD34:AD36)&lt;&gt;0,SUM(AE34:$AY36)=0),1,0)</f>
        <v>0</v>
      </c>
      <c r="AE165" s="241">
        <f>IF(AND(SUM(AE34:AE36)&lt;&gt;0,SUM(AF34:$AY36)=0),1,0)</f>
        <v>0</v>
      </c>
      <c r="AF165" s="241">
        <f>IF(AND(SUM(AF34:AF36)&lt;&gt;0,SUM(AG34:$AY36)=0),1,0)</f>
        <v>0</v>
      </c>
      <c r="AG165" s="241">
        <f>IF(AND(SUM(AG34:AG36)&lt;&gt;0,SUM(AH34:$AY36)=0),1,0)</f>
        <v>0</v>
      </c>
      <c r="AH165" s="241">
        <f>IF(AND(SUM(AH34:AH36)&lt;&gt;0,SUM(AI34:$AY36)=0),1,0)</f>
        <v>0</v>
      </c>
      <c r="AI165" s="241">
        <f>IF(AND(SUM(AI34:AI36)&lt;&gt;0,SUM(AJ34:$AY36)=0),1,0)</f>
        <v>0</v>
      </c>
      <c r="AJ165" s="241">
        <f>IF(AND(SUM(AJ34:AJ36)&lt;&gt;0,SUM(AK34:$AY36)=0),1,0)</f>
        <v>0</v>
      </c>
      <c r="AK165" s="241">
        <f>IF(AND(SUM(AK34:AK36)&lt;&gt;0,SUM(AL34:$AY36)=0),1,0)</f>
        <v>0</v>
      </c>
      <c r="AL165" s="241">
        <f>IF(AND(SUM(AL34:AL36)&lt;&gt;0,SUM(AM34:$AY36)=0),1,0)</f>
        <v>0</v>
      </c>
      <c r="AM165" s="241">
        <f>IF(AND(SUM(AM34:AM36)&lt;&gt;0,SUM(AN34:$AY36)=0),1,0)</f>
        <v>0</v>
      </c>
      <c r="AN165" s="241">
        <f>IF(AND(SUM(AN34:AN36)&lt;&gt;0,SUM(AO34:$AY36)=0),1,0)</f>
        <v>0</v>
      </c>
      <c r="AO165" s="241">
        <f>IF(AND(SUM(AO34:AO36)&lt;&gt;0,SUM(AP34:$AY36)=0),1,0)</f>
        <v>0</v>
      </c>
      <c r="AP165" s="241">
        <f>IF(AND(SUM(AP34:AP36)&lt;&gt;0,SUM(AQ34:$AY36)=0),1,0)</f>
        <v>0</v>
      </c>
      <c r="AQ165" s="241">
        <f>IF(AND(SUM(AQ34:AQ36)&lt;&gt;0,SUM(AR34:$AY36)=0),1,0)</f>
        <v>0</v>
      </c>
      <c r="AR165" s="241">
        <f>IF(AND(SUM(AR34:AR36)&lt;&gt;0,SUM(AS34:$AY36)=0),1,0)</f>
        <v>0</v>
      </c>
      <c r="AS165" s="241">
        <f>IF(AND(SUM(AS34:AS36)&lt;&gt;0,SUM(AT34:$AY36)=0),1,0)</f>
        <v>0</v>
      </c>
      <c r="AT165" s="241">
        <f>IF(AND(SUM(AT34:AT36)&lt;&gt;0,SUM(AU34:$AY36)=0),1,0)</f>
        <v>0</v>
      </c>
      <c r="AU165" s="241">
        <f>IF(AND(SUM(AU34:AU36)&lt;&gt;0,SUM(AV34:$AY36)=0),1,0)</f>
        <v>0</v>
      </c>
      <c r="AV165" s="241">
        <f>IF(AND(SUM(AV34:AV36)&lt;&gt;0,SUM(AW34:$AY36)=0),1,0)</f>
        <v>0</v>
      </c>
      <c r="AW165" s="241">
        <f>IF(AND(SUM(AW34:AW36)&lt;&gt;0,SUM(AX34:$AY36)=0),1,0)</f>
        <v>0</v>
      </c>
      <c r="AX165" s="241">
        <f>IF(AND(SUM(AX34:AX36)&lt;&gt;0,SUM(AY34:$AY36)=0),1,0)</f>
        <v>0</v>
      </c>
    </row>
    <row r="166" spans="1:50" ht="14.25" customHeight="1">
      <c r="A166" s="17"/>
      <c r="B166" s="17"/>
      <c r="C166" s="17"/>
      <c r="D166" s="17"/>
      <c r="E166" s="17" t="s">
        <v>263</v>
      </c>
      <c r="F166" s="17"/>
      <c r="G166" s="17" t="s">
        <v>256</v>
      </c>
      <c r="H166" s="17" t="s">
        <v>264</v>
      </c>
      <c r="I166" s="62"/>
      <c r="J166" s="17"/>
      <c r="K166" s="241">
        <f t="shared" ref="K166:L166" si="247">IF(AND($I$151&lt;=K$146,$I$151&gt;=K$145),1,0)</f>
        <v>0</v>
      </c>
      <c r="L166" s="241">
        <f t="shared" si="247"/>
        <v>0</v>
      </c>
      <c r="M166" s="241">
        <f>IF(AND($I$151&lt;=M$146,$I$151&gt;=M$145),1,0)</f>
        <v>0</v>
      </c>
      <c r="N166" s="241">
        <f t="shared" ref="N166:AX166" si="248">IF(AND($I$151&lt;=N$146,$I$151&gt;=N$145),1,0)</f>
        <v>0</v>
      </c>
      <c r="O166" s="241">
        <f t="shared" si="248"/>
        <v>0</v>
      </c>
      <c r="P166" s="241">
        <f t="shared" si="248"/>
        <v>0</v>
      </c>
      <c r="Q166" s="241">
        <f t="shared" si="248"/>
        <v>0</v>
      </c>
      <c r="R166" s="241">
        <f t="shared" si="248"/>
        <v>0</v>
      </c>
      <c r="S166" s="241">
        <f t="shared" si="248"/>
        <v>0</v>
      </c>
      <c r="T166" s="241">
        <f t="shared" si="248"/>
        <v>0</v>
      </c>
      <c r="U166" s="241">
        <f t="shared" si="248"/>
        <v>0</v>
      </c>
      <c r="V166" s="241">
        <f t="shared" si="248"/>
        <v>0</v>
      </c>
      <c r="W166" s="241">
        <f t="shared" si="248"/>
        <v>1</v>
      </c>
      <c r="X166" s="241">
        <f t="shared" si="248"/>
        <v>0</v>
      </c>
      <c r="Y166" s="241">
        <f t="shared" si="248"/>
        <v>0</v>
      </c>
      <c r="Z166" s="241">
        <f t="shared" si="248"/>
        <v>0</v>
      </c>
      <c r="AA166" s="241">
        <f t="shared" si="248"/>
        <v>0</v>
      </c>
      <c r="AB166" s="241">
        <f t="shared" si="248"/>
        <v>0</v>
      </c>
      <c r="AC166" s="241">
        <f t="shared" si="248"/>
        <v>0</v>
      </c>
      <c r="AD166" s="241">
        <f t="shared" si="248"/>
        <v>0</v>
      </c>
      <c r="AE166" s="241">
        <f t="shared" si="248"/>
        <v>0</v>
      </c>
      <c r="AF166" s="241">
        <f t="shared" si="248"/>
        <v>0</v>
      </c>
      <c r="AG166" s="241">
        <f t="shared" si="248"/>
        <v>0</v>
      </c>
      <c r="AH166" s="241">
        <f t="shared" si="248"/>
        <v>0</v>
      </c>
      <c r="AI166" s="241">
        <f t="shared" si="248"/>
        <v>0</v>
      </c>
      <c r="AJ166" s="241">
        <f t="shared" si="248"/>
        <v>0</v>
      </c>
      <c r="AK166" s="241">
        <f t="shared" si="248"/>
        <v>0</v>
      </c>
      <c r="AL166" s="241">
        <f t="shared" si="248"/>
        <v>0</v>
      </c>
      <c r="AM166" s="241">
        <f t="shared" si="248"/>
        <v>0</v>
      </c>
      <c r="AN166" s="241">
        <f t="shared" si="248"/>
        <v>0</v>
      </c>
      <c r="AO166" s="241">
        <f t="shared" si="248"/>
        <v>0</v>
      </c>
      <c r="AP166" s="241">
        <f t="shared" si="248"/>
        <v>0</v>
      </c>
      <c r="AQ166" s="241">
        <f t="shared" si="248"/>
        <v>0</v>
      </c>
      <c r="AR166" s="241">
        <f t="shared" si="248"/>
        <v>0</v>
      </c>
      <c r="AS166" s="241">
        <f t="shared" si="248"/>
        <v>0</v>
      </c>
      <c r="AT166" s="241">
        <f t="shared" si="248"/>
        <v>0</v>
      </c>
      <c r="AU166" s="241">
        <f t="shared" si="248"/>
        <v>0</v>
      </c>
      <c r="AV166" s="241">
        <f t="shared" si="248"/>
        <v>0</v>
      </c>
      <c r="AW166" s="241">
        <f t="shared" si="248"/>
        <v>0</v>
      </c>
      <c r="AX166" s="241">
        <f t="shared" si="248"/>
        <v>0</v>
      </c>
    </row>
    <row r="167" spans="1:50" ht="15" customHeight="1">
      <c r="A167" s="17"/>
      <c r="B167" s="17"/>
      <c r="C167" s="17"/>
      <c r="D167" s="17"/>
      <c r="E167" s="17" t="s">
        <v>265</v>
      </c>
      <c r="F167" s="17"/>
      <c r="G167" s="17" t="s">
        <v>256</v>
      </c>
      <c r="H167" s="17"/>
      <c r="I167" s="62"/>
      <c r="J167" s="17"/>
      <c r="K167" s="241">
        <f>IF(AND(SUM($J35:K35)=0,L35&gt;0),1,0)</f>
        <v>0</v>
      </c>
      <c r="L167" s="241">
        <f>IF(AND(SUM($J35:L35)=0,M35&gt;0),1,0)</f>
        <v>0</v>
      </c>
      <c r="M167" s="241">
        <f>IF(AND(SUM($J35:M35)=0,N35&gt;0),1,0)</f>
        <v>0</v>
      </c>
      <c r="N167" s="241">
        <f>IF(AND(SUM($J35:N35)=0,O35&gt;0),1,0)</f>
        <v>0</v>
      </c>
      <c r="O167" s="241">
        <f>IF(AND(SUM($J35:O35)=0,P35&gt;0),1,0)</f>
        <v>0</v>
      </c>
      <c r="P167" s="241">
        <f>IF(AND(SUM($J35:P35)=0,Q35&gt;0),1,0)</f>
        <v>0</v>
      </c>
      <c r="Q167" s="241">
        <f>IF(AND(SUM($J35:Q35)=0,R35&gt;0),1,0)</f>
        <v>0</v>
      </c>
      <c r="R167" s="241">
        <f>IF(AND(SUM($J35:R35)=0,S35&gt;0),1,0)</f>
        <v>1</v>
      </c>
      <c r="S167" s="241">
        <f>IF(AND(SUM($J35:S35)=0,T35&gt;0),1,0)</f>
        <v>0</v>
      </c>
      <c r="T167" s="241">
        <f>IF(AND(SUM($J35:T35)=0,U35&gt;0),1,0)</f>
        <v>0</v>
      </c>
      <c r="U167" s="241">
        <f>IF(AND(SUM($J35:U35)=0,V35&gt;0),1,0)</f>
        <v>0</v>
      </c>
      <c r="V167" s="241">
        <f>IF(AND(SUM($J35:V35)=0,W35&gt;0),1,0)</f>
        <v>0</v>
      </c>
      <c r="W167" s="241">
        <f>IF(AND(SUM($J35:W35)=0,X35&gt;0),1,0)</f>
        <v>0</v>
      </c>
      <c r="X167" s="241">
        <f>IF(AND(SUM($J35:X35)=0,Y35&gt;0),1,0)</f>
        <v>0</v>
      </c>
      <c r="Y167" s="241">
        <f>IF(AND(SUM($J35:Y35)=0,Z35&gt;0),1,0)</f>
        <v>0</v>
      </c>
      <c r="Z167" s="241">
        <f>IF(AND(SUM($J35:Z35)=0,AA35&gt;0),1,0)</f>
        <v>0</v>
      </c>
      <c r="AA167" s="241">
        <f>IF(AND(SUM($J35:AA35)=0,AB35&gt;0),1,0)</f>
        <v>0</v>
      </c>
      <c r="AB167" s="241">
        <f>IF(AND(SUM($J35:AB35)=0,AC35&gt;0),1,0)</f>
        <v>0</v>
      </c>
      <c r="AC167" s="241">
        <f>IF(AND(SUM($J35:AC35)=0,AD35&gt;0),1,0)</f>
        <v>0</v>
      </c>
      <c r="AD167" s="241">
        <f>IF(AND(SUM($J35:AD35)=0,AE35&gt;0),1,0)</f>
        <v>0</v>
      </c>
      <c r="AE167" s="241">
        <f>IF(AND(SUM($J35:AE35)=0,AF35&gt;0),1,0)</f>
        <v>0</v>
      </c>
      <c r="AF167" s="241">
        <f>IF(AND(SUM($J35:AF35)=0,AG35&gt;0),1,0)</f>
        <v>0</v>
      </c>
      <c r="AG167" s="241">
        <f>IF(AND(SUM($J35:AG35)=0,AH35&gt;0),1,0)</f>
        <v>0</v>
      </c>
      <c r="AH167" s="241">
        <f>IF(AND(SUM($J35:AH35)=0,AI35&gt;0),1,0)</f>
        <v>0</v>
      </c>
      <c r="AI167" s="241">
        <f>IF(AND(SUM($J35:AI35)=0,AJ35&gt;0),1,0)</f>
        <v>0</v>
      </c>
      <c r="AJ167" s="241">
        <f>IF(AND(SUM($J35:AJ35)=0,AK35&gt;0),1,0)</f>
        <v>0</v>
      </c>
      <c r="AK167" s="241">
        <f>IF(AND(SUM($J35:AK35)=0,AL35&gt;0),1,0)</f>
        <v>0</v>
      </c>
      <c r="AL167" s="241">
        <f>IF(AND(SUM($J35:AL35)=0,AM35&gt;0),1,0)</f>
        <v>0</v>
      </c>
      <c r="AM167" s="241">
        <f>IF(AND(SUM($J35:AM35)=0,AN35&gt;0),1,0)</f>
        <v>0</v>
      </c>
      <c r="AN167" s="241">
        <f>IF(AND(SUM($J35:AN35)=0,AO35&gt;0),1,0)</f>
        <v>0</v>
      </c>
      <c r="AO167" s="241">
        <f>IF(AND(SUM($J35:AO35)=0,AP35&gt;0),1,0)</f>
        <v>0</v>
      </c>
      <c r="AP167" s="241">
        <f>IF(AND(SUM($J35:AP35)=0,AQ35&gt;0),1,0)</f>
        <v>0</v>
      </c>
      <c r="AQ167" s="241">
        <f>IF(AND(SUM($J35:AQ35)=0,AR35&gt;0),1,0)</f>
        <v>0</v>
      </c>
      <c r="AR167" s="241">
        <f>IF(AND(SUM($J35:AR35)=0,AS35&gt;0),1,0)</f>
        <v>0</v>
      </c>
      <c r="AS167" s="241">
        <f>IF(AND(SUM($J35:AS35)=0,AT35&gt;0),1,0)</f>
        <v>0</v>
      </c>
      <c r="AT167" s="241">
        <f>IF(AND(SUM($J35:AT35)=0,AU35&gt;0),1,0)</f>
        <v>0</v>
      </c>
      <c r="AU167" s="241">
        <f>IF(AND(SUM($J35:AU35)=0,AV35&gt;0),1,0)</f>
        <v>0</v>
      </c>
      <c r="AV167" s="241">
        <f>IF(AND(SUM($J35:AV35)=0,AW35&gt;0),1,0)</f>
        <v>0</v>
      </c>
      <c r="AW167" s="241">
        <f>IF(AND(SUM($J35:AW35)=0,AX35&gt;0),1,0)</f>
        <v>0</v>
      </c>
      <c r="AX167" s="241">
        <f>IF(AND(SUM($J35:AX35)=0,AY35&gt;0),1,0)</f>
        <v>0</v>
      </c>
    </row>
    <row r="168" spans="1:50" ht="15" customHeight="1">
      <c r="A168" s="223"/>
      <c r="B168" s="17"/>
      <c r="C168" s="17"/>
      <c r="D168" s="17"/>
      <c r="E168" s="17" t="s">
        <v>266</v>
      </c>
      <c r="F168" s="17"/>
      <c r="G168" s="17" t="s">
        <v>256</v>
      </c>
      <c r="H168" s="17"/>
      <c r="I168" s="62"/>
      <c r="J168" s="17"/>
      <c r="K168" s="242">
        <f>IF(AND(SUM($J35:J35)=0,K35&gt;0),1,0)</f>
        <v>0</v>
      </c>
      <c r="L168" s="242">
        <f>IF(AND(SUM($J35:K35)=0,L35&gt;0),1,0)</f>
        <v>0</v>
      </c>
      <c r="M168" s="242">
        <f>IF(AND(SUM($J35:L35)=0,M35&gt;0),1,0)</f>
        <v>0</v>
      </c>
      <c r="N168" s="242">
        <f>IF(AND(SUM($J35:M35)=0,N35&gt;0),1,0)</f>
        <v>0</v>
      </c>
      <c r="O168" s="242">
        <f>IF(AND(SUM($J35:N35)=0,O35&gt;0),1,0)</f>
        <v>0</v>
      </c>
      <c r="P168" s="242">
        <f>IF(AND(SUM($J35:O35)=0,P35&gt;0),1,0)</f>
        <v>0</v>
      </c>
      <c r="Q168" s="242">
        <f>IF(AND(SUM($J35:P35)=0,Q35&gt;0),1,0)</f>
        <v>0</v>
      </c>
      <c r="R168" s="242">
        <f>IF(AND(SUM($J35:Q35)=0,R35&gt;0),1,0)</f>
        <v>0</v>
      </c>
      <c r="S168" s="242">
        <f>IF(AND(SUM($J35:R35)=0,S35&gt;0),1,0)</f>
        <v>1</v>
      </c>
      <c r="T168" s="242">
        <f>IF(AND(SUM($J35:S35)=0,T35&gt;0),1,0)</f>
        <v>0</v>
      </c>
      <c r="U168" s="242">
        <f>IF(AND(SUM($J35:T35)=0,U35&gt;0),1,0)</f>
        <v>0</v>
      </c>
      <c r="V168" s="242">
        <f>IF(AND(SUM($J35:U35)=0,V35&gt;0),1,0)</f>
        <v>0</v>
      </c>
      <c r="W168" s="242">
        <f>IF(AND(SUM($J35:V35)=0,W35&gt;0),1,0)</f>
        <v>0</v>
      </c>
      <c r="X168" s="242">
        <f>IF(AND(SUM($J35:W35)=0,X35&gt;0),1,0)</f>
        <v>0</v>
      </c>
      <c r="Y168" s="242">
        <f>IF(AND(SUM($J35:X35)=0,Y35&gt;0),1,0)</f>
        <v>0</v>
      </c>
      <c r="Z168" s="242">
        <f>IF(AND(SUM($J35:Y35)=0,Z35&gt;0),1,0)</f>
        <v>0</v>
      </c>
      <c r="AA168" s="242">
        <f>IF(AND(SUM($J35:Z35)=0,AA35&gt;0),1,0)</f>
        <v>0</v>
      </c>
      <c r="AB168" s="242">
        <f>IF(AND(SUM($J35:AA35)=0,AB35&gt;0),1,0)</f>
        <v>0</v>
      </c>
      <c r="AC168" s="242">
        <f>IF(AND(SUM($J35:AB35)=0,AC35&gt;0),1,0)</f>
        <v>0</v>
      </c>
      <c r="AD168" s="242">
        <f>IF(AND(SUM($J35:AC35)=0,AD35&gt;0),1,0)</f>
        <v>0</v>
      </c>
      <c r="AE168" s="242">
        <f>IF(AND(SUM($J35:AD35)=0,AE35&gt;0),1,0)</f>
        <v>0</v>
      </c>
      <c r="AF168" s="242">
        <f>IF(AND(SUM($J35:AE35)=0,AF35&gt;0),1,0)</f>
        <v>0</v>
      </c>
      <c r="AG168" s="242">
        <f>IF(AND(SUM($J35:AF35)=0,AG35&gt;0),1,0)</f>
        <v>0</v>
      </c>
      <c r="AH168" s="242">
        <f>IF(AND(SUM($J35:AG35)=0,AH35&gt;0),1,0)</f>
        <v>0</v>
      </c>
      <c r="AI168" s="242">
        <f>IF(AND(SUM($J35:AH35)=0,AI35&gt;0),1,0)</f>
        <v>0</v>
      </c>
      <c r="AJ168" s="242">
        <f>IF(AND(SUM($J35:AI35)=0,AJ35&gt;0),1,0)</f>
        <v>0</v>
      </c>
      <c r="AK168" s="242">
        <f>IF(AND(SUM($J35:AJ35)=0,AK35&gt;0),1,0)</f>
        <v>0</v>
      </c>
      <c r="AL168" s="242">
        <f>IF(AND(SUM($J35:AK35)=0,AL35&gt;0),1,0)</f>
        <v>0</v>
      </c>
      <c r="AM168" s="242">
        <f>IF(AND(SUM($J35:AL35)=0,AM35&gt;0),1,0)</f>
        <v>0</v>
      </c>
      <c r="AN168" s="242">
        <f>IF(AND(SUM($J35:AM35)=0,AN35&gt;0),1,0)</f>
        <v>0</v>
      </c>
      <c r="AO168" s="242">
        <f>IF(AND(SUM($J35:AN35)=0,AO35&gt;0),1,0)</f>
        <v>0</v>
      </c>
      <c r="AP168" s="242">
        <f>IF(AND(SUM($J35:AO35)=0,AP35&gt;0),1,0)</f>
        <v>0</v>
      </c>
      <c r="AQ168" s="242">
        <f>IF(AND(SUM($J35:AP35)=0,AQ35&gt;0),1,0)</f>
        <v>0</v>
      </c>
      <c r="AR168" s="242">
        <f>IF(AND(SUM($J35:AQ35)=0,AR35&gt;0),1,0)</f>
        <v>0</v>
      </c>
      <c r="AS168" s="242">
        <f>IF(AND(SUM($J35:AR35)=0,AS35&gt;0),1,0)</f>
        <v>0</v>
      </c>
      <c r="AT168" s="242">
        <f>IF(AND(SUM($J35:AS35)=0,AT35&gt;0),1,0)</f>
        <v>0</v>
      </c>
      <c r="AU168" s="242">
        <f>IF(AND(SUM($J35:AT35)=0,AU35&gt;0),1,0)</f>
        <v>0</v>
      </c>
      <c r="AV168" s="242">
        <f>IF(AND(SUM($J35:AU35)=0,AV35&gt;0),1,0)</f>
        <v>0</v>
      </c>
      <c r="AW168" s="242">
        <f>IF(AND(SUM($J35:AV35)=0,AW35&gt;0),1,0)</f>
        <v>0</v>
      </c>
      <c r="AX168" s="242">
        <f>IF(AND(SUM($J35:AW35)=0,AX35&gt;0),1,0)</f>
        <v>0</v>
      </c>
    </row>
    <row r="169" spans="1:50" ht="15" customHeight="1">
      <c r="A169" s="223"/>
      <c r="B169" s="17"/>
      <c r="C169" s="17"/>
      <c r="D169" s="17"/>
      <c r="E169" s="17" t="s">
        <v>267</v>
      </c>
      <c r="F169" s="17"/>
      <c r="G169" s="17" t="s">
        <v>256</v>
      </c>
      <c r="H169" s="17"/>
      <c r="I169" s="62"/>
      <c r="J169" s="17"/>
      <c r="K169" s="242">
        <f>(SUM($J$168:K168)&gt;=1)*(SUM($J$166:K166)&lt;1)</f>
        <v>0</v>
      </c>
      <c r="L169" s="242">
        <f>(SUM($J$168:L168)&gt;=1)*(SUM($J$166:L166)&lt;1)</f>
        <v>0</v>
      </c>
      <c r="M169" s="242">
        <f>(SUM($J$168:M168)&gt;=1)*(SUM($J$166:M166)&lt;1)</f>
        <v>0</v>
      </c>
      <c r="N169" s="242">
        <f>(SUM($J$168:N168)&gt;=1)*(SUM($J$166:N166)&lt;1)</f>
        <v>0</v>
      </c>
      <c r="O169" s="242">
        <f>(SUM($J$168:O168)&gt;=1)*(SUM($J$166:O166)&lt;1)</f>
        <v>0</v>
      </c>
      <c r="P169" s="242">
        <f>(SUM($J$168:P168)&gt;=1)*(SUM($J$166:P166)&lt;1)</f>
        <v>0</v>
      </c>
      <c r="Q169" s="242">
        <f>(SUM($J$168:Q168)&gt;=1)*(SUM($J$166:Q166)&lt;1)</f>
        <v>0</v>
      </c>
      <c r="R169" s="242">
        <f>(SUM($J$168:R168)&gt;=1)*(SUM($J$166:R166)&lt;1)</f>
        <v>0</v>
      </c>
      <c r="S169" s="242">
        <f>(SUM($J$168:S168)&gt;=1)*(SUM($J$166:S166)&lt;1)</f>
        <v>1</v>
      </c>
      <c r="T169" s="242">
        <f>(SUM($J$168:T168)&gt;=1)*(SUM($J$166:T166)&lt;1)</f>
        <v>1</v>
      </c>
      <c r="U169" s="242">
        <f>(SUM($J$168:U168)&gt;=1)*(SUM($J$166:U166)&lt;1)</f>
        <v>1</v>
      </c>
      <c r="V169" s="242">
        <f>(SUM($J$168:V168)&gt;=1)*(SUM($J$166:V166)&lt;1)</f>
        <v>1</v>
      </c>
      <c r="W169" s="242">
        <f>(SUM($J$168:W168)&gt;=1)*(SUM($J$166:W166)&lt;1)</f>
        <v>0</v>
      </c>
      <c r="X169" s="242">
        <f>(SUM($J$168:X168)&gt;=1)*(SUM($J$166:X166)&lt;1)</f>
        <v>0</v>
      </c>
      <c r="Y169" s="242">
        <f>(SUM($J$168:Y168)&gt;=1)*(SUM($J$166:Y166)&lt;1)</f>
        <v>0</v>
      </c>
      <c r="Z169" s="242">
        <f>(SUM($J$168:Z168)&gt;=1)*(SUM($J$166:Z166)&lt;1)</f>
        <v>0</v>
      </c>
      <c r="AA169" s="242">
        <f>(SUM($J$168:AA168)&gt;=1)*(SUM($J$166:AA166)&lt;1)</f>
        <v>0</v>
      </c>
      <c r="AB169" s="242">
        <f>(SUM($J$168:AB168)&gt;=1)*(SUM($J$166:AB166)&lt;1)</f>
        <v>0</v>
      </c>
      <c r="AC169" s="242">
        <f>(SUM($J$168:AC168)&gt;=1)*(SUM($J$166:AC166)&lt;1)</f>
        <v>0</v>
      </c>
      <c r="AD169" s="242">
        <f>(SUM($J$168:AD168)&gt;=1)*(SUM($J$166:AD166)&lt;1)</f>
        <v>0</v>
      </c>
      <c r="AE169" s="242">
        <f>(SUM($J$168:AE168)&gt;=1)*(SUM($J$166:AE166)&lt;1)</f>
        <v>0</v>
      </c>
      <c r="AF169" s="242">
        <f>(SUM($J$168:AF168)&gt;=1)*(SUM($J$166:AF166)&lt;1)</f>
        <v>0</v>
      </c>
      <c r="AG169" s="242">
        <f>(SUM($J$168:AG168)&gt;=1)*(SUM($J$166:AG166)&lt;1)</f>
        <v>0</v>
      </c>
      <c r="AH169" s="242">
        <f>(SUM($J$168:AH168)&gt;=1)*(SUM($J$166:AH166)&lt;1)</f>
        <v>0</v>
      </c>
      <c r="AI169" s="242">
        <f>(SUM($J$168:AI168)&gt;=1)*(SUM($J$166:AI166)&lt;1)</f>
        <v>0</v>
      </c>
      <c r="AJ169" s="242">
        <f>(SUM($J$168:AJ168)&gt;=1)*(SUM($J$166:AJ166)&lt;1)</f>
        <v>0</v>
      </c>
      <c r="AK169" s="242">
        <f>(SUM($J$168:AK168)&gt;=1)*(SUM($J$166:AK166)&lt;1)</f>
        <v>0</v>
      </c>
      <c r="AL169" s="242">
        <f>(SUM($J$168:AL168)&gt;=1)*(SUM($J$166:AL166)&lt;1)</f>
        <v>0</v>
      </c>
      <c r="AM169" s="242">
        <f>(SUM($J$168:AM168)&gt;=1)*(SUM($J$166:AM166)&lt;1)</f>
        <v>0</v>
      </c>
      <c r="AN169" s="242">
        <f>(SUM($J$168:AN168)&gt;=1)*(SUM($J$166:AN166)&lt;1)</f>
        <v>0</v>
      </c>
      <c r="AO169" s="242">
        <f>(SUM($J$168:AO168)&gt;=1)*(SUM($J$166:AO166)&lt;1)</f>
        <v>0</v>
      </c>
      <c r="AP169" s="242">
        <f>(SUM($J$168:AP168)&gt;=1)*(SUM($J$166:AP166)&lt;1)</f>
        <v>0</v>
      </c>
      <c r="AQ169" s="242">
        <f>(SUM($J$168:AQ168)&gt;=1)*(SUM($J$166:AQ166)&lt;1)</f>
        <v>0</v>
      </c>
      <c r="AR169" s="242">
        <f>(SUM($J$168:AR168)&gt;=1)*(SUM($J$166:AR166)&lt;1)</f>
        <v>0</v>
      </c>
      <c r="AS169" s="242">
        <f>(SUM($J$168:AS168)&gt;=1)*(SUM($J$166:AS166)&lt;1)</f>
        <v>0</v>
      </c>
      <c r="AT169" s="242">
        <f>(SUM($J$168:AT168)&gt;=1)*(SUM($J$166:AT166)&lt;1)</f>
        <v>0</v>
      </c>
      <c r="AU169" s="242">
        <f>(SUM($J$168:AU168)&gt;=1)*(SUM($J$166:AU166)&lt;1)</f>
        <v>0</v>
      </c>
      <c r="AV169" s="242">
        <f>(SUM($J$168:AV168)&gt;=1)*(SUM($J$166:AV166)&lt;1)</f>
        <v>0</v>
      </c>
      <c r="AW169" s="242">
        <f>(SUM($J$168:AW168)&gt;=1)*(SUM($J$166:AW166)&lt;1)</f>
        <v>0</v>
      </c>
      <c r="AX169" s="242">
        <f>(SUM($J$168:AX168)&gt;=1)*(SUM($J$166:AX166)&lt;1)</f>
        <v>0</v>
      </c>
    </row>
    <row r="170" spans="1:50" ht="15" customHeight="1">
      <c r="A170" s="223"/>
      <c r="B170" s="17"/>
      <c r="C170" s="17"/>
      <c r="D170" s="17"/>
      <c r="E170" s="17" t="s">
        <v>268</v>
      </c>
      <c r="F170" s="17"/>
      <c r="G170" s="17" t="s">
        <v>256</v>
      </c>
      <c r="H170" s="17"/>
      <c r="I170" s="62"/>
      <c r="J170" s="17"/>
      <c r="K170" s="242">
        <f>IF(OR($I$151&gt;K$146,$I$153&lt;K$145),0,IF($I$151&gt;=K$145,(K$146-$I$151+1)/K$159,IF($I$153&lt;=K$146,($I$153-K$145+1)/K$159,1)))</f>
        <v>0</v>
      </c>
      <c r="L170" s="242">
        <f t="shared" ref="L170:AX170" si="249">IF(OR($I$151&gt;L$146,$I$153&lt;L$145),0,IF($I$151&gt;=L$145,(L$146-$I$151+1)/L$159,IF($I$153&lt;=L$146,($I$153-L$145+1)/L$159,1)))</f>
        <v>0</v>
      </c>
      <c r="M170" s="242">
        <f t="shared" si="249"/>
        <v>0</v>
      </c>
      <c r="N170" s="242">
        <f t="shared" si="249"/>
        <v>0</v>
      </c>
      <c r="O170" s="242">
        <f t="shared" si="249"/>
        <v>0</v>
      </c>
      <c r="P170" s="242">
        <f t="shared" si="249"/>
        <v>0</v>
      </c>
      <c r="Q170" s="242">
        <f t="shared" si="249"/>
        <v>0</v>
      </c>
      <c r="R170" s="242">
        <f t="shared" si="249"/>
        <v>0</v>
      </c>
      <c r="S170" s="242">
        <f t="shared" si="249"/>
        <v>0</v>
      </c>
      <c r="T170" s="242">
        <f t="shared" si="249"/>
        <v>0</v>
      </c>
      <c r="U170" s="242">
        <f t="shared" si="249"/>
        <v>0</v>
      </c>
      <c r="V170" s="242">
        <f t="shared" si="249"/>
        <v>0</v>
      </c>
      <c r="W170" s="242">
        <f t="shared" si="249"/>
        <v>0.92054794520547945</v>
      </c>
      <c r="X170" s="242">
        <f t="shared" si="249"/>
        <v>1</v>
      </c>
      <c r="Y170" s="242">
        <f t="shared" si="249"/>
        <v>1</v>
      </c>
      <c r="Z170" s="242">
        <f t="shared" si="249"/>
        <v>1</v>
      </c>
      <c r="AA170" s="242">
        <f t="shared" si="249"/>
        <v>1</v>
      </c>
      <c r="AB170" s="242">
        <f t="shared" si="249"/>
        <v>1</v>
      </c>
      <c r="AC170" s="242">
        <f t="shared" si="249"/>
        <v>1</v>
      </c>
      <c r="AD170" s="242">
        <f t="shared" si="249"/>
        <v>1</v>
      </c>
      <c r="AE170" s="242">
        <f t="shared" si="249"/>
        <v>1</v>
      </c>
      <c r="AF170" s="242">
        <f t="shared" si="249"/>
        <v>1</v>
      </c>
      <c r="AG170" s="242">
        <f t="shared" si="249"/>
        <v>1</v>
      </c>
      <c r="AH170" s="242">
        <f t="shared" si="249"/>
        <v>1</v>
      </c>
      <c r="AI170" s="242">
        <f t="shared" si="249"/>
        <v>1</v>
      </c>
      <c r="AJ170" s="242">
        <f t="shared" si="249"/>
        <v>1</v>
      </c>
      <c r="AK170" s="242">
        <f t="shared" si="249"/>
        <v>1</v>
      </c>
      <c r="AL170" s="242">
        <f t="shared" si="249"/>
        <v>1</v>
      </c>
      <c r="AM170" s="242">
        <f t="shared" si="249"/>
        <v>1</v>
      </c>
      <c r="AN170" s="242">
        <f t="shared" si="249"/>
        <v>1</v>
      </c>
      <c r="AO170" s="242">
        <f t="shared" si="249"/>
        <v>1</v>
      </c>
      <c r="AP170" s="242">
        <f t="shared" si="249"/>
        <v>1</v>
      </c>
      <c r="AQ170" s="242">
        <f t="shared" si="249"/>
        <v>1</v>
      </c>
      <c r="AR170" s="242">
        <f t="shared" si="249"/>
        <v>1</v>
      </c>
      <c r="AS170" s="242">
        <f t="shared" si="249"/>
        <v>0.66575342465753429</v>
      </c>
      <c r="AT170" s="242">
        <f t="shared" si="249"/>
        <v>0</v>
      </c>
      <c r="AU170" s="242">
        <f t="shared" si="249"/>
        <v>0</v>
      </c>
      <c r="AV170" s="242">
        <f t="shared" si="249"/>
        <v>0</v>
      </c>
      <c r="AW170" s="242">
        <f t="shared" si="249"/>
        <v>0</v>
      </c>
      <c r="AX170" s="242">
        <f t="shared" si="249"/>
        <v>0</v>
      </c>
    </row>
    <row r="171" spans="1:50" ht="15" customHeight="1">
      <c r="A171" s="223"/>
      <c r="B171" s="17"/>
      <c r="C171" s="17"/>
      <c r="D171" s="17"/>
      <c r="E171" s="17" t="s">
        <v>269</v>
      </c>
      <c r="F171" s="17"/>
      <c r="G171" s="17" t="s">
        <v>261</v>
      </c>
      <c r="H171" s="17"/>
      <c r="I171" s="62"/>
      <c r="J171" s="17"/>
      <c r="K171" s="241">
        <f>SUM($K$170:K170)*(K170&lt;&gt;0)</f>
        <v>0</v>
      </c>
      <c r="L171" s="241">
        <f>SUM($K$170:L170)*(L170&lt;&gt;0)</f>
        <v>0</v>
      </c>
      <c r="M171" s="241">
        <f>SUM($K$170:M170)*(M170&lt;&gt;0)</f>
        <v>0</v>
      </c>
      <c r="N171" s="241">
        <f>SUM($K$170:N170)*(N170&lt;&gt;0)</f>
        <v>0</v>
      </c>
      <c r="O171" s="241">
        <f>SUM($K$170:O170)*(O170&lt;&gt;0)</f>
        <v>0</v>
      </c>
      <c r="P171" s="241">
        <f>SUM($K$170:P170)*(P170&lt;&gt;0)</f>
        <v>0</v>
      </c>
      <c r="Q171" s="241">
        <f>SUM($K$170:Q170)*(Q170&lt;&gt;0)</f>
        <v>0</v>
      </c>
      <c r="R171" s="241">
        <f>SUM($K$170:R170)*(R170&lt;&gt;0)</f>
        <v>0</v>
      </c>
      <c r="S171" s="241">
        <f>SUM($K$170:S170)*(S170&lt;&gt;0)</f>
        <v>0</v>
      </c>
      <c r="T171" s="241">
        <f>SUM($K$170:T170)*(T170&lt;&gt;0)</f>
        <v>0</v>
      </c>
      <c r="U171" s="241">
        <f>SUM($K$170:U170)*(U170&lt;&gt;0)</f>
        <v>0</v>
      </c>
      <c r="V171" s="241">
        <f>SUM($K$170:V170)*(V170&lt;&gt;0)</f>
        <v>0</v>
      </c>
      <c r="W171" s="241">
        <f>SUM($K$170:W170)*(W170&lt;&gt;0)</f>
        <v>0.92054794520547945</v>
      </c>
      <c r="X171" s="241">
        <f>SUM($K$170:X170)*(X170&lt;&gt;0)</f>
        <v>1.9205479452054794</v>
      </c>
      <c r="Y171" s="241">
        <f>SUM($K$170:Y170)*(Y170&lt;&gt;0)</f>
        <v>2.9205479452054792</v>
      </c>
      <c r="Z171" s="241">
        <f>SUM($K$170:Z170)*(Z170&lt;&gt;0)</f>
        <v>3.9205479452054792</v>
      </c>
      <c r="AA171" s="241">
        <f>SUM($K$170:AA170)*(AA170&lt;&gt;0)</f>
        <v>4.9205479452054792</v>
      </c>
      <c r="AB171" s="241">
        <f>SUM($K$170:AB170)*(AB170&lt;&gt;0)</f>
        <v>5.9205479452054792</v>
      </c>
      <c r="AC171" s="241">
        <f>SUM($K$170:AC170)*(AC170&lt;&gt;0)</f>
        <v>6.9205479452054792</v>
      </c>
      <c r="AD171" s="241">
        <f>SUM($K$170:AD170)*(AD170&lt;&gt;0)</f>
        <v>7.9205479452054792</v>
      </c>
      <c r="AE171" s="241">
        <f>SUM($K$170:AE170)*(AE170&lt;&gt;0)</f>
        <v>8.9205479452054792</v>
      </c>
      <c r="AF171" s="241">
        <f>SUM($K$170:AF170)*(AF170&lt;&gt;0)</f>
        <v>9.9205479452054792</v>
      </c>
      <c r="AG171" s="241">
        <f>SUM($K$170:AG170)*(AG170&lt;&gt;0)</f>
        <v>10.920547945205479</v>
      </c>
      <c r="AH171" s="241">
        <f>SUM($K$170:AH170)*(AH170&lt;&gt;0)</f>
        <v>11.920547945205479</v>
      </c>
      <c r="AI171" s="241">
        <f>SUM($K$170:AI170)*(AI170&lt;&gt;0)</f>
        <v>12.920547945205479</v>
      </c>
      <c r="AJ171" s="241">
        <f>SUM($K$170:AJ170)*(AJ170&lt;&gt;0)</f>
        <v>13.920547945205479</v>
      </c>
      <c r="AK171" s="241">
        <f>SUM($K$170:AK170)*(AK170&lt;&gt;0)</f>
        <v>14.920547945205479</v>
      </c>
      <c r="AL171" s="241">
        <f>SUM($K$170:AL170)*(AL170&lt;&gt;0)</f>
        <v>15.920547945205479</v>
      </c>
      <c r="AM171" s="241">
        <f>SUM($K$170:AM170)*(AM170&lt;&gt;0)</f>
        <v>16.920547945205477</v>
      </c>
      <c r="AN171" s="241">
        <f>SUM($K$170:AN170)*(AN170&lt;&gt;0)</f>
        <v>17.920547945205477</v>
      </c>
      <c r="AO171" s="241">
        <f>SUM($K$170:AO170)*(AO170&lt;&gt;0)</f>
        <v>18.920547945205477</v>
      </c>
      <c r="AP171" s="241">
        <f>SUM($K$170:AP170)*(AP170&lt;&gt;0)</f>
        <v>19.920547945205477</v>
      </c>
      <c r="AQ171" s="241">
        <f>SUM($K$170:AQ170)*(AQ170&lt;&gt;0)</f>
        <v>20.920547945205477</v>
      </c>
      <c r="AR171" s="241">
        <f>SUM($K$170:AR170)*(AR170&lt;&gt;0)</f>
        <v>21.920547945205477</v>
      </c>
      <c r="AS171" s="241">
        <f>SUM($K$170:AS170)*(AS170&lt;&gt;0)</f>
        <v>22.586301369863012</v>
      </c>
      <c r="AT171" s="241">
        <f>SUM($K$170:AT170)*(AT170&lt;&gt;0)</f>
        <v>0</v>
      </c>
      <c r="AU171" s="241">
        <f>SUM($K$170:AU170)*(AU170&lt;&gt;0)</f>
        <v>0</v>
      </c>
      <c r="AV171" s="241">
        <f>SUM($K$170:AV170)*(AV170&lt;&gt;0)</f>
        <v>0</v>
      </c>
      <c r="AW171" s="241">
        <f>SUM($K$170:AW170)*(AW170&lt;&gt;0)</f>
        <v>0</v>
      </c>
      <c r="AX171" s="241">
        <f>SUM($K$170:AX170)*(AX170&lt;&gt;0)</f>
        <v>0</v>
      </c>
    </row>
    <row r="172" spans="1:50" ht="15" customHeight="1">
      <c r="A172" s="223"/>
      <c r="B172" s="17"/>
      <c r="C172" s="17"/>
      <c r="D172" s="17"/>
      <c r="E172" s="17" t="s">
        <v>270</v>
      </c>
      <c r="F172" s="17"/>
      <c r="G172" s="17" t="s">
        <v>256</v>
      </c>
      <c r="H172" s="17"/>
      <c r="I172" s="62"/>
      <c r="J172" s="17"/>
      <c r="K172" s="242">
        <f>IF(OR($I$151&gt;K$146,$I$154&lt;K$145),0,IF($I$151&gt;=K$145,(K$146-$I$151+1)/K$159,IF($I$154&lt;=K$146,($I$154-K$145+1)/K$159,1)))-K170</f>
        <v>0</v>
      </c>
      <c r="L172" s="242">
        <f t="shared" ref="L172:AX172" si="250">IF(OR($I$151&gt;L$146,$I$154&lt;L$145),0,IF($I$151&gt;=L$145,(L$146-$I$151+1)/L$159,IF($I$154&lt;=L$146,($I$154-L$145+1)/L$159,1)))-L170</f>
        <v>0</v>
      </c>
      <c r="M172" s="242">
        <f t="shared" si="250"/>
        <v>0</v>
      </c>
      <c r="N172" s="242">
        <f t="shared" si="250"/>
        <v>0</v>
      </c>
      <c r="O172" s="242">
        <f t="shared" si="250"/>
        <v>0</v>
      </c>
      <c r="P172" s="242">
        <f t="shared" si="250"/>
        <v>0</v>
      </c>
      <c r="Q172" s="242">
        <f t="shared" si="250"/>
        <v>0</v>
      </c>
      <c r="R172" s="242">
        <f t="shared" si="250"/>
        <v>0</v>
      </c>
      <c r="S172" s="242">
        <f t="shared" si="250"/>
        <v>0</v>
      </c>
      <c r="T172" s="242">
        <f t="shared" si="250"/>
        <v>0</v>
      </c>
      <c r="U172" s="242">
        <f t="shared" si="250"/>
        <v>0</v>
      </c>
      <c r="V172" s="242">
        <f t="shared" si="250"/>
        <v>0</v>
      </c>
      <c r="W172" s="242">
        <f t="shared" si="250"/>
        <v>0</v>
      </c>
      <c r="X172" s="242">
        <f t="shared" si="250"/>
        <v>0</v>
      </c>
      <c r="Y172" s="242">
        <f t="shared" si="250"/>
        <v>0</v>
      </c>
      <c r="Z172" s="242">
        <f t="shared" si="250"/>
        <v>0</v>
      </c>
      <c r="AA172" s="242">
        <f t="shared" si="250"/>
        <v>0</v>
      </c>
      <c r="AB172" s="242">
        <f t="shared" si="250"/>
        <v>0</v>
      </c>
      <c r="AC172" s="242">
        <f t="shared" si="250"/>
        <v>0</v>
      </c>
      <c r="AD172" s="242">
        <f t="shared" si="250"/>
        <v>0</v>
      </c>
      <c r="AE172" s="242">
        <f t="shared" si="250"/>
        <v>0</v>
      </c>
      <c r="AF172" s="242">
        <f t="shared" si="250"/>
        <v>0</v>
      </c>
      <c r="AG172" s="242">
        <f t="shared" si="250"/>
        <v>0</v>
      </c>
      <c r="AH172" s="242">
        <f t="shared" si="250"/>
        <v>0</v>
      </c>
      <c r="AI172" s="242">
        <f t="shared" si="250"/>
        <v>0</v>
      </c>
      <c r="AJ172" s="242">
        <f t="shared" si="250"/>
        <v>0</v>
      </c>
      <c r="AK172" s="242">
        <f t="shared" si="250"/>
        <v>0</v>
      </c>
      <c r="AL172" s="242">
        <f t="shared" si="250"/>
        <v>0</v>
      </c>
      <c r="AM172" s="242">
        <f t="shared" si="250"/>
        <v>0</v>
      </c>
      <c r="AN172" s="242">
        <f t="shared" si="250"/>
        <v>0</v>
      </c>
      <c r="AO172" s="242">
        <f t="shared" si="250"/>
        <v>0</v>
      </c>
      <c r="AP172" s="242">
        <f t="shared" si="250"/>
        <v>0</v>
      </c>
      <c r="AQ172" s="242">
        <f t="shared" si="250"/>
        <v>0</v>
      </c>
      <c r="AR172" s="242">
        <f t="shared" si="250"/>
        <v>0</v>
      </c>
      <c r="AS172" s="242">
        <f t="shared" si="250"/>
        <v>-0.33698630136986307</v>
      </c>
      <c r="AT172" s="242">
        <f t="shared" si="250"/>
        <v>0</v>
      </c>
      <c r="AU172" s="242">
        <f t="shared" si="250"/>
        <v>0</v>
      </c>
      <c r="AV172" s="242">
        <f t="shared" si="250"/>
        <v>0</v>
      </c>
      <c r="AW172" s="242">
        <f t="shared" si="250"/>
        <v>0</v>
      </c>
      <c r="AX172" s="242">
        <f t="shared" si="250"/>
        <v>0</v>
      </c>
    </row>
    <row r="173" spans="1:50" ht="15" customHeight="1">
      <c r="A173" s="17"/>
      <c r="B173" s="17"/>
      <c r="C173" s="17"/>
      <c r="D173" s="17"/>
      <c r="E173" s="17"/>
      <c r="F173" s="17"/>
      <c r="G173" s="17"/>
      <c r="H173" s="17"/>
      <c r="I173" s="62"/>
      <c r="J173" s="17"/>
      <c r="K173" s="78"/>
      <c r="L173" s="78"/>
      <c r="M173" s="78"/>
      <c r="N173" s="78"/>
      <c r="O173" s="78"/>
      <c r="P173" s="78"/>
      <c r="Q173" s="78"/>
      <c r="R173" s="78"/>
      <c r="S173" s="78"/>
      <c r="T173" s="78"/>
      <c r="U173" s="78"/>
      <c r="V173" s="78"/>
      <c r="W173" s="78"/>
      <c r="X173" s="78"/>
      <c r="Y173" s="78"/>
      <c r="Z173" s="78"/>
      <c r="AA173" s="78"/>
      <c r="AB173" s="78"/>
      <c r="AC173" s="78"/>
      <c r="AD173" s="78"/>
      <c r="AE173" s="78"/>
      <c r="AF173" s="78"/>
      <c r="AG173" s="78"/>
      <c r="AH173" s="78"/>
      <c r="AI173" s="78"/>
      <c r="AJ173" s="78"/>
      <c r="AK173" s="78"/>
      <c r="AL173" s="78"/>
      <c r="AM173" s="78"/>
      <c r="AN173" s="78"/>
      <c r="AO173" s="78"/>
      <c r="AP173" s="78"/>
      <c r="AQ173" s="78"/>
      <c r="AR173" s="78"/>
      <c r="AS173" s="78"/>
      <c r="AT173" s="78"/>
      <c r="AU173" s="78"/>
      <c r="AV173" s="78"/>
      <c r="AW173" s="78"/>
      <c r="AX173" s="78"/>
    </row>
    <row r="174" spans="1:50" ht="15" customHeight="1">
      <c r="A174" s="5"/>
      <c r="B174" s="5"/>
      <c r="C174" s="10" t="s">
        <v>271</v>
      </c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spans="1:50" ht="15" customHeight="1">
      <c r="A175" s="17"/>
      <c r="B175" s="17"/>
      <c r="C175" s="17"/>
      <c r="D175" s="17"/>
      <c r="E175" s="17"/>
      <c r="F175" s="17"/>
      <c r="G175" s="5"/>
      <c r="H175" s="17"/>
      <c r="I175" s="16"/>
      <c r="J175" s="17"/>
      <c r="K175" s="17"/>
      <c r="L175" s="17"/>
      <c r="M175" s="17"/>
      <c r="N175" s="17"/>
      <c r="O175" s="17"/>
      <c r="P175" s="6"/>
      <c r="Q175" s="6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  <c r="AO175" s="17"/>
      <c r="AP175" s="17"/>
      <c r="AQ175" s="17"/>
      <c r="AR175" s="17"/>
      <c r="AS175" s="17"/>
      <c r="AT175" s="17"/>
      <c r="AU175" s="17"/>
      <c r="AV175" s="17"/>
      <c r="AW175" s="17"/>
      <c r="AX175" s="17"/>
    </row>
    <row r="176" spans="1:50" ht="15" customHeight="1">
      <c r="A176" s="70"/>
      <c r="B176" s="70"/>
      <c r="C176" s="70"/>
      <c r="D176" s="70"/>
      <c r="E176" s="8" t="s">
        <v>126</v>
      </c>
      <c r="F176" s="72"/>
      <c r="G176" s="72"/>
      <c r="H176" s="72"/>
      <c r="I176" s="72"/>
      <c r="J176" s="71"/>
      <c r="K176" s="162">
        <f>K17</f>
        <v>41275</v>
      </c>
      <c r="L176" s="9">
        <f>+K177+1</f>
        <v>41640</v>
      </c>
      <c r="M176" s="9">
        <f>+L177+1</f>
        <v>42005</v>
      </c>
      <c r="N176" s="9">
        <f t="shared" ref="N176:AX176" si="251">+M177+1</f>
        <v>42370</v>
      </c>
      <c r="O176" s="9">
        <f t="shared" si="251"/>
        <v>42736</v>
      </c>
      <c r="P176" s="9">
        <f t="shared" si="251"/>
        <v>43101</v>
      </c>
      <c r="Q176" s="9">
        <f t="shared" si="251"/>
        <v>43466</v>
      </c>
      <c r="R176" s="9">
        <f t="shared" si="251"/>
        <v>43831</v>
      </c>
      <c r="S176" s="9">
        <f t="shared" si="251"/>
        <v>44197</v>
      </c>
      <c r="T176" s="9">
        <f t="shared" si="251"/>
        <v>44562</v>
      </c>
      <c r="U176" s="9">
        <f t="shared" si="251"/>
        <v>44927</v>
      </c>
      <c r="V176" s="9">
        <f t="shared" si="251"/>
        <v>45292</v>
      </c>
      <c r="W176" s="9">
        <f t="shared" si="251"/>
        <v>45658</v>
      </c>
      <c r="X176" s="9">
        <f t="shared" si="251"/>
        <v>46023</v>
      </c>
      <c r="Y176" s="9">
        <f t="shared" si="251"/>
        <v>46388</v>
      </c>
      <c r="Z176" s="9">
        <f t="shared" si="251"/>
        <v>46753</v>
      </c>
      <c r="AA176" s="9">
        <f t="shared" si="251"/>
        <v>47119</v>
      </c>
      <c r="AB176" s="9">
        <f t="shared" si="251"/>
        <v>47484</v>
      </c>
      <c r="AC176" s="9">
        <f t="shared" si="251"/>
        <v>47849</v>
      </c>
      <c r="AD176" s="9">
        <f t="shared" si="251"/>
        <v>48214</v>
      </c>
      <c r="AE176" s="9">
        <f t="shared" si="251"/>
        <v>48580</v>
      </c>
      <c r="AF176" s="9">
        <f t="shared" si="251"/>
        <v>48945</v>
      </c>
      <c r="AG176" s="9">
        <f t="shared" si="251"/>
        <v>49310</v>
      </c>
      <c r="AH176" s="9">
        <f t="shared" si="251"/>
        <v>49675</v>
      </c>
      <c r="AI176" s="9">
        <f t="shared" si="251"/>
        <v>50041</v>
      </c>
      <c r="AJ176" s="9">
        <f t="shared" si="251"/>
        <v>50406</v>
      </c>
      <c r="AK176" s="9">
        <f t="shared" si="251"/>
        <v>50771</v>
      </c>
      <c r="AL176" s="9">
        <f t="shared" si="251"/>
        <v>51136</v>
      </c>
      <c r="AM176" s="9">
        <f t="shared" si="251"/>
        <v>51502</v>
      </c>
      <c r="AN176" s="9">
        <f t="shared" si="251"/>
        <v>51867</v>
      </c>
      <c r="AO176" s="9">
        <f t="shared" si="251"/>
        <v>52232</v>
      </c>
      <c r="AP176" s="9">
        <f t="shared" si="251"/>
        <v>52597</v>
      </c>
      <c r="AQ176" s="9">
        <f t="shared" si="251"/>
        <v>52963</v>
      </c>
      <c r="AR176" s="9">
        <f t="shared" si="251"/>
        <v>53328</v>
      </c>
      <c r="AS176" s="9">
        <f t="shared" si="251"/>
        <v>53693</v>
      </c>
      <c r="AT176" s="9">
        <f t="shared" si="251"/>
        <v>54058</v>
      </c>
      <c r="AU176" s="9">
        <f t="shared" si="251"/>
        <v>54424</v>
      </c>
      <c r="AV176" s="9">
        <f t="shared" si="251"/>
        <v>54789</v>
      </c>
      <c r="AW176" s="9">
        <f t="shared" si="251"/>
        <v>55154</v>
      </c>
      <c r="AX176" s="9">
        <f t="shared" si="251"/>
        <v>55519</v>
      </c>
    </row>
    <row r="177" spans="1:50" ht="15" customHeight="1">
      <c r="A177" s="73"/>
      <c r="B177" s="73"/>
      <c r="C177" s="73"/>
      <c r="D177" s="73"/>
      <c r="E177" s="8" t="s">
        <v>127</v>
      </c>
      <c r="F177" s="73"/>
      <c r="G177" s="73"/>
      <c r="H177" s="73"/>
      <c r="I177" s="74"/>
      <c r="J177" s="73"/>
      <c r="K177" s="162">
        <f>K18</f>
        <v>41639</v>
      </c>
      <c r="L177" s="9">
        <f t="shared" ref="L177:AX177" si="252">DATE(YEAR(K177) + 1, MONTH(K177), DAY(K177))</f>
        <v>42004</v>
      </c>
      <c r="M177" s="9">
        <f t="shared" si="252"/>
        <v>42369</v>
      </c>
      <c r="N177" s="9">
        <f t="shared" si="252"/>
        <v>42735</v>
      </c>
      <c r="O177" s="9">
        <f t="shared" si="252"/>
        <v>43100</v>
      </c>
      <c r="P177" s="9">
        <f t="shared" si="252"/>
        <v>43465</v>
      </c>
      <c r="Q177" s="9">
        <f t="shared" si="252"/>
        <v>43830</v>
      </c>
      <c r="R177" s="9">
        <f t="shared" si="252"/>
        <v>44196</v>
      </c>
      <c r="S177" s="9">
        <f t="shared" si="252"/>
        <v>44561</v>
      </c>
      <c r="T177" s="9">
        <f t="shared" si="252"/>
        <v>44926</v>
      </c>
      <c r="U177" s="9">
        <f t="shared" si="252"/>
        <v>45291</v>
      </c>
      <c r="V177" s="9">
        <f t="shared" si="252"/>
        <v>45657</v>
      </c>
      <c r="W177" s="9">
        <f t="shared" si="252"/>
        <v>46022</v>
      </c>
      <c r="X177" s="9">
        <f t="shared" si="252"/>
        <v>46387</v>
      </c>
      <c r="Y177" s="9">
        <f t="shared" si="252"/>
        <v>46752</v>
      </c>
      <c r="Z177" s="9">
        <f t="shared" si="252"/>
        <v>47118</v>
      </c>
      <c r="AA177" s="9">
        <f t="shared" si="252"/>
        <v>47483</v>
      </c>
      <c r="AB177" s="9">
        <f t="shared" si="252"/>
        <v>47848</v>
      </c>
      <c r="AC177" s="9">
        <f t="shared" si="252"/>
        <v>48213</v>
      </c>
      <c r="AD177" s="9">
        <f t="shared" si="252"/>
        <v>48579</v>
      </c>
      <c r="AE177" s="9">
        <f t="shared" si="252"/>
        <v>48944</v>
      </c>
      <c r="AF177" s="9">
        <f t="shared" si="252"/>
        <v>49309</v>
      </c>
      <c r="AG177" s="9">
        <f t="shared" si="252"/>
        <v>49674</v>
      </c>
      <c r="AH177" s="9">
        <f t="shared" si="252"/>
        <v>50040</v>
      </c>
      <c r="AI177" s="9">
        <f t="shared" si="252"/>
        <v>50405</v>
      </c>
      <c r="AJ177" s="9">
        <f t="shared" si="252"/>
        <v>50770</v>
      </c>
      <c r="AK177" s="9">
        <f t="shared" si="252"/>
        <v>51135</v>
      </c>
      <c r="AL177" s="9">
        <f t="shared" si="252"/>
        <v>51501</v>
      </c>
      <c r="AM177" s="9">
        <f t="shared" si="252"/>
        <v>51866</v>
      </c>
      <c r="AN177" s="9">
        <f t="shared" si="252"/>
        <v>52231</v>
      </c>
      <c r="AO177" s="9">
        <f t="shared" si="252"/>
        <v>52596</v>
      </c>
      <c r="AP177" s="9">
        <f t="shared" si="252"/>
        <v>52962</v>
      </c>
      <c r="AQ177" s="9">
        <f t="shared" si="252"/>
        <v>53327</v>
      </c>
      <c r="AR177" s="9">
        <f t="shared" si="252"/>
        <v>53692</v>
      </c>
      <c r="AS177" s="9">
        <f t="shared" si="252"/>
        <v>54057</v>
      </c>
      <c r="AT177" s="9">
        <f t="shared" si="252"/>
        <v>54423</v>
      </c>
      <c r="AU177" s="9">
        <f t="shared" si="252"/>
        <v>54788</v>
      </c>
      <c r="AV177" s="9">
        <f t="shared" si="252"/>
        <v>55153</v>
      </c>
      <c r="AW177" s="9">
        <f t="shared" si="252"/>
        <v>55518</v>
      </c>
      <c r="AX177" s="9">
        <f t="shared" si="252"/>
        <v>55884</v>
      </c>
    </row>
    <row r="178" spans="1:50" ht="15" customHeight="1"/>
    <row r="179" spans="1:50" ht="15" customHeight="1">
      <c r="B179" s="31"/>
      <c r="E179" s="4" t="s">
        <v>272</v>
      </c>
      <c r="G179" s="5" t="s">
        <v>118</v>
      </c>
      <c r="I179" s="113">
        <v>4.2799999999999998E-2</v>
      </c>
      <c r="J179" s="32"/>
      <c r="K179" s="32"/>
      <c r="L179" s="32"/>
      <c r="M179" s="32"/>
      <c r="N179" s="32"/>
      <c r="O179" s="32"/>
      <c r="P179" s="32"/>
      <c r="Q179" s="32"/>
      <c r="R179" s="32"/>
      <c r="S179" s="32"/>
      <c r="T179" s="32"/>
      <c r="U179" s="32"/>
      <c r="V179" s="32"/>
      <c r="W179" s="32"/>
      <c r="X179" s="32"/>
      <c r="Y179" s="32"/>
      <c r="Z179" s="32"/>
      <c r="AA179" s="32"/>
      <c r="AB179" s="32"/>
      <c r="AC179" s="32"/>
      <c r="AD179" s="32"/>
      <c r="AE179" s="32"/>
      <c r="AF179" s="32"/>
      <c r="AG179" s="32"/>
      <c r="AH179" s="32"/>
      <c r="AI179" s="32"/>
      <c r="AJ179" s="32"/>
      <c r="AK179" s="32"/>
      <c r="AL179" s="32"/>
      <c r="AM179" s="32"/>
      <c r="AN179" s="32"/>
      <c r="AO179" s="32"/>
      <c r="AP179" s="32"/>
      <c r="AQ179" s="32"/>
      <c r="AR179" s="32"/>
      <c r="AS179" s="32"/>
      <c r="AT179" s="32"/>
      <c r="AU179" s="32"/>
      <c r="AV179" s="32"/>
      <c r="AW179" s="32"/>
      <c r="AX179" s="32"/>
    </row>
    <row r="180" spans="1:50" ht="26.25">
      <c r="A180"/>
      <c r="B180" s="31"/>
      <c r="E180" s="17" t="str">
        <f>E24</f>
        <v>Base year UK RPI inflation index value (CHAW)</v>
      </c>
      <c r="F180" s="17"/>
      <c r="G180" s="65" t="str">
        <f>G24</f>
        <v>Jan 1987 = 100</v>
      </c>
      <c r="H180" s="65" t="str">
        <f>H24</f>
        <v>UK RPI index 2020</v>
      </c>
      <c r="I180" s="64">
        <f>I24</f>
        <v>293.10000000000002</v>
      </c>
      <c r="K180" s="32"/>
      <c r="L180" s="32"/>
      <c r="M180" s="32"/>
      <c r="N180" s="32"/>
      <c r="O180" s="32"/>
      <c r="S180" s="32"/>
      <c r="T180" s="32"/>
      <c r="V180" s="32"/>
      <c r="W180" s="32"/>
      <c r="X180" s="32"/>
      <c r="Y180" s="32"/>
      <c r="Z180" s="32"/>
      <c r="AA180" s="32"/>
      <c r="AB180" s="32"/>
      <c r="AC180" s="32"/>
      <c r="AD180" s="32"/>
      <c r="AE180" s="32"/>
      <c r="AF180" s="32"/>
      <c r="AG180" s="32"/>
      <c r="AH180" s="32"/>
      <c r="AI180" s="32"/>
      <c r="AJ180" s="32"/>
      <c r="AK180" s="32"/>
      <c r="AL180" s="32"/>
      <c r="AM180" s="32"/>
      <c r="AN180" s="32"/>
      <c r="AO180" s="32"/>
      <c r="AP180" s="32"/>
      <c r="AQ180" s="32"/>
      <c r="AR180" s="32"/>
      <c r="AS180" s="32"/>
      <c r="AT180" s="32"/>
      <c r="AU180" s="32"/>
      <c r="AV180" s="32"/>
      <c r="AW180" s="32"/>
      <c r="AX180" s="32"/>
    </row>
    <row r="181" spans="1:50" ht="13.15">
      <c r="A181"/>
      <c r="B181" s="31"/>
      <c r="E181" s="17"/>
      <c r="F181" s="17"/>
      <c r="G181" s="65"/>
      <c r="H181" s="65"/>
      <c r="I181" s="64"/>
      <c r="K181" s="32"/>
      <c r="L181" s="32"/>
      <c r="M181" s="32"/>
      <c r="N181" s="32"/>
      <c r="O181" s="32"/>
      <c r="S181" s="32"/>
      <c r="T181" s="32"/>
      <c r="V181" s="32"/>
      <c r="W181" s="32"/>
      <c r="X181" s="32"/>
      <c r="Y181" s="32"/>
      <c r="Z181" s="32"/>
      <c r="AA181" s="32"/>
      <c r="AB181" s="32"/>
      <c r="AC181" s="32"/>
      <c r="AD181" s="32"/>
      <c r="AE181" s="32"/>
      <c r="AF181" s="32"/>
      <c r="AG181" s="32"/>
      <c r="AH181" s="32"/>
      <c r="AI181" s="32"/>
      <c r="AJ181" s="32"/>
      <c r="AK181" s="32"/>
      <c r="AL181" s="32"/>
      <c r="AM181" s="32"/>
      <c r="AN181" s="32"/>
      <c r="AO181" s="32"/>
      <c r="AP181" s="32"/>
      <c r="AQ181" s="32"/>
      <c r="AR181" s="32"/>
      <c r="AS181" s="32"/>
      <c r="AT181" s="32"/>
      <c r="AU181" s="32"/>
      <c r="AV181" s="32"/>
      <c r="AW181" s="32"/>
      <c r="AX181" s="32"/>
    </row>
    <row r="182" spans="1:50" ht="15" customHeight="1">
      <c r="A182"/>
      <c r="B182" s="31"/>
      <c r="E182" s="4" t="str">
        <f>E28</f>
        <v>12 month average UK RPI inflation index value (CHAW)</v>
      </c>
      <c r="G182" s="4" t="str">
        <f>G28</f>
        <v>Jan 1987 = 100</v>
      </c>
      <c r="H182" s="4" t="str">
        <f>H28</f>
        <v>UK RPI index t</v>
      </c>
      <c r="K182" s="234">
        <f t="shared" ref="K182:AX182" si="253">K28</f>
        <v>250.10833333333301</v>
      </c>
      <c r="L182" s="234">
        <f t="shared" si="253"/>
        <v>256.0333333333333</v>
      </c>
      <c r="M182" s="234">
        <f t="shared" si="253"/>
        <v>258.54166666666669</v>
      </c>
      <c r="N182" s="234">
        <f t="shared" si="253"/>
        <v>263.05</v>
      </c>
      <c r="O182" s="234">
        <f t="shared" si="253"/>
        <v>272.47500000000002</v>
      </c>
      <c r="P182" s="234">
        <f t="shared" si="253"/>
        <v>281.58333333333331</v>
      </c>
      <c r="Q182" s="234">
        <f t="shared" si="253"/>
        <v>288.8</v>
      </c>
      <c r="R182" s="234">
        <f t="shared" si="253"/>
        <v>293.14166666666699</v>
      </c>
      <c r="S182" s="234">
        <f t="shared" si="253"/>
        <v>305</v>
      </c>
      <c r="T182" s="234">
        <f t="shared" si="253"/>
        <v>340.33333333333331</v>
      </c>
      <c r="U182" s="234">
        <f t="shared" si="253"/>
        <v>373.31666666666666</v>
      </c>
      <c r="V182" s="234">
        <f t="shared" si="253"/>
        <v>386.70000000000005</v>
      </c>
      <c r="W182" s="234">
        <f t="shared" si="253"/>
        <v>402.7</v>
      </c>
      <c r="X182" s="234">
        <f t="shared" si="253"/>
        <v>419.93555999999995</v>
      </c>
      <c r="Y182" s="234">
        <f t="shared" si="253"/>
        <v>437.90880196799992</v>
      </c>
      <c r="Z182" s="234">
        <f t="shared" si="253"/>
        <v>456.65129869223028</v>
      </c>
      <c r="AA182" s="234">
        <f t="shared" si="253"/>
        <v>476.19597427625774</v>
      </c>
      <c r="AB182" s="234">
        <f t="shared" si="253"/>
        <v>496.57716197528157</v>
      </c>
      <c r="AC182" s="234">
        <f t="shared" si="253"/>
        <v>517.8306645078236</v>
      </c>
      <c r="AD182" s="234">
        <f t="shared" si="253"/>
        <v>539.99381694875842</v>
      </c>
      <c r="AE182" s="234">
        <f t="shared" si="253"/>
        <v>563.10555231416527</v>
      </c>
      <c r="AF182" s="234">
        <f t="shared" si="253"/>
        <v>587.20646995321147</v>
      </c>
      <c r="AG182" s="234">
        <f t="shared" si="253"/>
        <v>612.33890686720883</v>
      </c>
      <c r="AH182" s="234">
        <f t="shared" si="253"/>
        <v>638.54701208112533</v>
      </c>
      <c r="AI182" s="234">
        <f t="shared" si="253"/>
        <v>665.87682419819748</v>
      </c>
      <c r="AJ182" s="234">
        <f t="shared" si="253"/>
        <v>694.37635227388034</v>
      </c>
      <c r="AK182" s="234">
        <f t="shared" si="253"/>
        <v>724.09566015120242</v>
      </c>
      <c r="AL182" s="234">
        <f t="shared" si="253"/>
        <v>755.08695440567385</v>
      </c>
      <c r="AM182" s="234">
        <f t="shared" si="253"/>
        <v>787.40467605423669</v>
      </c>
      <c r="AN182" s="234">
        <f t="shared" si="253"/>
        <v>821.10559618935793</v>
      </c>
      <c r="AO182" s="234">
        <f t="shared" si="253"/>
        <v>856.24891570626244</v>
      </c>
      <c r="AP182" s="234">
        <f t="shared" si="253"/>
        <v>892.89636929849041</v>
      </c>
      <c r="AQ182" s="234">
        <f t="shared" si="253"/>
        <v>931.1123339044658</v>
      </c>
      <c r="AR182" s="234">
        <f t="shared" si="253"/>
        <v>970.96394179557694</v>
      </c>
      <c r="AS182" s="234">
        <f t="shared" si="253"/>
        <v>1012.5211985044276</v>
      </c>
      <c r="AT182" s="234">
        <f t="shared" si="253"/>
        <v>1055.857105800417</v>
      </c>
      <c r="AU182" s="234">
        <f t="shared" si="253"/>
        <v>1101.0477899286748</v>
      </c>
      <c r="AV182" s="234">
        <f t="shared" si="253"/>
        <v>1148.1726353376221</v>
      </c>
      <c r="AW182" s="234">
        <f t="shared" si="253"/>
        <v>1197.3144241300722</v>
      </c>
      <c r="AX182" s="234">
        <f t="shared" si="253"/>
        <v>1248.5594814828391</v>
      </c>
    </row>
    <row r="183" spans="1:50" ht="15" customHeight="1">
      <c r="A183"/>
      <c r="B183" s="31"/>
      <c r="E183" s="118" t="s">
        <v>273</v>
      </c>
      <c r="G183" s="4" t="s">
        <v>274</v>
      </c>
      <c r="K183" s="170">
        <f>K182/$I$180</f>
        <v>0.85332082338223469</v>
      </c>
      <c r="L183" s="170">
        <f t="shared" ref="L183:AX183" si="254">L182/$I$180</f>
        <v>0.87353576708745573</v>
      </c>
      <c r="M183" s="170">
        <f t="shared" si="254"/>
        <v>0.88209371090640276</v>
      </c>
      <c r="N183" s="170">
        <f t="shared" si="254"/>
        <v>0.89747526441487546</v>
      </c>
      <c r="O183" s="170">
        <f t="shared" si="254"/>
        <v>0.92963152507676561</v>
      </c>
      <c r="P183" s="170">
        <f t="shared" si="254"/>
        <v>0.96070738087114738</v>
      </c>
      <c r="Q183" s="170">
        <f t="shared" si="254"/>
        <v>0.98532923916751958</v>
      </c>
      <c r="R183" s="170">
        <f t="shared" si="254"/>
        <v>1.0001421585351995</v>
      </c>
      <c r="S183" s="170">
        <f t="shared" si="254"/>
        <v>1.0406004776526783</v>
      </c>
      <c r="T183" s="170">
        <f t="shared" si="254"/>
        <v>1.1611509155009665</v>
      </c>
      <c r="U183" s="170">
        <f t="shared" si="254"/>
        <v>1.2736836119640622</v>
      </c>
      <c r="V183" s="170">
        <f t="shared" si="254"/>
        <v>1.3193449334698055</v>
      </c>
      <c r="W183" s="170">
        <f t="shared" si="254"/>
        <v>1.3739338109860115</v>
      </c>
      <c r="X183" s="170">
        <f t="shared" si="254"/>
        <v>1.4327381780962127</v>
      </c>
      <c r="Y183" s="170">
        <f t="shared" si="254"/>
        <v>1.4940593721187305</v>
      </c>
      <c r="Z183" s="170">
        <f t="shared" si="254"/>
        <v>1.558005113245412</v>
      </c>
      <c r="AA183" s="170">
        <f t="shared" si="254"/>
        <v>1.6246877320923157</v>
      </c>
      <c r="AB183" s="170">
        <f t="shared" si="254"/>
        <v>1.6942243670258668</v>
      </c>
      <c r="AC183" s="170">
        <f t="shared" si="254"/>
        <v>1.7667371699345737</v>
      </c>
      <c r="AD183" s="170">
        <f t="shared" si="254"/>
        <v>1.8423535208077735</v>
      </c>
      <c r="AE183" s="170">
        <f t="shared" si="254"/>
        <v>1.9212062514983461</v>
      </c>
      <c r="AF183" s="170">
        <f t="shared" si="254"/>
        <v>2.0034338790624751</v>
      </c>
      <c r="AG183" s="170">
        <f t="shared" si="254"/>
        <v>2.0891808490863486</v>
      </c>
      <c r="AH183" s="170">
        <f t="shared" si="254"/>
        <v>2.1785977894272444</v>
      </c>
      <c r="AI183" s="170">
        <f t="shared" si="254"/>
        <v>2.2718417748147304</v>
      </c>
      <c r="AJ183" s="170">
        <f t="shared" si="254"/>
        <v>2.3690766027768007</v>
      </c>
      <c r="AK183" s="170">
        <f t="shared" si="254"/>
        <v>2.4704730813756477</v>
      </c>
      <c r="AL183" s="170">
        <f t="shared" si="254"/>
        <v>2.5762093292585253</v>
      </c>
      <c r="AM183" s="170">
        <f t="shared" si="254"/>
        <v>2.6864710885507903</v>
      </c>
      <c r="AN183" s="170">
        <f t="shared" si="254"/>
        <v>2.8014520511407639</v>
      </c>
      <c r="AO183" s="170">
        <f t="shared" si="254"/>
        <v>2.9213541989295884</v>
      </c>
      <c r="AP183" s="170">
        <f t="shared" si="254"/>
        <v>3.0463881586437744</v>
      </c>
      <c r="AQ183" s="170">
        <f t="shared" si="254"/>
        <v>3.1767735718337282</v>
      </c>
      <c r="AR183" s="170">
        <f t="shared" si="254"/>
        <v>3.3127394807082116</v>
      </c>
      <c r="AS183" s="170">
        <f t="shared" si="254"/>
        <v>3.4545247304825231</v>
      </c>
      <c r="AT183" s="170">
        <f t="shared" si="254"/>
        <v>3.6023783889471748</v>
      </c>
      <c r="AU183" s="170">
        <f t="shared" si="254"/>
        <v>3.7565601839941136</v>
      </c>
      <c r="AV183" s="170">
        <f t="shared" si="254"/>
        <v>3.9173409598690618</v>
      </c>
      <c r="AW183" s="170">
        <f t="shared" si="254"/>
        <v>4.0850031529514572</v>
      </c>
      <c r="AX183" s="170">
        <f t="shared" si="254"/>
        <v>4.2598412878977792</v>
      </c>
    </row>
    <row r="184" spans="1:50" ht="15" customHeight="1">
      <c r="A184" s="17"/>
      <c r="B184" s="17"/>
      <c r="C184" s="17"/>
      <c r="D184" s="17"/>
      <c r="E184" s="17"/>
      <c r="F184" s="17"/>
      <c r="G184" s="5"/>
      <c r="H184" s="17"/>
      <c r="I184" s="16"/>
      <c r="J184" s="17"/>
      <c r="K184" s="17"/>
      <c r="L184" s="17"/>
      <c r="M184" s="17"/>
      <c r="N184" s="17"/>
      <c r="O184" s="17"/>
      <c r="P184" s="6"/>
      <c r="Q184" s="6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  <c r="AO184" s="17"/>
      <c r="AP184" s="17"/>
      <c r="AQ184" s="17"/>
      <c r="AR184" s="17"/>
      <c r="AS184" s="17"/>
      <c r="AT184" s="17"/>
      <c r="AU184" s="17"/>
      <c r="AV184" s="17"/>
      <c r="AW184" s="17"/>
      <c r="AX184" s="17"/>
    </row>
    <row r="185" spans="1:50" ht="15" customHeight="1">
      <c r="A185" s="5"/>
      <c r="B185" s="5"/>
      <c r="C185" s="10" t="s">
        <v>275</v>
      </c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spans="1:50" ht="15" customHeight="1">
      <c r="A186" s="5"/>
      <c r="B186" s="5"/>
      <c r="C186" s="5"/>
      <c r="D186" s="5"/>
      <c r="E186" s="5"/>
      <c r="F186" s="5"/>
      <c r="G186" s="5"/>
      <c r="H186" s="5"/>
      <c r="I186" s="5"/>
      <c r="J186" s="6"/>
      <c r="K186" s="5"/>
      <c r="L186" s="5"/>
      <c r="M186" s="5"/>
      <c r="N186" s="5"/>
      <c r="O186" s="5"/>
      <c r="P186" s="6"/>
      <c r="Q186" s="6"/>
      <c r="R186" s="6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</row>
    <row r="187" spans="1:50" ht="15" customHeight="1">
      <c r="A187" s="12"/>
      <c r="B187" s="12"/>
      <c r="C187" s="12"/>
      <c r="D187" s="12"/>
      <c r="E187" s="15" t="s">
        <v>141</v>
      </c>
      <c r="F187" s="14"/>
      <c r="G187" s="14"/>
      <c r="H187" s="14"/>
      <c r="I187" s="14"/>
      <c r="J187" s="15"/>
      <c r="K187" s="116" t="s">
        <v>142</v>
      </c>
      <c r="L187" s="116" t="s">
        <v>143</v>
      </c>
      <c r="M187" s="116" t="s">
        <v>144</v>
      </c>
      <c r="N187" s="116" t="s">
        <v>145</v>
      </c>
      <c r="O187" s="116" t="s">
        <v>146</v>
      </c>
      <c r="P187" s="116" t="s">
        <v>147</v>
      </c>
      <c r="Q187" s="116" t="s">
        <v>148</v>
      </c>
      <c r="R187" s="116" t="s">
        <v>149</v>
      </c>
      <c r="S187" s="116" t="s">
        <v>150</v>
      </c>
      <c r="T187" s="116" t="s">
        <v>151</v>
      </c>
      <c r="U187" s="116" t="s">
        <v>152</v>
      </c>
      <c r="V187" s="116" t="s">
        <v>153</v>
      </c>
      <c r="W187" s="116" t="s">
        <v>154</v>
      </c>
      <c r="X187" s="116" t="s">
        <v>155</v>
      </c>
      <c r="Y187" s="116" t="s">
        <v>156</v>
      </c>
      <c r="Z187" s="116" t="s">
        <v>157</v>
      </c>
      <c r="AA187" s="116" t="s">
        <v>158</v>
      </c>
      <c r="AB187" s="116" t="s">
        <v>159</v>
      </c>
      <c r="AC187" s="116" t="s">
        <v>160</v>
      </c>
      <c r="AD187" s="116" t="s">
        <v>161</v>
      </c>
      <c r="AE187" s="116" t="s">
        <v>162</v>
      </c>
      <c r="AF187" s="116" t="s">
        <v>163</v>
      </c>
      <c r="AG187" s="116" t="s">
        <v>164</v>
      </c>
      <c r="AH187" s="116" t="s">
        <v>165</v>
      </c>
      <c r="AI187" s="116" t="s">
        <v>166</v>
      </c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  <c r="AV187" s="18"/>
      <c r="AW187" s="18"/>
      <c r="AX187" s="18"/>
    </row>
    <row r="188" spans="1:50" ht="15" customHeight="1">
      <c r="A188" s="5"/>
      <c r="B188" s="5"/>
      <c r="C188" s="5"/>
      <c r="D188" s="5"/>
      <c r="E188" s="5"/>
      <c r="F188" s="5"/>
      <c r="G188" s="5"/>
      <c r="H188" s="5"/>
      <c r="I188" s="5"/>
      <c r="J188" s="6"/>
      <c r="K188" s="5"/>
      <c r="L188" s="5"/>
      <c r="M188" s="5"/>
      <c r="N188" s="5"/>
      <c r="O188" s="5"/>
      <c r="P188" s="6"/>
      <c r="Q188" s="6"/>
      <c r="R188" s="6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</row>
    <row r="189" spans="1:50" ht="15" customHeight="1">
      <c r="A189" s="5"/>
      <c r="B189" s="5"/>
      <c r="C189" s="5"/>
      <c r="D189" s="5"/>
      <c r="E189" s="4" t="s">
        <v>276</v>
      </c>
      <c r="G189" s="5" t="s">
        <v>118</v>
      </c>
      <c r="H189" s="5"/>
      <c r="I189" s="248"/>
      <c r="J189" s="6"/>
      <c r="K189" s="103">
        <v>0.25</v>
      </c>
      <c r="L189" s="103">
        <v>0.25</v>
      </c>
      <c r="M189" s="103">
        <v>0.25</v>
      </c>
      <c r="N189" s="103">
        <v>0.25</v>
      </c>
      <c r="O189" s="103">
        <v>0.25</v>
      </c>
      <c r="P189" s="103">
        <v>0.25</v>
      </c>
      <c r="Q189" s="103">
        <v>0.25</v>
      </c>
      <c r="R189" s="103">
        <v>0.25</v>
      </c>
      <c r="S189" s="103">
        <v>0.25</v>
      </c>
      <c r="T189" s="103">
        <v>0.25</v>
      </c>
      <c r="U189" s="103">
        <v>0.25</v>
      </c>
      <c r="V189" s="103">
        <v>0.25</v>
      </c>
      <c r="W189" s="103">
        <v>0.25</v>
      </c>
      <c r="X189" s="103">
        <v>0.25</v>
      </c>
      <c r="Y189" s="103">
        <v>0.25</v>
      </c>
      <c r="Z189" s="103">
        <v>0.25</v>
      </c>
      <c r="AA189" s="103">
        <v>0.25</v>
      </c>
      <c r="AB189" s="103">
        <v>0.25</v>
      </c>
      <c r="AC189" s="103">
        <v>0.25</v>
      </c>
      <c r="AD189" s="103">
        <v>0.25</v>
      </c>
      <c r="AE189" s="103">
        <v>0.25</v>
      </c>
      <c r="AF189" s="103">
        <v>0.25</v>
      </c>
      <c r="AG189" s="103">
        <v>0.25</v>
      </c>
      <c r="AH189" s="103">
        <v>0.25</v>
      </c>
      <c r="AI189" s="103">
        <v>0.25</v>
      </c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</row>
    <row r="190" spans="1:50" ht="15" customHeight="1">
      <c r="A190" s="5"/>
      <c r="B190" s="5"/>
      <c r="C190" s="5"/>
      <c r="D190" s="5"/>
      <c r="E190" s="4" t="s">
        <v>277</v>
      </c>
      <c r="G190" s="4" t="s">
        <v>118</v>
      </c>
      <c r="H190" s="5"/>
      <c r="I190" s="248"/>
      <c r="J190" s="6"/>
      <c r="K190" s="103">
        <v>0.06</v>
      </c>
      <c r="L190" s="103">
        <v>0.06</v>
      </c>
      <c r="M190" s="103">
        <v>0.06</v>
      </c>
      <c r="N190" s="103">
        <v>0.06</v>
      </c>
      <c r="O190" s="103">
        <v>0.06</v>
      </c>
      <c r="P190" s="103">
        <v>0.06</v>
      </c>
      <c r="Q190" s="103">
        <v>0.06</v>
      </c>
      <c r="R190" s="103">
        <v>0.06</v>
      </c>
      <c r="S190" s="103">
        <v>0.06</v>
      </c>
      <c r="T190" s="103">
        <v>0.06</v>
      </c>
      <c r="U190" s="103">
        <v>0.06</v>
      </c>
      <c r="V190" s="103">
        <v>0.06</v>
      </c>
      <c r="W190" s="103">
        <v>0.06</v>
      </c>
      <c r="X190" s="103">
        <v>0.06</v>
      </c>
      <c r="Y190" s="103">
        <v>0.06</v>
      </c>
      <c r="Z190" s="103">
        <v>0.06</v>
      </c>
      <c r="AA190" s="103">
        <v>0.06</v>
      </c>
      <c r="AB190" s="103">
        <v>0.06</v>
      </c>
      <c r="AC190" s="103">
        <v>0.06</v>
      </c>
      <c r="AD190" s="103">
        <v>0.06</v>
      </c>
      <c r="AE190" s="103">
        <v>0.06</v>
      </c>
      <c r="AF190" s="103">
        <v>0.06</v>
      </c>
      <c r="AG190" s="103">
        <v>0.06</v>
      </c>
      <c r="AH190" s="103">
        <v>0.06</v>
      </c>
      <c r="AI190" s="103">
        <v>0.06</v>
      </c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</row>
    <row r="191" spans="1:50" ht="15" customHeight="1">
      <c r="A191" s="5"/>
      <c r="B191" s="5"/>
      <c r="C191" s="5"/>
      <c r="D191" s="5"/>
      <c r="E191" s="5"/>
      <c r="F191" s="5"/>
      <c r="G191" s="5"/>
      <c r="H191" s="5"/>
      <c r="I191" s="5"/>
      <c r="J191" s="6"/>
      <c r="K191" s="5"/>
      <c r="L191" s="5"/>
      <c r="M191" s="5"/>
      <c r="N191" s="5"/>
      <c r="O191" s="5"/>
      <c r="P191" s="6"/>
      <c r="Q191" s="6"/>
      <c r="R191" s="6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</row>
    <row r="192" spans="1:50" ht="15" customHeight="1">
      <c r="B192" s="31"/>
      <c r="E192" s="4" t="str">
        <f>E179</f>
        <v>Long-term expected UK RPI inflation</v>
      </c>
      <c r="G192" s="5" t="s">
        <v>118</v>
      </c>
      <c r="I192" s="81">
        <f>I179</f>
        <v>4.2799999999999998E-2</v>
      </c>
      <c r="J192" s="32"/>
      <c r="L192" s="32"/>
      <c r="M192" s="32"/>
      <c r="N192" s="32"/>
      <c r="O192" s="32"/>
      <c r="P192" s="32"/>
      <c r="Q192" s="32"/>
      <c r="R192" s="32"/>
      <c r="S192" s="32"/>
      <c r="T192" s="32"/>
      <c r="U192" s="32"/>
      <c r="V192" s="32"/>
      <c r="W192" s="32"/>
      <c r="X192" s="32"/>
      <c r="Y192" s="32"/>
      <c r="Z192" s="32"/>
      <c r="AA192" s="32"/>
      <c r="AB192" s="32"/>
      <c r="AC192" s="32"/>
      <c r="AD192" s="32"/>
      <c r="AE192" s="32"/>
      <c r="AF192" s="32"/>
      <c r="AG192" s="32"/>
      <c r="AH192" s="32"/>
      <c r="AI192" s="32"/>
      <c r="AJ192" s="32"/>
      <c r="AK192" s="32"/>
      <c r="AL192" s="32"/>
      <c r="AM192" s="32"/>
      <c r="AN192" s="32"/>
      <c r="AO192" s="32"/>
      <c r="AP192" s="32"/>
      <c r="AQ192" s="32"/>
      <c r="AR192" s="32"/>
      <c r="AS192" s="32"/>
      <c r="AT192" s="32"/>
      <c r="AU192" s="32"/>
      <c r="AV192" s="32"/>
      <c r="AW192" s="32"/>
      <c r="AX192" s="32"/>
    </row>
    <row r="193" spans="1:50" ht="15" customHeight="1">
      <c r="A193"/>
      <c r="B193" s="31"/>
      <c r="E193" s="4" t="s">
        <v>278</v>
      </c>
      <c r="G193" s="5" t="s">
        <v>243</v>
      </c>
      <c r="I193" s="245">
        <v>43831</v>
      </c>
      <c r="J193" s="32"/>
      <c r="L193" s="32"/>
      <c r="M193" s="32"/>
      <c r="N193" s="32"/>
      <c r="O193" s="32"/>
      <c r="P193" s="32"/>
      <c r="Q193" s="32"/>
      <c r="R193" s="32"/>
      <c r="S193" s="32"/>
      <c r="T193" s="32"/>
      <c r="U193" s="32"/>
      <c r="V193" s="32"/>
      <c r="W193" s="32"/>
      <c r="X193" s="32"/>
      <c r="Y193" s="32"/>
      <c r="Z193" s="32"/>
      <c r="AA193" s="32"/>
      <c r="AB193" s="32"/>
      <c r="AC193" s="32"/>
      <c r="AD193" s="32"/>
      <c r="AE193" s="32"/>
      <c r="AF193" s="32"/>
      <c r="AG193" s="32"/>
      <c r="AH193" s="32"/>
      <c r="AI193" s="32"/>
      <c r="AJ193" s="32"/>
      <c r="AK193" s="32"/>
      <c r="AL193" s="32"/>
      <c r="AM193" s="32"/>
      <c r="AN193" s="32"/>
      <c r="AO193" s="32"/>
      <c r="AP193" s="32"/>
      <c r="AQ193" s="32"/>
      <c r="AR193" s="32"/>
      <c r="AS193" s="32"/>
      <c r="AT193" s="32"/>
      <c r="AU193" s="32"/>
      <c r="AV193" s="32"/>
      <c r="AW193" s="32"/>
      <c r="AX193" s="32"/>
    </row>
    <row r="194" spans="1:50" ht="15" customHeight="1">
      <c r="A194"/>
      <c r="B194" s="31"/>
      <c r="E194" s="4" t="s">
        <v>279</v>
      </c>
      <c r="G194" s="5" t="s">
        <v>243</v>
      </c>
      <c r="I194" s="62">
        <f>EOMONTH(I193,11)</f>
        <v>44196</v>
      </c>
      <c r="J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  <c r="X194" s="32"/>
      <c r="Y194" s="32"/>
      <c r="Z194" s="32"/>
      <c r="AA194" s="32"/>
      <c r="AB194" s="32"/>
      <c r="AC194" s="32"/>
      <c r="AD194" s="32"/>
      <c r="AE194" s="32"/>
      <c r="AF194" s="32"/>
      <c r="AG194" s="32"/>
      <c r="AH194" s="32"/>
      <c r="AI194" s="32"/>
      <c r="AJ194" s="32"/>
      <c r="AK194" s="32"/>
      <c r="AL194" s="32"/>
      <c r="AM194" s="32"/>
      <c r="AN194" s="32"/>
      <c r="AO194" s="32"/>
      <c r="AP194" s="32"/>
      <c r="AQ194" s="32"/>
      <c r="AR194" s="32"/>
      <c r="AS194" s="32"/>
      <c r="AT194" s="32"/>
      <c r="AU194" s="32"/>
      <c r="AV194" s="32"/>
      <c r="AW194" s="32"/>
      <c r="AX194" s="32"/>
    </row>
    <row r="195" spans="1:50" ht="15" customHeight="1">
      <c r="A195"/>
      <c r="E195" s="4" t="s">
        <v>280</v>
      </c>
      <c r="G195" s="4" t="s">
        <v>274</v>
      </c>
      <c r="I195" s="104">
        <f>(1+$I$192)^((I149-AVERAGE(I193,I194))/365.25)</f>
        <v>1.0797233179570656</v>
      </c>
    </row>
    <row r="196" spans="1:50" ht="15" customHeight="1">
      <c r="A196"/>
      <c r="G196" s="5"/>
      <c r="J196" s="6"/>
      <c r="P196" s="6"/>
      <c r="Q196" s="6"/>
      <c r="R196" s="6"/>
      <c r="S196" s="5"/>
    </row>
    <row r="197" spans="1:50" ht="15" customHeight="1">
      <c r="A197"/>
      <c r="B197" s="5"/>
      <c r="C197" s="10" t="s">
        <v>281</v>
      </c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spans="1:50" ht="15" customHeight="1">
      <c r="A198"/>
      <c r="B198" s="5"/>
      <c r="C198" s="5"/>
      <c r="D198" s="5"/>
      <c r="E198" s="5"/>
      <c r="F198" s="5"/>
      <c r="G198" s="5"/>
      <c r="H198" s="5"/>
      <c r="I198" s="5"/>
      <c r="J198" s="6"/>
      <c r="K198" s="5"/>
      <c r="L198" s="5"/>
      <c r="M198" s="5"/>
      <c r="N198" s="5"/>
      <c r="O198" s="5"/>
      <c r="P198" s="6"/>
      <c r="Q198" s="6"/>
      <c r="R198" s="6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</row>
    <row r="199" spans="1:50" ht="15" customHeight="1">
      <c r="A199"/>
      <c r="E199" s="4" t="s">
        <v>282</v>
      </c>
      <c r="G199" s="5" t="s">
        <v>120</v>
      </c>
      <c r="I199" s="166" t="s">
        <v>283</v>
      </c>
      <c r="J199" s="6"/>
      <c r="P199" s="6"/>
      <c r="Q199" s="6"/>
      <c r="R199" s="6"/>
      <c r="S199" s="5"/>
    </row>
    <row r="200" spans="1:50" ht="15" customHeight="1">
      <c r="G200" s="5"/>
      <c r="J200" s="6"/>
      <c r="P200" s="6"/>
      <c r="Q200" s="6"/>
      <c r="R200" s="6"/>
      <c r="S200" s="5"/>
    </row>
    <row r="201" spans="1:50" ht="15" customHeight="1">
      <c r="A201" s="17"/>
      <c r="B201" s="267" t="s">
        <v>47</v>
      </c>
      <c r="C201" s="56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6"/>
      <c r="AC201" s="56"/>
      <c r="AD201" s="56"/>
      <c r="AE201" s="56"/>
      <c r="AF201" s="56"/>
      <c r="AG201" s="56"/>
      <c r="AH201" s="56"/>
      <c r="AI201" s="56"/>
      <c r="AJ201" s="56"/>
      <c r="AK201" s="56"/>
      <c r="AL201" s="56"/>
      <c r="AM201" s="56"/>
      <c r="AN201" s="56"/>
      <c r="AO201" s="56"/>
      <c r="AP201" s="56"/>
      <c r="AQ201" s="56"/>
      <c r="AR201" s="56"/>
      <c r="AS201" s="56"/>
      <c r="AT201" s="56"/>
      <c r="AU201" s="56"/>
      <c r="AV201" s="56"/>
      <c r="AW201" s="56"/>
      <c r="AX201" s="56"/>
    </row>
    <row r="202" spans="1:50" ht="15" customHeight="1"/>
    <row r="208" spans="1:50" ht="15" hidden="1" customHeight="1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</row>
    <row r="209" customFormat="1" ht="15" hidden="1" customHeight="1"/>
    <row r="210" customFormat="1" ht="15" hidden="1" customHeight="1"/>
    <row r="211" customFormat="1" ht="15" hidden="1" customHeight="1"/>
    <row r="212" customFormat="1" ht="15" hidden="1" customHeight="1"/>
    <row r="213" customFormat="1" ht="15" hidden="1" customHeight="1"/>
    <row r="214" customFormat="1" ht="15" hidden="1" customHeight="1"/>
    <row r="215" customFormat="1" ht="15" hidden="1" customHeight="1"/>
    <row r="216" customFormat="1" ht="15" hidden="1" customHeight="1"/>
    <row r="217" customFormat="1" ht="15" hidden="1" customHeight="1"/>
    <row r="218" customFormat="1" ht="15" hidden="1" customHeight="1"/>
    <row r="219" customFormat="1" ht="15" hidden="1" customHeight="1"/>
    <row r="220" customFormat="1" ht="15" hidden="1" customHeight="1"/>
    <row r="221" customFormat="1" ht="15" hidden="1" customHeight="1"/>
    <row r="222" customFormat="1" ht="15" hidden="1" customHeight="1"/>
    <row r="223" customFormat="1" ht="15" hidden="1" customHeight="1"/>
    <row r="224" customFormat="1" ht="15" hidden="1" customHeight="1"/>
    <row r="225" customFormat="1" ht="15" hidden="1" customHeight="1"/>
    <row r="226" customFormat="1" ht="15" hidden="1" customHeight="1"/>
    <row r="227" customFormat="1" ht="15" hidden="1" customHeight="1"/>
    <row r="228" customFormat="1" ht="15" hidden="1" customHeight="1"/>
    <row r="229" customFormat="1" ht="15" hidden="1" customHeight="1"/>
    <row r="230" customFormat="1" ht="15" hidden="1" customHeight="1"/>
    <row r="231" customFormat="1" ht="15" hidden="1" customHeight="1"/>
    <row r="232" customFormat="1" ht="15" hidden="1" customHeight="1"/>
    <row r="233" customFormat="1" ht="15" hidden="1" customHeight="1"/>
    <row r="234" customFormat="1" ht="15" hidden="1" customHeight="1"/>
    <row r="235" customFormat="1" ht="15" hidden="1" customHeight="1"/>
    <row r="236" customFormat="1" ht="15" hidden="1" customHeight="1"/>
    <row r="237" customFormat="1" ht="15" hidden="1" customHeight="1"/>
    <row r="238" customFormat="1" ht="15" hidden="1" customHeight="1"/>
    <row r="239" customFormat="1" ht="15" hidden="1" customHeight="1"/>
    <row r="240" customFormat="1" ht="15" hidden="1" customHeight="1"/>
    <row r="241" customFormat="1" ht="15" hidden="1" customHeight="1"/>
    <row r="242" customFormat="1" ht="15" hidden="1" customHeight="1"/>
    <row r="243" customFormat="1" ht="15" hidden="1" customHeight="1"/>
    <row r="244" customFormat="1" ht="15" hidden="1" customHeight="1"/>
    <row r="245" customFormat="1" ht="15" hidden="1" customHeight="1"/>
    <row r="246" customFormat="1" ht="15" hidden="1" customHeight="1"/>
    <row r="247" customFormat="1" ht="15" hidden="1" customHeight="1"/>
    <row r="248" customFormat="1" ht="15" hidden="1" customHeight="1"/>
    <row r="249" customFormat="1" ht="15" hidden="1" customHeight="1"/>
    <row r="250" customFormat="1" ht="15" hidden="1" customHeight="1"/>
    <row r="251" customFormat="1" ht="15" hidden="1" customHeight="1"/>
    <row r="252" customFormat="1" ht="15" hidden="1" customHeight="1"/>
    <row r="253" customFormat="1" ht="15" hidden="1" customHeight="1"/>
    <row r="254" customFormat="1" ht="15" hidden="1" customHeight="1"/>
    <row r="255" customFormat="1" ht="15" hidden="1" customHeight="1"/>
    <row r="256" customFormat="1" ht="15" hidden="1" customHeight="1"/>
    <row r="257" customFormat="1" ht="15" hidden="1" customHeight="1"/>
    <row r="258" customFormat="1" ht="15" hidden="1" customHeight="1"/>
    <row r="259" customFormat="1" ht="15" hidden="1" customHeight="1"/>
    <row r="260" customFormat="1" ht="15" hidden="1" customHeight="1"/>
    <row r="261" customFormat="1" ht="15" hidden="1" customHeight="1"/>
    <row r="262" customFormat="1" ht="15" hidden="1" customHeight="1"/>
    <row r="263" customFormat="1" ht="15" hidden="1" customHeight="1"/>
    <row r="264" customFormat="1" ht="15" hidden="1" customHeight="1"/>
    <row r="265" customFormat="1" ht="15" hidden="1" customHeight="1"/>
    <row r="266" customFormat="1" ht="15" hidden="1" customHeight="1"/>
    <row r="267" customFormat="1" ht="15" hidden="1" customHeight="1"/>
    <row r="268" customFormat="1" ht="15" hidden="1" customHeight="1"/>
    <row r="269" customFormat="1" ht="15" hidden="1" customHeight="1"/>
    <row r="270" customFormat="1" ht="15" hidden="1" customHeight="1"/>
    <row r="271" customFormat="1" ht="15" hidden="1" customHeight="1"/>
    <row r="272" customFormat="1" ht="15" hidden="1" customHeight="1"/>
    <row r="273" customFormat="1" ht="15" hidden="1" customHeight="1"/>
    <row r="274" customFormat="1" ht="15" hidden="1" customHeight="1"/>
    <row r="275" customFormat="1" ht="15" hidden="1" customHeight="1"/>
    <row r="276" customFormat="1" ht="15" hidden="1" customHeight="1"/>
    <row r="277" customFormat="1" ht="15" hidden="1" customHeight="1"/>
    <row r="278" customFormat="1" ht="15" hidden="1" customHeight="1"/>
    <row r="279" customFormat="1" ht="15" hidden="1" customHeight="1"/>
    <row r="280" customFormat="1" ht="15" hidden="1" customHeight="1"/>
    <row r="281" customFormat="1" ht="15" hidden="1" customHeight="1"/>
    <row r="282" customFormat="1" ht="15" hidden="1" customHeight="1"/>
    <row r="283" customFormat="1" ht="15" hidden="1" customHeight="1"/>
    <row r="284" customFormat="1" ht="15" hidden="1" customHeight="1"/>
    <row r="285" customFormat="1" ht="15" hidden="1" customHeight="1"/>
    <row r="286" customFormat="1" ht="15" hidden="1" customHeight="1"/>
    <row r="287" customFormat="1" ht="15" hidden="1" customHeight="1"/>
    <row r="288" customFormat="1" ht="15" hidden="1" customHeight="1"/>
    <row r="289" customFormat="1" ht="15" hidden="1" customHeight="1"/>
    <row r="290" customFormat="1" ht="15" hidden="1" customHeight="1"/>
    <row r="291" customFormat="1" ht="15" hidden="1" customHeight="1"/>
  </sheetData>
  <dataValidations count="4">
    <dataValidation type="custom" allowBlank="1" showErrorMessage="1" errorTitle="Invalid value" error="Please enter value between 0% and 100%" sqref="I6" xr:uid="{00000000-0002-0000-0200-000000000000}">
      <formula1>AND(I6&gt;=0%,I6&lt;=100%)</formula1>
    </dataValidation>
    <dataValidation type="list" allowBlank="1" showInputMessage="1" showErrorMessage="1" sqref="I9" xr:uid="{00000000-0002-0000-0200-000001000000}">
      <formula1>"£,€,kr."</formula1>
    </dataValidation>
    <dataValidation type="list" allowBlank="1" showInputMessage="1" showErrorMessage="1" sqref="I199" xr:uid="{00000000-0002-0000-0200-000002000000}">
      <formula1>"Yes,No"</formula1>
    </dataValidation>
    <dataValidation type="list" allowBlank="1" showInputMessage="1" showErrorMessage="1" sqref="I81 I127:I128" xr:uid="{00000000-0002-0000-0200-000003000000}">
      <formula1>"1,2"</formula1>
    </dataValidation>
  </dataValidations>
  <pageMargins left="0.23622047244094491" right="0.23622047244094491" top="0.74803149606299213" bottom="0.74803149606299213" header="0.31496062992125984" footer="0.31496062992125984"/>
  <pageSetup paperSize="8" scale="30" orientation="portrait" r:id="rId1"/>
  <headerFooter>
    <oddHeader>&amp;C&amp;"Aptos"&amp;10&amp;K000000 OFFICIAL&amp;1#_x000D_</oddHeader>
    <oddFooter>&amp;C_x000D_&amp;1#&amp;"Aptos"&amp;10&amp;K000000 OFFICIAL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1">
    <tabColor rgb="FFFFFFCC"/>
    <pageSetUpPr fitToPage="1"/>
  </sheetPr>
  <dimension ref="A1:XFA203"/>
  <sheetViews>
    <sheetView zoomScaleNormal="100" workbookViewId="0">
      <pane xSplit="10" ySplit="2" topLeftCell="K3" activePane="bottomRight" state="frozen"/>
      <selection pane="topRight" activeCell="K1" sqref="K1"/>
      <selection pane="bottomLeft" activeCell="A3" sqref="A3"/>
      <selection pane="bottomRight" activeCell="B135" activeCellId="3" sqref="B4 B10 B39 B135"/>
    </sheetView>
  </sheetViews>
  <sheetFormatPr defaultColWidth="0" defaultRowHeight="15" customHeight="1" zeroHeight="1"/>
  <cols>
    <col min="1" max="4" width="2.5703125" style="4" customWidth="1"/>
    <col min="5" max="5" width="54.140625" style="4" bestFit="1" customWidth="1"/>
    <col min="6" max="6" width="1.5703125" style="4" customWidth="1"/>
    <col min="7" max="7" width="15.5703125" style="4" customWidth="1"/>
    <col min="8" max="8" width="22.42578125" style="4" bestFit="1" customWidth="1"/>
    <col min="9" max="9" width="16.140625" style="4" bestFit="1" customWidth="1"/>
    <col min="10" max="10" width="1.5703125" style="4" customWidth="1"/>
    <col min="11" max="11" width="51.42578125" style="148" bestFit="1" customWidth="1"/>
    <col min="12" max="12" width="40.140625" style="148" customWidth="1"/>
    <col min="13" max="13" width="3.140625" style="215" customWidth="1"/>
    <col min="14" max="31" width="10.5703125" style="215" hidden="1"/>
    <col min="32" max="32" width="11.5703125" style="215" hidden="1"/>
    <col min="33" max="48" width="10.5703125" style="215" hidden="1"/>
    <col min="49" max="50" width="10.7109375" style="215" hidden="1"/>
    <col min="51" max="52" width="10.140625" style="215" hidden="1"/>
    <col min="53" max="16381" width="9.140625" style="215" hidden="1"/>
    <col min="16382" max="16384" width="2.140625" style="215" hidden="1"/>
  </cols>
  <sheetData>
    <row r="1" spans="1:12" ht="14.25">
      <c r="A1" s="157" t="s">
        <v>24</v>
      </c>
      <c r="B1" s="12"/>
      <c r="C1" s="12"/>
      <c r="D1" s="12"/>
      <c r="E1" s="12"/>
      <c r="F1" s="12"/>
      <c r="G1" s="12"/>
      <c r="H1" s="12" t="s">
        <v>108</v>
      </c>
      <c r="I1" s="155" t="s">
        <v>284</v>
      </c>
      <c r="J1" s="13"/>
      <c r="K1" s="146"/>
      <c r="L1" s="146"/>
    </row>
    <row r="2" spans="1:12" ht="15" customHeight="1">
      <c r="A2" s="12"/>
      <c r="B2" s="12"/>
      <c r="C2" s="12"/>
      <c r="D2" s="12"/>
      <c r="E2" s="14" t="s">
        <v>109</v>
      </c>
      <c r="F2" s="14"/>
      <c r="G2" s="14" t="s">
        <v>110</v>
      </c>
      <c r="H2" s="14" t="s">
        <v>111</v>
      </c>
      <c r="I2" s="156" t="s">
        <v>285</v>
      </c>
      <c r="J2" s="15"/>
      <c r="K2" s="147" t="s">
        <v>286</v>
      </c>
      <c r="L2" s="147" t="s">
        <v>287</v>
      </c>
    </row>
    <row r="3" spans="1:12" ht="15" customHeight="1"/>
    <row r="4" spans="1:12" ht="15" customHeight="1">
      <c r="B4" s="267" t="s">
        <v>114</v>
      </c>
      <c r="C4" s="56"/>
      <c r="D4" s="56"/>
      <c r="E4" s="56"/>
      <c r="F4" s="56"/>
      <c r="G4" s="56"/>
      <c r="H4" s="56"/>
      <c r="I4" s="138"/>
      <c r="J4" s="56"/>
      <c r="K4" s="149"/>
      <c r="L4" s="149"/>
    </row>
    <row r="5" spans="1:12" ht="15" customHeight="1">
      <c r="I5" s="139"/>
    </row>
    <row r="6" spans="1:12" ht="15" customHeight="1">
      <c r="E6" s="4" t="str">
        <f>Inputs!E6</f>
        <v>GB indexed portion of interconnector</v>
      </c>
      <c r="G6" s="4" t="str">
        <f>Inputs!G6</f>
        <v>choice %</v>
      </c>
      <c r="I6" s="140">
        <f>ROW(Inputs!E6)</f>
        <v>6</v>
      </c>
      <c r="K6" s="152" t="s">
        <v>288</v>
      </c>
      <c r="L6" s="159"/>
    </row>
    <row r="7" spans="1:12" ht="15" customHeight="1">
      <c r="A7" s="215"/>
      <c r="E7" s="4" t="str">
        <f>Inputs!E9</f>
        <v>Currency of cost inputs</v>
      </c>
      <c r="G7" s="4" t="str">
        <f>Inputs!G9</f>
        <v>choice</v>
      </c>
      <c r="I7" s="140">
        <f>ROW(Inputs!E9)</f>
        <v>9</v>
      </c>
      <c r="K7" s="152" t="s">
        <v>289</v>
      </c>
      <c r="L7" s="152"/>
    </row>
    <row r="8" spans="1:12" ht="15" customHeight="1">
      <c r="A8" s="215"/>
      <c r="B8" s="17"/>
      <c r="C8" s="17"/>
      <c r="D8" s="17"/>
      <c r="E8" s="4" t="str">
        <f>Inputs!E11</f>
        <v>Base year price term</v>
      </c>
      <c r="F8" s="17"/>
      <c r="G8" s="4" t="str">
        <f>Inputs!G11</f>
        <v>choice</v>
      </c>
      <c r="H8" s="17"/>
      <c r="I8" s="140">
        <f>ROW(Inputs!E11)</f>
        <v>11</v>
      </c>
      <c r="J8" s="17"/>
      <c r="K8" s="152" t="s">
        <v>288</v>
      </c>
      <c r="L8" s="159"/>
    </row>
    <row r="9" spans="1:12" ht="15" customHeight="1">
      <c r="A9" s="17"/>
      <c r="B9" s="17"/>
      <c r="C9" s="17"/>
      <c r="D9" s="17"/>
      <c r="E9" s="17"/>
      <c r="F9" s="17"/>
      <c r="G9" s="17"/>
      <c r="H9" s="17"/>
      <c r="I9" s="142"/>
      <c r="J9" s="17"/>
      <c r="K9" s="150"/>
      <c r="L9" s="150"/>
    </row>
    <row r="10" spans="1:12" ht="15" customHeight="1">
      <c r="A10" s="17"/>
      <c r="B10" s="267" t="s">
        <v>124</v>
      </c>
      <c r="C10" s="56"/>
      <c r="D10" s="56"/>
      <c r="E10" s="56"/>
      <c r="F10" s="56"/>
      <c r="G10" s="56"/>
      <c r="H10" s="56"/>
      <c r="I10" s="138"/>
      <c r="J10" s="56"/>
      <c r="K10" s="149"/>
      <c r="L10" s="149"/>
    </row>
    <row r="11" spans="1:12" ht="15" customHeight="1">
      <c r="A11" s="17"/>
      <c r="B11" s="17"/>
      <c r="C11" s="17"/>
      <c r="D11" s="17"/>
      <c r="E11" s="17"/>
      <c r="F11" s="17"/>
      <c r="G11" s="17"/>
      <c r="H11" s="17"/>
      <c r="I11" s="141"/>
      <c r="J11" s="17"/>
      <c r="K11" s="150"/>
      <c r="L11" s="150"/>
    </row>
    <row r="12" spans="1:12" ht="15" customHeight="1">
      <c r="A12" s="17"/>
      <c r="B12" s="17"/>
      <c r="C12" s="10" t="s">
        <v>125</v>
      </c>
      <c r="D12" s="10"/>
      <c r="E12" s="10"/>
      <c r="F12" s="10"/>
      <c r="G12" s="10"/>
      <c r="H12" s="10"/>
      <c r="I12" s="143"/>
      <c r="J12" s="10"/>
      <c r="K12" s="151"/>
      <c r="L12" s="151"/>
    </row>
    <row r="13" spans="1:12" ht="15" customHeight="1">
      <c r="I13" s="139"/>
    </row>
    <row r="14" spans="1:12" ht="15" customHeight="1">
      <c r="A14" s="215"/>
      <c r="E14" s="4" t="str">
        <f>Inputs!E20</f>
        <v>Development costs</v>
      </c>
      <c r="G14" s="4" t="str">
        <f>Inputs!G20</f>
        <v>£m nominal prices</v>
      </c>
      <c r="I14" s="139">
        <f>ROW(Inputs!E20)</f>
        <v>20</v>
      </c>
      <c r="K14" s="152" t="s">
        <v>289</v>
      </c>
      <c r="L14" s="152"/>
    </row>
    <row r="15" spans="1:12" ht="15" customHeight="1">
      <c r="A15" s="215"/>
      <c r="E15" s="4" t="str">
        <f>Inputs!E21</f>
        <v>Capex</v>
      </c>
      <c r="G15" s="4" t="str">
        <f>Inputs!G21</f>
        <v>£m nominal prices</v>
      </c>
      <c r="I15" s="139">
        <f>ROW(Inputs!E21)</f>
        <v>21</v>
      </c>
      <c r="K15" s="152" t="s">
        <v>289</v>
      </c>
      <c r="L15" s="152"/>
    </row>
    <row r="16" spans="1:12" ht="15" customHeight="1">
      <c r="A16" s="215"/>
      <c r="E16" s="4" t="str">
        <f>Inputs!E22</f>
        <v>Spares</v>
      </c>
      <c r="G16" s="4" t="str">
        <f>Inputs!G22</f>
        <v>£m nominal prices</v>
      </c>
      <c r="I16" s="139">
        <f>ROW(Inputs!E22)</f>
        <v>22</v>
      </c>
      <c r="K16" s="152" t="s">
        <v>289</v>
      </c>
      <c r="L16" s="152"/>
    </row>
    <row r="17" spans="1:12" ht="15" customHeight="1">
      <c r="I17" s="139"/>
      <c r="K17" s="150"/>
      <c r="L17" s="150"/>
    </row>
    <row r="18" spans="1:12" ht="13.15">
      <c r="A18" s="215"/>
      <c r="E18" s="4" t="str">
        <f>Inputs!E24</f>
        <v>Base year UK RPI inflation index value (CHAW)</v>
      </c>
      <c r="G18" s="4" t="str">
        <f>Inputs!G24</f>
        <v>Jan 1987 = 100</v>
      </c>
      <c r="H18" s="4" t="str">
        <f>Inputs!H24</f>
        <v>UK RPI index 2020</v>
      </c>
      <c r="I18" s="141">
        <f>ROW(Inputs!E24)</f>
        <v>24</v>
      </c>
      <c r="K18" s="152" t="s">
        <v>290</v>
      </c>
      <c r="L18" s="232" t="s">
        <v>291</v>
      </c>
    </row>
    <row r="19" spans="1:12" ht="13.15">
      <c r="A19" s="215"/>
      <c r="E19" s="4">
        <f>Inputs!E25</f>
        <v>0</v>
      </c>
      <c r="G19" s="4">
        <f>Inputs!G25</f>
        <v>0</v>
      </c>
      <c r="I19" s="141">
        <f>ROW(Inputs!E25)</f>
        <v>25</v>
      </c>
      <c r="K19" s="214"/>
      <c r="L19" s="217"/>
    </row>
    <row r="20" spans="1:12" ht="13.15">
      <c r="A20" s="215"/>
      <c r="E20" s="4">
        <f>Inputs!E26</f>
        <v>0</v>
      </c>
      <c r="G20" s="4">
        <f>Inputs!G26</f>
        <v>0</v>
      </c>
      <c r="I20" s="141">
        <f>ROW(Inputs!E26)</f>
        <v>26</v>
      </c>
      <c r="K20" s="152" t="s">
        <v>292</v>
      </c>
      <c r="L20" s="216" t="s">
        <v>293</v>
      </c>
    </row>
    <row r="21" spans="1:12" ht="15" customHeight="1">
      <c r="A21" s="215"/>
      <c r="I21" s="141"/>
      <c r="K21" s="150"/>
      <c r="L21" s="153"/>
    </row>
    <row r="22" spans="1:12" ht="13.15">
      <c r="A22" s="215"/>
      <c r="E22" s="4" t="str">
        <f>Inputs!E28</f>
        <v>12 month average UK RPI inflation index value (CHAW)</v>
      </c>
      <c r="G22" s="4" t="str">
        <f>Inputs!G28</f>
        <v>Jan 1987 = 100</v>
      </c>
      <c r="H22" s="4" t="str">
        <f>Inputs!H28</f>
        <v>UK RPI index t</v>
      </c>
      <c r="I22" s="141">
        <f>ROW(Inputs!E28)</f>
        <v>28</v>
      </c>
      <c r="K22" s="152" t="s">
        <v>290</v>
      </c>
      <c r="L22" s="232" t="s">
        <v>291</v>
      </c>
    </row>
    <row r="23" spans="1:12" ht="13.15">
      <c r="A23" s="215"/>
      <c r="E23" s="4">
        <f>Inputs!E29</f>
        <v>0</v>
      </c>
      <c r="G23" s="4">
        <f>Inputs!G29</f>
        <v>0</v>
      </c>
      <c r="I23" s="141">
        <f>ROW(Inputs!E29)</f>
        <v>29</v>
      </c>
      <c r="K23" s="214"/>
      <c r="L23" s="217"/>
    </row>
    <row r="24" spans="1:12" ht="13.15">
      <c r="A24" s="215"/>
      <c r="E24" s="4" t="str">
        <f>Inputs!E30</f>
        <v>Average exchange rate (XUMAERS)</v>
      </c>
      <c r="G24" s="4" t="str">
        <f>Inputs!G30</f>
        <v/>
      </c>
      <c r="I24" s="141">
        <f>ROW(Inputs!E30)</f>
        <v>30</v>
      </c>
      <c r="K24" s="152" t="s">
        <v>292</v>
      </c>
      <c r="L24" s="232" t="s">
        <v>294</v>
      </c>
    </row>
    <row r="25" spans="1:12" ht="15" customHeight="1">
      <c r="G25" s="66"/>
      <c r="H25" s="66"/>
      <c r="I25" s="139"/>
      <c r="K25" s="150"/>
      <c r="L25" s="150"/>
    </row>
    <row r="26" spans="1:12" ht="15" customHeight="1">
      <c r="C26" s="10" t="s">
        <v>140</v>
      </c>
      <c r="D26" s="10"/>
      <c r="E26" s="10"/>
      <c r="F26" s="10"/>
      <c r="G26" s="10"/>
      <c r="H26" s="10"/>
      <c r="I26" s="143"/>
      <c r="J26" s="10"/>
      <c r="K26" s="151"/>
      <c r="L26" s="151"/>
    </row>
    <row r="27" spans="1:12" ht="15" customHeight="1">
      <c r="I27" s="139"/>
    </row>
    <row r="28" spans="1:12" ht="15" customHeight="1">
      <c r="B28" s="17"/>
      <c r="C28" s="17"/>
      <c r="D28" s="17"/>
      <c r="E28" s="17" t="str">
        <f>Inputs!E42</f>
        <v>Replacement Capex</v>
      </c>
      <c r="F28" s="17"/>
      <c r="G28" s="17" t="str">
        <f>Inputs!G42</f>
        <v>£m 2024 prices</v>
      </c>
      <c r="H28" s="17"/>
      <c r="I28" s="141">
        <f>ROW(Inputs!E42)</f>
        <v>42</v>
      </c>
      <c r="J28" s="17"/>
      <c r="K28" s="152" t="s">
        <v>289</v>
      </c>
      <c r="L28" s="152"/>
    </row>
    <row r="29" spans="1:12" ht="15" customHeight="1">
      <c r="B29" s="17"/>
      <c r="C29" s="17"/>
      <c r="D29" s="17"/>
      <c r="E29" s="17" t="str">
        <f>Inputs!E43</f>
        <v>Decommissioning baseline</v>
      </c>
      <c r="F29" s="17"/>
      <c r="G29" s="17" t="str">
        <f>Inputs!G43</f>
        <v>£m 2024 prices</v>
      </c>
      <c r="H29" s="17"/>
      <c r="I29" s="141">
        <f>ROW(Inputs!E43)</f>
        <v>43</v>
      </c>
      <c r="J29" s="17"/>
      <c r="K29" s="152" t="s">
        <v>289</v>
      </c>
      <c r="L29" s="152"/>
    </row>
    <row r="30" spans="1:12" ht="15" customHeight="1">
      <c r="B30" s="17"/>
      <c r="C30" s="17"/>
      <c r="D30" s="17"/>
      <c r="E30" s="17" t="str">
        <f>Inputs!E44</f>
        <v>Controllable Opex</v>
      </c>
      <c r="F30" s="17"/>
      <c r="G30" s="17" t="str">
        <f>Inputs!G44</f>
        <v>£m 2024 prices</v>
      </c>
      <c r="H30" s="17"/>
      <c r="I30" s="141">
        <f>ROW(Inputs!E44)</f>
        <v>44</v>
      </c>
      <c r="J30" s="17"/>
      <c r="K30" s="152" t="s">
        <v>289</v>
      </c>
      <c r="L30" s="152"/>
    </row>
    <row r="31" spans="1:12" ht="15" customHeight="1">
      <c r="B31" s="17"/>
      <c r="C31" s="17"/>
      <c r="D31" s="17"/>
      <c r="E31" s="17" t="str">
        <f>Inputs!E45</f>
        <v>Non-controllable Opex baseline</v>
      </c>
      <c r="F31" s="17"/>
      <c r="G31" s="17" t="str">
        <f>Inputs!G45</f>
        <v>£m 2024 prices</v>
      </c>
      <c r="H31" s="17"/>
      <c r="I31" s="141">
        <f>ROW(Inputs!E45)</f>
        <v>45</v>
      </c>
      <c r="J31" s="17"/>
      <c r="K31" s="152" t="s">
        <v>289</v>
      </c>
      <c r="L31" s="152"/>
    </row>
    <row r="32" spans="1:12" ht="15" customHeight="1">
      <c r="I32" s="139"/>
    </row>
    <row r="33" spans="1:12" ht="15" customHeight="1">
      <c r="E33" s="4" t="str">
        <f>Inputs!E51</f>
        <v>2024 average UK RPI inflation index value (CHAW)</v>
      </c>
      <c r="G33" s="4" t="str">
        <f>Inputs!G51</f>
        <v>Jan 1987 = 100</v>
      </c>
      <c r="I33" s="141">
        <f>ROW(Inputs!E51)</f>
        <v>51</v>
      </c>
      <c r="J33" s="17"/>
      <c r="K33" s="152" t="s">
        <v>290</v>
      </c>
      <c r="L33" s="232" t="s">
        <v>291</v>
      </c>
    </row>
    <row r="34" spans="1:12" ht="15" customHeight="1">
      <c r="E34" s="4" t="str">
        <f>Inputs!E52</f>
        <v>2024 average Ireland CPI inflation index value</v>
      </c>
      <c r="G34" s="4" t="str">
        <f>Inputs!G52</f>
        <v/>
      </c>
      <c r="I34" s="141">
        <f>ROW(Inputs!E52)</f>
        <v>52</v>
      </c>
      <c r="J34" s="17"/>
      <c r="K34" s="214"/>
      <c r="L34" s="217"/>
    </row>
    <row r="35" spans="1:12" ht="15" customHeight="1">
      <c r="E35" s="4" t="str">
        <f>Inputs!E53</f>
        <v>2024 average exchange rate (XUMAERS)</v>
      </c>
      <c r="G35" s="4" t="str">
        <f>Inputs!G53</f>
        <v/>
      </c>
      <c r="I35" s="141">
        <f>ROW(Inputs!E53)</f>
        <v>53</v>
      </c>
      <c r="J35" s="17"/>
      <c r="K35" s="152" t="s">
        <v>292</v>
      </c>
      <c r="L35" s="232" t="s">
        <v>294</v>
      </c>
    </row>
    <row r="36" spans="1:12" ht="15" customHeight="1">
      <c r="I36" s="141"/>
      <c r="J36" s="17"/>
      <c r="K36"/>
      <c r="L36"/>
    </row>
    <row r="37" spans="1:12" ht="15" customHeight="1">
      <c r="E37" s="4" t="str">
        <f>Inputs!E55</f>
        <v>Average exchange rate (XUMAERS)</v>
      </c>
      <c r="G37" s="4" t="str">
        <f>Inputs!G55</f>
        <v/>
      </c>
      <c r="H37" s="4" t="str">
        <f>Inputs!H55</f>
        <v>GBPt / EURt</v>
      </c>
      <c r="I37" s="141">
        <f>ROW(Inputs!E55)</f>
        <v>55</v>
      </c>
      <c r="J37" s="17"/>
      <c r="K37" s="152" t="s">
        <v>292</v>
      </c>
      <c r="L37" s="232" t="s">
        <v>294</v>
      </c>
    </row>
    <row r="38" spans="1:12" ht="15" customHeight="1">
      <c r="I38" s="139"/>
    </row>
    <row r="39" spans="1:12" ht="15" customHeight="1">
      <c r="A39" s="5"/>
      <c r="B39" s="267" t="s">
        <v>176</v>
      </c>
      <c r="C39" s="11"/>
      <c r="D39" s="11"/>
      <c r="E39" s="11"/>
      <c r="F39" s="11"/>
      <c r="G39" s="11"/>
      <c r="H39" s="11"/>
      <c r="I39" s="144"/>
      <c r="J39" s="11"/>
      <c r="K39" s="154"/>
      <c r="L39" s="154"/>
    </row>
    <row r="40" spans="1:12" ht="15" customHeight="1">
      <c r="A40" s="5"/>
      <c r="B40" s="5"/>
      <c r="C40" s="5"/>
      <c r="D40" s="5"/>
      <c r="E40" s="5"/>
      <c r="F40" s="5"/>
      <c r="G40" s="5"/>
      <c r="H40" s="5"/>
      <c r="I40" s="145"/>
      <c r="J40" s="6"/>
      <c r="K40" s="150"/>
      <c r="L40" s="150"/>
    </row>
    <row r="41" spans="1:12" ht="15" customHeight="1">
      <c r="A41" s="5"/>
      <c r="B41" s="5"/>
      <c r="C41" s="10" t="s">
        <v>28</v>
      </c>
      <c r="D41" s="10"/>
      <c r="E41" s="10"/>
      <c r="F41" s="10"/>
      <c r="G41" s="10"/>
      <c r="H41" s="10"/>
      <c r="I41" s="143"/>
      <c r="J41" s="10"/>
      <c r="K41" s="151"/>
      <c r="L41" s="151"/>
    </row>
    <row r="42" spans="1:12" ht="15" customHeight="1">
      <c r="A42" s="5"/>
      <c r="B42" s="5"/>
      <c r="C42" s="5"/>
      <c r="D42" s="5"/>
      <c r="E42" s="5"/>
      <c r="F42" s="5"/>
      <c r="G42" s="5"/>
      <c r="H42" s="5"/>
      <c r="I42" s="145"/>
      <c r="J42" s="6"/>
    </row>
    <row r="43" spans="1:12" ht="13.15">
      <c r="A43" s="215"/>
      <c r="B43" s="17"/>
      <c r="C43" s="17"/>
      <c r="D43" s="17"/>
      <c r="E43" s="17" t="str">
        <f>Inputs!E68</f>
        <v>Cap return rate</v>
      </c>
      <c r="F43" s="17"/>
      <c r="G43" s="17" t="str">
        <f>Inputs!G68</f>
        <v>real annual %</v>
      </c>
      <c r="H43" s="17"/>
      <c r="I43" s="141">
        <f>ROW(Inputs!E68)</f>
        <v>68</v>
      </c>
      <c r="J43" s="17"/>
      <c r="K43" s="152" t="s">
        <v>295</v>
      </c>
      <c r="L43" s="159"/>
    </row>
    <row r="44" spans="1:12" ht="15" customHeight="1">
      <c r="A44" s="17"/>
      <c r="B44" s="17"/>
      <c r="C44" s="17"/>
      <c r="D44" s="17"/>
      <c r="E44" s="17" t="str">
        <f>Inputs!E69</f>
        <v>Floor return rate</v>
      </c>
      <c r="F44" s="17"/>
      <c r="G44" s="17" t="str">
        <f>Inputs!G69</f>
        <v>real annual %</v>
      </c>
      <c r="H44" s="17"/>
      <c r="I44" s="141">
        <f>ROW(Inputs!E69)</f>
        <v>69</v>
      </c>
      <c r="J44" s="17"/>
      <c r="K44" s="152" t="s">
        <v>295</v>
      </c>
      <c r="L44" s="159"/>
    </row>
    <row r="45" spans="1:12" ht="15" customHeight="1">
      <c r="A45" s="17"/>
      <c r="B45" s="17"/>
      <c r="C45" s="17"/>
      <c r="D45" s="17"/>
      <c r="E45" s="17" t="str">
        <f>Inputs!E70</f>
        <v>Interest during construction (IDC) rate</v>
      </c>
      <c r="F45" s="17"/>
      <c r="G45" s="17" t="str">
        <f>Inputs!G70</f>
        <v>real annual %</v>
      </c>
      <c r="H45" s="17"/>
      <c r="I45" s="141">
        <f>ROW(Inputs!E70)</f>
        <v>70</v>
      </c>
      <c r="J45" s="17"/>
      <c r="K45" s="152" t="s">
        <v>295</v>
      </c>
      <c r="L45" s="159"/>
    </row>
    <row r="46" spans="1:12" ht="15" customHeight="1">
      <c r="A46" s="17"/>
      <c r="B46" s="17"/>
      <c r="C46" s="17"/>
      <c r="D46" s="17"/>
      <c r="E46" s="17"/>
      <c r="F46" s="17"/>
      <c r="G46" s="17"/>
      <c r="H46" s="17"/>
      <c r="I46" s="141"/>
      <c r="J46" s="17"/>
      <c r="K46" s="150"/>
      <c r="L46" s="150"/>
    </row>
    <row r="47" spans="1:12" ht="13.15">
      <c r="A47" s="215"/>
      <c r="B47" s="17"/>
      <c r="C47" s="17"/>
      <c r="D47" s="17"/>
      <c r="E47" s="17" t="str">
        <f>Inputs!E73</f>
        <v>Pre-operational notional gearing</v>
      </c>
      <c r="F47" s="17"/>
      <c r="G47" s="17" t="str">
        <f>Inputs!G73</f>
        <v>%</v>
      </c>
      <c r="H47" s="17"/>
      <c r="I47" s="141">
        <f>ROW(Inputs!E73)</f>
        <v>73</v>
      </c>
      <c r="J47" s="17"/>
      <c r="K47" s="152" t="s">
        <v>295</v>
      </c>
      <c r="L47" s="159"/>
    </row>
    <row r="48" spans="1:12" ht="13.15">
      <c r="A48" s="215"/>
      <c r="B48" s="17"/>
      <c r="C48" s="17"/>
      <c r="D48" s="17"/>
      <c r="E48" s="17" t="str">
        <f>Inputs!E74</f>
        <v>Operational notional gearing</v>
      </c>
      <c r="F48" s="17"/>
      <c r="G48" s="17" t="str">
        <f>Inputs!G74</f>
        <v>%</v>
      </c>
      <c r="H48" s="17"/>
      <c r="I48" s="141">
        <f>ROW(Inputs!E74)</f>
        <v>74</v>
      </c>
      <c r="J48" s="17"/>
      <c r="K48" s="152" t="s">
        <v>296</v>
      </c>
      <c r="L48" s="159"/>
    </row>
    <row r="49" spans="1:12" ht="15" customHeight="1">
      <c r="A49" s="17"/>
      <c r="B49" s="17"/>
      <c r="C49" s="17"/>
      <c r="D49" s="17"/>
      <c r="E49" s="17"/>
      <c r="F49" s="17"/>
      <c r="G49" s="17"/>
      <c r="H49" s="17"/>
      <c r="I49" s="141"/>
      <c r="J49" s="17"/>
      <c r="K49" s="150"/>
      <c r="L49" s="150"/>
    </row>
    <row r="50" spans="1:12" ht="15" customHeight="1">
      <c r="A50" s="17"/>
      <c r="B50" s="17"/>
      <c r="C50" s="17"/>
      <c r="D50" s="17"/>
      <c r="E50" s="17" t="str">
        <f>Inputs!E76</f>
        <v>Equity transaction costs</v>
      </c>
      <c r="F50" s="17"/>
      <c r="G50" s="17" t="str">
        <f>Inputs!G76</f>
        <v>%</v>
      </c>
      <c r="H50" s="17"/>
      <c r="I50" s="141">
        <f>ROW(Inputs!E76)</f>
        <v>76</v>
      </c>
      <c r="J50" s="17"/>
      <c r="K50" s="152" t="s">
        <v>296</v>
      </c>
      <c r="L50" s="159"/>
    </row>
    <row r="51" spans="1:12" ht="15" customHeight="1">
      <c r="A51" s="17"/>
      <c r="B51" s="17"/>
      <c r="C51" s="17"/>
      <c r="D51" s="17"/>
      <c r="E51" s="17" t="str">
        <f>Inputs!E77</f>
        <v>Debt transaction costs</v>
      </c>
      <c r="F51" s="17"/>
      <c r="G51" s="17" t="str">
        <f>Inputs!G77</f>
        <v>%</v>
      </c>
      <c r="H51" s="17"/>
      <c r="I51" s="141">
        <f>ROW(Inputs!E77)</f>
        <v>77</v>
      </c>
      <c r="J51" s="17"/>
      <c r="K51" s="152" t="s">
        <v>296</v>
      </c>
      <c r="L51" s="159"/>
    </row>
    <row r="52" spans="1:12" ht="15" customHeight="1">
      <c r="A52" s="215"/>
      <c r="B52" s="215"/>
      <c r="C52" s="215"/>
      <c r="D52" s="215"/>
      <c r="E52" s="215"/>
      <c r="F52" s="215"/>
      <c r="G52" s="215"/>
      <c r="H52" s="215"/>
      <c r="I52" s="215"/>
      <c r="J52" s="215"/>
      <c r="K52" s="215"/>
      <c r="L52" s="215"/>
    </row>
    <row r="53" spans="1:12" ht="15" customHeight="1">
      <c r="A53" s="225"/>
      <c r="B53" s="215"/>
      <c r="C53" s="10" t="s">
        <v>297</v>
      </c>
      <c r="D53" s="10"/>
      <c r="E53" s="10"/>
      <c r="F53" s="10"/>
      <c r="G53" s="10"/>
      <c r="H53" s="10"/>
      <c r="I53" s="143"/>
      <c r="J53" s="10"/>
      <c r="K53" s="151"/>
      <c r="L53" s="151"/>
    </row>
    <row r="54" spans="1:12" ht="15" customHeight="1">
      <c r="A54" s="225"/>
      <c r="B54" s="215"/>
      <c r="C54" s="215"/>
      <c r="D54" s="215"/>
      <c r="E54" s="215"/>
      <c r="F54" s="215"/>
      <c r="G54" s="215"/>
      <c r="H54" s="215"/>
      <c r="I54" s="215"/>
      <c r="J54" s="215"/>
      <c r="K54" s="215"/>
      <c r="L54" s="215"/>
    </row>
    <row r="55" spans="1:12" ht="26.25">
      <c r="A55" s="225"/>
      <c r="B55" s="215"/>
      <c r="C55" s="215"/>
      <c r="D55" s="215"/>
      <c r="E55" s="215" t="str">
        <f>Inputs!E81</f>
        <v>Project finance key input: senior debt amount or gearing</v>
      </c>
      <c r="F55" s="215"/>
      <c r="G55" s="218" t="str">
        <f>Inputs!G81</f>
        <v>1: Amount (£m)
2: Gearing (%)</v>
      </c>
      <c r="H55" s="215"/>
      <c r="I55" s="141">
        <f>ROW(Inputs!E81)</f>
        <v>81</v>
      </c>
      <c r="J55" s="215"/>
      <c r="K55" s="152" t="s">
        <v>298</v>
      </c>
      <c r="L55" s="159"/>
    </row>
    <row r="56" spans="1:12" ht="15" customHeight="1">
      <c r="A56" s="225"/>
      <c r="B56" s="215"/>
      <c r="C56" s="215"/>
      <c r="D56" s="215"/>
      <c r="E56" s="215" t="str">
        <f>Inputs!E82</f>
        <v>Project finance senior debt amount (input if 1; empty if 2)</v>
      </c>
      <c r="F56" s="215"/>
      <c r="G56" s="215" t="str">
        <f>Inputs!G82</f>
        <v>£m nominal prices</v>
      </c>
      <c r="H56" s="215"/>
      <c r="I56" s="141">
        <f>ROW(Inputs!E82)</f>
        <v>82</v>
      </c>
      <c r="J56" s="215"/>
      <c r="K56" s="152" t="s">
        <v>298</v>
      </c>
      <c r="L56" s="159"/>
    </row>
    <row r="57" spans="1:12" ht="15" customHeight="1">
      <c r="A57" s="225"/>
      <c r="B57" s="215"/>
      <c r="C57" s="215"/>
      <c r="D57" s="215"/>
      <c r="E57" s="215" t="str">
        <f>Inputs!E83</f>
        <v>Project finance actual gearing (input if 2; empty if 1)</v>
      </c>
      <c r="F57" s="215"/>
      <c r="G57" s="215" t="str">
        <f>Inputs!G83</f>
        <v>%</v>
      </c>
      <c r="H57" s="215"/>
      <c r="I57" s="141">
        <f>ROW(Inputs!E83)</f>
        <v>83</v>
      </c>
      <c r="J57" s="215"/>
      <c r="K57" s="152" t="s">
        <v>298</v>
      </c>
      <c r="L57" s="233"/>
    </row>
    <row r="58" spans="1:12" ht="15" customHeight="1">
      <c r="A58" s="225"/>
      <c r="B58" s="215"/>
      <c r="C58" s="215"/>
      <c r="D58" s="215"/>
      <c r="E58" s="215"/>
      <c r="F58" s="215"/>
      <c r="G58" s="215"/>
      <c r="H58" s="215"/>
      <c r="I58" s="141"/>
      <c r="J58" s="215"/>
      <c r="K58" s="215"/>
      <c r="L58" s="215"/>
    </row>
    <row r="59" spans="1:12" ht="15" customHeight="1">
      <c r="A59" s="225"/>
      <c r="B59" s="215"/>
      <c r="C59" s="215"/>
      <c r="D59" s="215"/>
      <c r="E59" s="215" t="str">
        <f>Inputs!E85</f>
        <v>Senior Debt tenor</v>
      </c>
      <c r="F59" s="215"/>
      <c r="G59" s="215" t="str">
        <f>Inputs!G85</f>
        <v>full years</v>
      </c>
      <c r="H59" s="215"/>
      <c r="I59" s="141">
        <f>ROW(Inputs!E85)</f>
        <v>85</v>
      </c>
      <c r="J59" s="215"/>
      <c r="K59" s="152" t="s">
        <v>298</v>
      </c>
      <c r="L59" s="159"/>
    </row>
    <row r="60" spans="1:12" ht="15" customHeight="1">
      <c r="A60" s="225"/>
      <c r="B60" s="215"/>
      <c r="C60" s="215"/>
      <c r="D60" s="215"/>
      <c r="E60" s="215" t="str">
        <f>Inputs!E86</f>
        <v>Senior Debt tail requirement</v>
      </c>
      <c r="F60" s="215"/>
      <c r="G60" s="215" t="str">
        <f>Inputs!G86</f>
        <v>full years</v>
      </c>
      <c r="H60" s="215"/>
      <c r="I60" s="141">
        <f>ROW(Inputs!E86)</f>
        <v>86</v>
      </c>
      <c r="J60" s="215"/>
      <c r="K60" s="152" t="s">
        <v>298</v>
      </c>
      <c r="L60" s="159"/>
    </row>
    <row r="61" spans="1:12" ht="15" customHeight="1">
      <c r="A61" s="225"/>
      <c r="B61" s="215"/>
      <c r="C61" s="215"/>
      <c r="D61" s="215"/>
      <c r="E61" s="215" t="str">
        <f>Inputs!E87</f>
        <v>DSCR sizing</v>
      </c>
      <c r="F61" s="215"/>
      <c r="G61" s="215" t="str">
        <f>Inputs!G87</f>
        <v>DSCRx</v>
      </c>
      <c r="H61" s="215"/>
      <c r="I61" s="141">
        <f>ROW(Inputs!E87)</f>
        <v>87</v>
      </c>
      <c r="J61" s="215"/>
      <c r="K61" s="152" t="s">
        <v>298</v>
      </c>
      <c r="L61" s="159"/>
    </row>
    <row r="62" spans="1:12" ht="15" customHeight="1">
      <c r="A62" s="225"/>
      <c r="B62" s="215"/>
      <c r="C62" s="215"/>
      <c r="D62" s="215"/>
      <c r="E62" s="215"/>
      <c r="F62" s="215"/>
      <c r="G62" s="215"/>
      <c r="H62" s="215"/>
      <c r="I62" s="141"/>
      <c r="J62" s="215"/>
      <c r="K62" s="215"/>
      <c r="L62" s="215"/>
    </row>
    <row r="63" spans="1:12" ht="15" customHeight="1">
      <c r="A63" s="225"/>
      <c r="B63" s="215"/>
      <c r="C63" s="215"/>
      <c r="D63" s="215"/>
      <c r="E63" s="215" t="str">
        <f>Inputs!E89</f>
        <v>Fixed rate - Construction</v>
      </c>
      <c r="F63" s="215"/>
      <c r="G63" s="215" t="str">
        <f>Inputs!G89</f>
        <v>nominal %</v>
      </c>
      <c r="H63" s="215"/>
      <c r="I63" s="141">
        <f>ROW(Inputs!E89)</f>
        <v>89</v>
      </c>
      <c r="J63" s="215"/>
      <c r="K63" s="152" t="s">
        <v>298</v>
      </c>
      <c r="L63" s="159"/>
    </row>
    <row r="64" spans="1:12" ht="15" customHeight="1">
      <c r="A64" s="225"/>
      <c r="B64" s="215"/>
      <c r="C64" s="215"/>
      <c r="D64" s="215"/>
      <c r="E64" s="215" t="str">
        <f>Inputs!E90</f>
        <v>Fixed rate - Operation</v>
      </c>
      <c r="F64" s="215"/>
      <c r="G64" s="215" t="str">
        <f>Inputs!G90</f>
        <v>nominal %</v>
      </c>
      <c r="H64" s="215"/>
      <c r="I64" s="141">
        <f>ROW(Inputs!E90)</f>
        <v>90</v>
      </c>
      <c r="J64" s="215"/>
      <c r="K64" s="152" t="s">
        <v>298</v>
      </c>
      <c r="L64" s="159"/>
    </row>
    <row r="65" spans="1:12" ht="15" customHeight="1">
      <c r="A65" s="225"/>
      <c r="B65" s="215"/>
      <c r="C65" s="215"/>
      <c r="D65" s="215"/>
      <c r="E65" s="215"/>
      <c r="F65" s="215"/>
      <c r="G65" s="215"/>
      <c r="H65" s="215"/>
      <c r="I65" s="141"/>
      <c r="J65" s="215"/>
      <c r="K65" s="215"/>
      <c r="L65" s="215"/>
    </row>
    <row r="66" spans="1:12" ht="15" customHeight="1">
      <c r="A66" s="225"/>
      <c r="B66" s="215"/>
      <c r="C66" s="215"/>
      <c r="D66" s="215"/>
      <c r="E66" s="215" t="str">
        <f>Inputs!E92</f>
        <v>Senior Debt construction margin</v>
      </c>
      <c r="F66" s="215"/>
      <c r="G66" s="215" t="str">
        <f>Inputs!G92</f>
        <v>nominal %</v>
      </c>
      <c r="H66" s="215"/>
      <c r="I66" s="141">
        <f>ROW(Inputs!E92)</f>
        <v>92</v>
      </c>
      <c r="J66" s="215"/>
      <c r="K66" s="152" t="s">
        <v>298</v>
      </c>
      <c r="L66" s="159"/>
    </row>
    <row r="67" spans="1:12" ht="15" customHeight="1">
      <c r="A67" s="225"/>
      <c r="B67" s="215"/>
      <c r="C67" s="215"/>
      <c r="D67" s="215"/>
      <c r="E67" s="215" t="str">
        <f>Inputs!E93</f>
        <v>of which: swap margin</v>
      </c>
      <c r="F67" s="215"/>
      <c r="G67" s="215" t="str">
        <f>Inputs!G93</f>
        <v>nominal %</v>
      </c>
      <c r="H67" s="215"/>
      <c r="I67" s="141">
        <f>ROW(Inputs!E93)</f>
        <v>93</v>
      </c>
      <c r="J67" s="215"/>
      <c r="K67" s="152" t="s">
        <v>298</v>
      </c>
      <c r="L67" s="159"/>
    </row>
    <row r="68" spans="1:12" ht="15" customHeight="1">
      <c r="A68" s="225"/>
      <c r="B68" s="215"/>
      <c r="C68" s="215"/>
      <c r="D68" s="215"/>
      <c r="E68" s="215" t="str">
        <f>Inputs!E94</f>
        <v>Senior Debt upfront fee</v>
      </c>
      <c r="F68" s="215"/>
      <c r="G68" s="215" t="str">
        <f>Inputs!G94</f>
        <v>nominal %</v>
      </c>
      <c r="H68" s="215"/>
      <c r="I68" s="141">
        <f>ROW(Inputs!E94)</f>
        <v>94</v>
      </c>
      <c r="J68" s="215"/>
      <c r="K68" s="152" t="s">
        <v>298</v>
      </c>
      <c r="L68" s="159"/>
    </row>
    <row r="69" spans="1:12" ht="15" customHeight="1">
      <c r="A69" s="225"/>
      <c r="B69" s="215"/>
      <c r="C69" s="215"/>
      <c r="D69" s="215"/>
      <c r="E69" s="215" t="str">
        <f>Inputs!E95</f>
        <v>Senior Debt commitment fee</v>
      </c>
      <c r="F69" s="215"/>
      <c r="G69" s="215" t="str">
        <f>Inputs!G95</f>
        <v>% of applicable margin</v>
      </c>
      <c r="H69" s="215"/>
      <c r="I69" s="141">
        <f>ROW(Inputs!E95)</f>
        <v>95</v>
      </c>
      <c r="J69" s="215"/>
      <c r="K69" s="152" t="s">
        <v>298</v>
      </c>
      <c r="L69" s="159"/>
    </row>
    <row r="70" spans="1:12" ht="15" customHeight="1">
      <c r="A70" s="225"/>
      <c r="B70" s="215"/>
      <c r="C70" s="215"/>
      <c r="D70" s="215"/>
      <c r="E70" s="215"/>
      <c r="F70" s="215"/>
      <c r="G70" s="215"/>
      <c r="H70" s="215"/>
      <c r="I70" s="141"/>
      <c r="J70" s="215"/>
      <c r="K70" s="215"/>
      <c r="L70" s="215"/>
    </row>
    <row r="71" spans="1:12" ht="15" customHeight="1">
      <c r="A71" s="225"/>
      <c r="B71" s="215"/>
      <c r="C71" s="215"/>
      <c r="D71" s="215"/>
      <c r="E71" s="215" t="str">
        <f>Inputs!E97</f>
        <v>Senior Debt drawdown year</v>
      </c>
      <c r="F71" s="215"/>
      <c r="G71" s="215" t="str">
        <f>Inputs!G97</f>
        <v>Year</v>
      </c>
      <c r="H71" s="215"/>
      <c r="I71" s="141">
        <f>ROW(Inputs!E97)</f>
        <v>97</v>
      </c>
      <c r="J71" s="215"/>
      <c r="K71" s="152" t="s">
        <v>298</v>
      </c>
      <c r="L71" s="159"/>
    </row>
    <row r="72" spans="1:12" ht="15" customHeight="1">
      <c r="A72" s="225"/>
      <c r="B72" s="215"/>
      <c r="C72" s="215"/>
      <c r="D72" s="215"/>
      <c r="E72" s="215" t="str">
        <f>Inputs!E98</f>
        <v>Senior Debt drawdown profile</v>
      </c>
      <c r="F72" s="215"/>
      <c r="G72" s="215" t="str">
        <f>Inputs!G98</f>
        <v>%</v>
      </c>
      <c r="H72" s="215"/>
      <c r="I72" s="141">
        <f>ROW(Inputs!E98)</f>
        <v>98</v>
      </c>
      <c r="J72" s="215"/>
      <c r="K72" s="152" t="s">
        <v>298</v>
      </c>
      <c r="L72" s="159"/>
    </row>
    <row r="73" spans="1:12" ht="15" customHeight="1">
      <c r="A73" s="225"/>
      <c r="B73" s="215"/>
      <c r="C73" s="215"/>
      <c r="D73" s="215"/>
      <c r="E73" s="215"/>
      <c r="F73" s="215"/>
      <c r="G73" s="215"/>
      <c r="H73" s="215"/>
      <c r="I73" s="141"/>
      <c r="J73" s="215"/>
      <c r="K73" s="215"/>
      <c r="L73" s="215"/>
    </row>
    <row r="74" spans="1:12" ht="15" customHeight="1">
      <c r="A74" s="225"/>
      <c r="B74" s="215"/>
      <c r="C74" s="215"/>
      <c r="D74" s="215"/>
      <c r="E74" s="215" t="str">
        <f>Inputs!E100</f>
        <v>Debt Service Reserve Facility/Account amount</v>
      </c>
      <c r="F74" s="215"/>
      <c r="G74" s="215" t="str">
        <f>Inputs!G100</f>
        <v>£m nominal prices</v>
      </c>
      <c r="H74" s="215"/>
      <c r="I74" s="141">
        <f>ROW(Inputs!E100)</f>
        <v>100</v>
      </c>
      <c r="J74" s="215"/>
      <c r="K74" s="152" t="s">
        <v>298</v>
      </c>
      <c r="L74" s="159"/>
    </row>
    <row r="75" spans="1:12" ht="15" customHeight="1">
      <c r="A75" s="225"/>
      <c r="B75" s="215"/>
      <c r="C75" s="215"/>
      <c r="D75" s="215"/>
      <c r="E75" s="215" t="str">
        <f>Inputs!E101</f>
        <v>Debt Service Reserve Facility upfront fee</v>
      </c>
      <c r="F75" s="215"/>
      <c r="G75" s="215" t="str">
        <f>Inputs!G101</f>
        <v>nominal %</v>
      </c>
      <c r="H75" s="215"/>
      <c r="I75" s="141">
        <f>ROW(Inputs!E101)</f>
        <v>101</v>
      </c>
      <c r="J75" s="215"/>
      <c r="K75" s="152" t="s">
        <v>298</v>
      </c>
      <c r="L75" s="159"/>
    </row>
    <row r="76" spans="1:12" ht="15" customHeight="1">
      <c r="A76" s="225"/>
      <c r="B76" s="215"/>
      <c r="C76" s="215"/>
      <c r="D76" s="215"/>
      <c r="E76" s="215" t="str">
        <f>Inputs!E102</f>
        <v>Debt Service Reserve Facility construction margin</v>
      </c>
      <c r="F76" s="215"/>
      <c r="G76" s="215" t="str">
        <f>Inputs!G102</f>
        <v>nominal %</v>
      </c>
      <c r="H76" s="215"/>
      <c r="I76" s="141">
        <f>ROW(Inputs!E102)</f>
        <v>102</v>
      </c>
      <c r="J76" s="215"/>
      <c r="K76" s="152" t="s">
        <v>298</v>
      </c>
      <c r="L76" s="159"/>
    </row>
    <row r="77" spans="1:12" ht="15" customHeight="1">
      <c r="A77" s="225"/>
      <c r="B77" s="215"/>
      <c r="C77" s="215"/>
      <c r="D77" s="215"/>
      <c r="E77" s="215" t="str">
        <f>Inputs!E103</f>
        <v>Debt Service Reserve Facility commitment fee</v>
      </c>
      <c r="F77" s="215"/>
      <c r="G77" s="215" t="str">
        <f>Inputs!G103</f>
        <v>% of applicable margin</v>
      </c>
      <c r="H77" s="215"/>
      <c r="I77" s="141">
        <f>ROW(Inputs!E103)</f>
        <v>103</v>
      </c>
      <c r="J77" s="215"/>
      <c r="K77" s="152" t="s">
        <v>298</v>
      </c>
      <c r="L77" s="159"/>
    </row>
    <row r="78" spans="1:12" ht="15" customHeight="1">
      <c r="A78" s="225"/>
      <c r="B78" s="215"/>
      <c r="C78" s="215"/>
      <c r="D78" s="215"/>
      <c r="E78" s="215"/>
      <c r="F78" s="215"/>
      <c r="G78" s="215"/>
      <c r="H78" s="215"/>
      <c r="I78" s="141"/>
      <c r="J78" s="215"/>
      <c r="K78" s="215"/>
      <c r="L78" s="215"/>
    </row>
    <row r="79" spans="1:12" ht="15" customHeight="1">
      <c r="A79" s="225"/>
      <c r="B79" s="215"/>
      <c r="C79" s="215"/>
      <c r="D79" s="215"/>
      <c r="E79" s="215" t="str">
        <f>Inputs!E105</f>
        <v>Cap and Floor Liquidity Facility amount</v>
      </c>
      <c r="F79" s="215"/>
      <c r="G79" s="215" t="str">
        <f>Inputs!G105</f>
        <v>£m nominal prices</v>
      </c>
      <c r="H79" s="215"/>
      <c r="I79" s="141">
        <f>ROW(Inputs!E105)</f>
        <v>105</v>
      </c>
      <c r="J79" s="215"/>
      <c r="K79" s="152" t="s">
        <v>298</v>
      </c>
      <c r="L79" s="159"/>
    </row>
    <row r="80" spans="1:12" ht="15" customHeight="1">
      <c r="A80" s="225"/>
      <c r="B80" s="215"/>
      <c r="C80" s="215"/>
      <c r="D80" s="215"/>
      <c r="E80" s="215" t="str">
        <f>Inputs!E107</f>
        <v>Cap and Floor Liquidity Facility upfront fee</v>
      </c>
      <c r="F80" s="215"/>
      <c r="G80" s="215" t="str">
        <f>Inputs!G107</f>
        <v>nominal %</v>
      </c>
      <c r="H80" s="215"/>
      <c r="I80" s="141">
        <f>ROW(Inputs!E107)</f>
        <v>107</v>
      </c>
      <c r="J80" s="215"/>
      <c r="K80" s="152" t="s">
        <v>298</v>
      </c>
      <c r="L80" s="159"/>
    </row>
    <row r="81" spans="1:12" ht="15" customHeight="1">
      <c r="A81" s="225"/>
      <c r="B81" s="215"/>
      <c r="C81" s="215"/>
      <c r="D81" s="215"/>
      <c r="E81" s="215" t="str">
        <f>Inputs!E108</f>
        <v>Cap and Floor Liquidity Facility construction margin</v>
      </c>
      <c r="F81" s="215"/>
      <c r="G81" s="215" t="str">
        <f>Inputs!G108</f>
        <v>nominal %</v>
      </c>
      <c r="H81" s="215"/>
      <c r="I81" s="141">
        <f>ROW(Inputs!E108)</f>
        <v>108</v>
      </c>
      <c r="J81" s="215"/>
      <c r="K81" s="152" t="s">
        <v>298</v>
      </c>
      <c r="L81" s="159"/>
    </row>
    <row r="82" spans="1:12" ht="15" customHeight="1">
      <c r="A82" s="225"/>
      <c r="B82" s="215"/>
      <c r="C82" s="215"/>
      <c r="D82" s="215"/>
      <c r="E82" s="215" t="str">
        <f>Inputs!E109</f>
        <v>Cap and Floor Liquidity Facility commitment fee</v>
      </c>
      <c r="F82" s="215"/>
      <c r="G82" s="215" t="str">
        <f>Inputs!G109</f>
        <v>% of applicable margin</v>
      </c>
      <c r="H82" s="215"/>
      <c r="I82" s="141">
        <f>ROW(Inputs!E109)</f>
        <v>109</v>
      </c>
      <c r="J82" s="215"/>
      <c r="K82" s="152" t="s">
        <v>298</v>
      </c>
      <c r="L82" s="159"/>
    </row>
    <row r="83" spans="1:12" ht="15" customHeight="1">
      <c r="A83" s="225"/>
      <c r="B83" s="215"/>
      <c r="C83" s="215"/>
      <c r="D83" s="215"/>
      <c r="E83" s="215"/>
      <c r="F83" s="215"/>
      <c r="G83" s="215"/>
      <c r="H83" s="215"/>
      <c r="I83" s="141"/>
      <c r="J83" s="215"/>
      <c r="K83" s="215"/>
      <c r="L83" s="215"/>
    </row>
    <row r="84" spans="1:12" ht="15" customHeight="1">
      <c r="A84" s="225"/>
      <c r="B84" s="215"/>
      <c r="C84" s="215"/>
      <c r="D84" s="215"/>
      <c r="E84" s="215" t="str">
        <f>Inputs!E111</f>
        <v>Standby Debt Facility amount</v>
      </c>
      <c r="F84" s="215"/>
      <c r="G84" s="215" t="str">
        <f>Inputs!G111</f>
        <v>£m nominal prices</v>
      </c>
      <c r="H84" s="215"/>
      <c r="I84" s="141">
        <f>ROW(Inputs!E111)</f>
        <v>111</v>
      </c>
      <c r="J84" s="215"/>
      <c r="K84" s="152" t="s">
        <v>298</v>
      </c>
      <c r="L84" s="159"/>
    </row>
    <row r="85" spans="1:12" ht="15" customHeight="1">
      <c r="A85" s="225"/>
      <c r="B85" s="215"/>
      <c r="C85" s="215"/>
      <c r="D85" s="215"/>
      <c r="E85" s="215" t="str">
        <f>Inputs!E112</f>
        <v>Standby Debt Facility upfront fee</v>
      </c>
      <c r="F85" s="215"/>
      <c r="G85" s="215" t="str">
        <f>Inputs!G112</f>
        <v>nominal %</v>
      </c>
      <c r="H85" s="215"/>
      <c r="I85" s="141">
        <f>ROW(Inputs!E112)</f>
        <v>112</v>
      </c>
      <c r="J85" s="215"/>
      <c r="K85" s="152" t="s">
        <v>298</v>
      </c>
      <c r="L85" s="159"/>
    </row>
    <row r="86" spans="1:12" ht="15" customHeight="1">
      <c r="A86" s="225"/>
      <c r="B86" s="215"/>
      <c r="C86" s="215"/>
      <c r="D86" s="215"/>
      <c r="E86" s="215" t="str">
        <f>Inputs!E113</f>
        <v>Standby Debt Facility construction margin</v>
      </c>
      <c r="F86" s="215"/>
      <c r="G86" s="215" t="str">
        <f>Inputs!G113</f>
        <v>nominal %</v>
      </c>
      <c r="H86" s="215"/>
      <c r="I86" s="141">
        <f>ROW(Inputs!E113)</f>
        <v>113</v>
      </c>
      <c r="J86" s="215"/>
      <c r="K86" s="152" t="s">
        <v>298</v>
      </c>
      <c r="L86" s="159"/>
    </row>
    <row r="87" spans="1:12" ht="15" customHeight="1">
      <c r="A87" s="225"/>
      <c r="B87" s="215"/>
      <c r="C87" s="215"/>
      <c r="D87" s="215"/>
      <c r="E87" s="215" t="str">
        <f>Inputs!E114</f>
        <v>Standby Debt Facility commitment fee</v>
      </c>
      <c r="F87" s="215"/>
      <c r="G87" s="215" t="str">
        <f>Inputs!G114</f>
        <v>% of applicable margin</v>
      </c>
      <c r="H87" s="215"/>
      <c r="I87" s="141">
        <f>ROW(Inputs!E114)</f>
        <v>114</v>
      </c>
      <c r="J87" s="215"/>
      <c r="K87" s="152" t="s">
        <v>298</v>
      </c>
      <c r="L87" s="159"/>
    </row>
    <row r="88" spans="1:12" ht="15" customHeight="1">
      <c r="A88" s="225"/>
      <c r="B88" s="215"/>
      <c r="C88" s="215"/>
      <c r="D88" s="215"/>
      <c r="E88" s="215"/>
      <c r="F88" s="215"/>
      <c r="G88" s="215"/>
      <c r="H88" s="215"/>
      <c r="I88" s="141"/>
      <c r="J88" s="215"/>
      <c r="K88" s="215"/>
      <c r="L88" s="215"/>
    </row>
    <row r="89" spans="1:12" ht="15" customHeight="1">
      <c r="A89" s="225"/>
      <c r="B89" s="215"/>
      <c r="C89" s="215"/>
      <c r="D89" s="215"/>
      <c r="E89" s="215" t="str">
        <f>Inputs!E116</f>
        <v>VAT Facility amount</v>
      </c>
      <c r="F89" s="215"/>
      <c r="G89" s="215" t="str">
        <f>Inputs!G116</f>
        <v>£m nominal prices</v>
      </c>
      <c r="H89" s="215"/>
      <c r="I89" s="141">
        <f>ROW(Inputs!E116)</f>
        <v>116</v>
      </c>
      <c r="J89" s="215"/>
      <c r="K89" s="152" t="s">
        <v>298</v>
      </c>
      <c r="L89" s="159"/>
    </row>
    <row r="90" spans="1:12" ht="15" customHeight="1">
      <c r="A90" s="225"/>
      <c r="B90" s="215"/>
      <c r="C90" s="215"/>
      <c r="D90" s="215"/>
      <c r="E90" s="215" t="str">
        <f>Inputs!E117</f>
        <v>VAT Facility average outstanding loan</v>
      </c>
      <c r="F90" s="215"/>
      <c r="G90" s="215" t="str">
        <f>Inputs!G117</f>
        <v>£m nominal prices</v>
      </c>
      <c r="H90" s="215"/>
      <c r="I90" s="141">
        <f>ROW(Inputs!E117)</f>
        <v>117</v>
      </c>
      <c r="J90" s="215"/>
      <c r="K90" s="152" t="s">
        <v>298</v>
      </c>
      <c r="L90" s="159"/>
    </row>
    <row r="91" spans="1:12" ht="15" customHeight="1">
      <c r="A91" s="225"/>
      <c r="B91" s="215"/>
      <c r="C91" s="215"/>
      <c r="D91" s="215"/>
      <c r="E91" s="215" t="str">
        <f>Inputs!E118</f>
        <v>VAT Facility upfront fee</v>
      </c>
      <c r="F91" s="215"/>
      <c r="G91" s="215" t="str">
        <f>Inputs!G118</f>
        <v>nominal %</v>
      </c>
      <c r="H91" s="215"/>
      <c r="I91" s="141">
        <f>ROW(Inputs!E118)</f>
        <v>118</v>
      </c>
      <c r="J91" s="215"/>
      <c r="K91" s="152" t="s">
        <v>298</v>
      </c>
      <c r="L91" s="159"/>
    </row>
    <row r="92" spans="1:12" ht="15" customHeight="1">
      <c r="A92" s="225"/>
      <c r="B92" s="215"/>
      <c r="C92" s="215"/>
      <c r="D92" s="215"/>
      <c r="E92" s="215" t="str">
        <f>Inputs!E119</f>
        <v>VAT Facility construction margin</v>
      </c>
      <c r="F92" s="215"/>
      <c r="G92" s="215" t="str">
        <f>Inputs!G119</f>
        <v>nominal %</v>
      </c>
      <c r="H92" s="215"/>
      <c r="I92" s="141">
        <f>ROW(Inputs!E119)</f>
        <v>119</v>
      </c>
      <c r="J92" s="215"/>
      <c r="K92" s="152" t="s">
        <v>298</v>
      </c>
      <c r="L92" s="159"/>
    </row>
    <row r="93" spans="1:12" ht="15" customHeight="1">
      <c r="A93" s="225"/>
      <c r="B93" s="215"/>
      <c r="C93" s="215"/>
      <c r="D93" s="215"/>
      <c r="E93" s="215" t="str">
        <f>Inputs!E120</f>
        <v>VAT Facility commitment fee</v>
      </c>
      <c r="F93" s="215"/>
      <c r="G93" s="215" t="str">
        <f>Inputs!G120</f>
        <v>% of applicable margin</v>
      </c>
      <c r="H93" s="215"/>
      <c r="I93" s="141">
        <f>ROW(Inputs!E120)</f>
        <v>120</v>
      </c>
      <c r="J93" s="215"/>
      <c r="K93" s="152" t="s">
        <v>298</v>
      </c>
      <c r="L93" s="159"/>
    </row>
    <row r="94" spans="1:12" ht="15" customHeight="1">
      <c r="A94" s="225"/>
      <c r="B94" s="215"/>
      <c r="C94" s="215"/>
      <c r="D94" s="215"/>
      <c r="E94" s="215"/>
      <c r="F94" s="215"/>
      <c r="G94" s="215"/>
      <c r="H94" s="215"/>
      <c r="I94" s="141"/>
      <c r="J94" s="215"/>
      <c r="K94" s="215"/>
      <c r="L94" s="215"/>
    </row>
    <row r="95" spans="1:12" ht="15" customHeight="1">
      <c r="A95" s="225"/>
      <c r="B95" s="215"/>
      <c r="C95" s="215"/>
      <c r="D95" s="215"/>
      <c r="E95" s="215" t="str">
        <f>Inputs!E122</f>
        <v>Other Facilities amount</v>
      </c>
      <c r="F95" s="215"/>
      <c r="G95" s="215" t="str">
        <f>Inputs!G122</f>
        <v>£m nominal prices</v>
      </c>
      <c r="H95" s="215"/>
      <c r="I95" s="141">
        <f>ROW(Inputs!E122)</f>
        <v>122</v>
      </c>
      <c r="J95" s="215"/>
      <c r="K95" s="152" t="s">
        <v>298</v>
      </c>
      <c r="L95" s="159"/>
    </row>
    <row r="96" spans="1:12" ht="15" customHeight="1">
      <c r="A96" s="225"/>
      <c r="B96" s="215"/>
      <c r="C96" s="215"/>
      <c r="D96" s="215"/>
      <c r="E96" s="215" t="str">
        <f>Inputs!E123</f>
        <v>Other Facilities upfront fee</v>
      </c>
      <c r="F96" s="215"/>
      <c r="G96" s="215" t="str">
        <f>Inputs!G123</f>
        <v>nominal %</v>
      </c>
      <c r="H96" s="215"/>
      <c r="I96" s="141">
        <f>ROW(Inputs!E123)</f>
        <v>123</v>
      </c>
      <c r="J96" s="215"/>
      <c r="K96" s="152" t="s">
        <v>298</v>
      </c>
      <c r="L96" s="159"/>
    </row>
    <row r="97" spans="1:12" ht="15" customHeight="1">
      <c r="A97" s="225"/>
      <c r="B97" s="215"/>
      <c r="C97" s="215"/>
      <c r="D97" s="215"/>
      <c r="E97" s="215" t="str">
        <f>Inputs!E124</f>
        <v>Other Facilities construction margin</v>
      </c>
      <c r="F97" s="215"/>
      <c r="G97" s="215" t="str">
        <f>Inputs!G124</f>
        <v>nominal %</v>
      </c>
      <c r="H97" s="215"/>
      <c r="I97" s="141">
        <f>ROW(Inputs!E124)</f>
        <v>124</v>
      </c>
      <c r="J97" s="215"/>
      <c r="K97" s="152" t="s">
        <v>298</v>
      </c>
      <c r="L97" s="159"/>
    </row>
    <row r="98" spans="1:12" ht="15" customHeight="1">
      <c r="A98" s="225"/>
      <c r="B98" s="215"/>
      <c r="C98" s="215"/>
      <c r="D98" s="215"/>
      <c r="E98" s="215" t="str">
        <f>Inputs!E125</f>
        <v>Other Facilities commitment fee</v>
      </c>
      <c r="F98" s="215"/>
      <c r="G98" s="215" t="str">
        <f>Inputs!G125</f>
        <v>% of applicable margin</v>
      </c>
      <c r="H98" s="215"/>
      <c r="I98" s="141">
        <f>ROW(Inputs!E125)</f>
        <v>125</v>
      </c>
      <c r="J98" s="215"/>
      <c r="K98" s="152" t="s">
        <v>298</v>
      </c>
      <c r="L98" s="159"/>
    </row>
    <row r="99" spans="1:12" ht="15" customHeight="1">
      <c r="A99" s="225"/>
      <c r="B99" s="215"/>
      <c r="C99" s="215"/>
      <c r="D99" s="215"/>
      <c r="E99" s="215"/>
      <c r="F99" s="215"/>
      <c r="G99" s="215"/>
      <c r="H99" s="215"/>
      <c r="I99" s="141"/>
      <c r="J99" s="215"/>
      <c r="K99" s="215"/>
      <c r="L99" s="215"/>
    </row>
    <row r="100" spans="1:12" ht="26.25">
      <c r="A100" s="225"/>
      <c r="B100" s="215"/>
      <c r="C100" s="215"/>
      <c r="D100" s="215"/>
      <c r="E100" s="215" t="str">
        <f>Inputs!E127</f>
        <v>Debt Service Reserve: Facility or Account</v>
      </c>
      <c r="F100" s="215"/>
      <c r="G100" s="218" t="str">
        <f>Inputs!G127</f>
        <v>1: DSRF
2: DSRA</v>
      </c>
      <c r="H100" s="215"/>
      <c r="I100" s="141">
        <f>ROW(Inputs!E127)</f>
        <v>127</v>
      </c>
      <c r="J100" s="215"/>
      <c r="K100" s="152" t="s">
        <v>298</v>
      </c>
      <c r="L100" s="159"/>
    </row>
    <row r="101" spans="1:12" ht="26.25">
      <c r="A101" s="225"/>
      <c r="B101" s="215"/>
      <c r="C101" s="215"/>
      <c r="D101" s="215"/>
      <c r="E101" s="215" t="str">
        <f>Inputs!E128</f>
        <v>Switch for transaction costs in taxes</v>
      </c>
      <c r="F101" s="215"/>
      <c r="G101" s="218" t="str">
        <f>Inputs!G128</f>
        <v>1: notional costs
2: actual costs</v>
      </c>
      <c r="H101" s="215"/>
      <c r="I101" s="141">
        <f>ROW(Inputs!E128)</f>
        <v>128</v>
      </c>
      <c r="J101" s="215"/>
      <c r="K101" s="152" t="s">
        <v>298</v>
      </c>
      <c r="L101" s="159"/>
    </row>
    <row r="102" spans="1:12" ht="15" customHeight="1">
      <c r="A102" s="225"/>
      <c r="B102" s="215"/>
      <c r="C102" s="215"/>
      <c r="D102" s="215"/>
      <c r="E102" s="215"/>
      <c r="F102" s="215"/>
      <c r="G102" s="215"/>
      <c r="H102" s="215"/>
      <c r="I102" s="141"/>
      <c r="J102" s="215"/>
      <c r="K102" s="215"/>
      <c r="L102" s="215"/>
    </row>
    <row r="103" spans="1:12" ht="15" customHeight="1">
      <c r="A103" s="225"/>
      <c r="B103" s="215"/>
      <c r="C103" s="215"/>
      <c r="D103" s="215"/>
      <c r="E103" s="215" t="str">
        <f>Inputs!E133</f>
        <v>Senior Debt repayment year</v>
      </c>
      <c r="F103" s="215"/>
      <c r="G103" s="215" t="str">
        <f>Inputs!G133</f>
        <v>Year</v>
      </c>
      <c r="H103" s="215"/>
      <c r="I103" s="141">
        <f>ROW(Inputs!E133)</f>
        <v>133</v>
      </c>
      <c r="J103" s="215"/>
      <c r="K103" s="152" t="s">
        <v>298</v>
      </c>
      <c r="L103" s="159"/>
    </row>
    <row r="104" spans="1:12" ht="15" customHeight="1">
      <c r="A104" s="225"/>
      <c r="B104" s="215"/>
      <c r="C104" s="215"/>
      <c r="D104" s="215"/>
      <c r="E104" s="215" t="str">
        <f>Inputs!E134</f>
        <v>Senior Debt repayment profile</v>
      </c>
      <c r="F104" s="215"/>
      <c r="G104" s="215" t="str">
        <f>Inputs!G134</f>
        <v>%</v>
      </c>
      <c r="H104" s="215"/>
      <c r="I104" s="141">
        <f>ROW(Inputs!E134)</f>
        <v>134</v>
      </c>
      <c r="J104" s="215"/>
      <c r="K104" s="152" t="s">
        <v>298</v>
      </c>
      <c r="L104" s="159"/>
    </row>
    <row r="105" spans="1:12" ht="15" customHeight="1">
      <c r="A105" s="225"/>
      <c r="B105" s="215"/>
      <c r="C105" s="215"/>
      <c r="D105" s="215"/>
      <c r="E105" s="215"/>
      <c r="F105" s="215"/>
      <c r="G105" s="215"/>
      <c r="H105" s="215"/>
      <c r="I105" s="141"/>
      <c r="J105" s="215"/>
      <c r="K105" s="215"/>
      <c r="L105" s="215"/>
    </row>
    <row r="106" spans="1:12" ht="15" customHeight="1">
      <c r="A106" s="225"/>
      <c r="B106" s="215"/>
      <c r="C106" s="215"/>
      <c r="D106" s="215"/>
      <c r="E106" s="215" t="str">
        <f>Inputs!E136</f>
        <v>Senior Debt operation margin (including swap margin)</v>
      </c>
      <c r="F106" s="215"/>
      <c r="G106" s="215" t="str">
        <f>Inputs!G136</f>
        <v>nominal %</v>
      </c>
      <c r="H106" s="215"/>
      <c r="I106" s="141">
        <f>ROW(Inputs!E136)</f>
        <v>136</v>
      </c>
      <c r="J106" s="215"/>
      <c r="K106" s="152" t="s">
        <v>298</v>
      </c>
      <c r="L106" s="159"/>
    </row>
    <row r="107" spans="1:12" ht="15" customHeight="1">
      <c r="A107" s="225"/>
      <c r="B107" s="215"/>
      <c r="C107" s="215"/>
      <c r="D107" s="215"/>
      <c r="E107" s="215" t="str">
        <f>Inputs!E137</f>
        <v>Debt Service Reserve Facility operation margin</v>
      </c>
      <c r="F107" s="215"/>
      <c r="G107" s="215" t="str">
        <f>Inputs!G137</f>
        <v>nominal %</v>
      </c>
      <c r="H107" s="215"/>
      <c r="I107" s="141">
        <f>ROW(Inputs!E137)</f>
        <v>137</v>
      </c>
      <c r="J107" s="215"/>
      <c r="K107" s="152" t="s">
        <v>298</v>
      </c>
      <c r="L107" s="159"/>
    </row>
    <row r="108" spans="1:12" ht="15" customHeight="1">
      <c r="A108" s="225"/>
      <c r="B108" s="215"/>
      <c r="C108" s="215"/>
      <c r="D108" s="215"/>
      <c r="E108" s="215" t="str">
        <f>Inputs!E138</f>
        <v>Cap and Floor Liquidity Facility operation margin</v>
      </c>
      <c r="F108" s="215"/>
      <c r="G108" s="215" t="str">
        <f>Inputs!G138</f>
        <v>nominal %</v>
      </c>
      <c r="H108" s="215"/>
      <c r="I108" s="141">
        <f>ROW(Inputs!E138)</f>
        <v>138</v>
      </c>
      <c r="J108" s="215"/>
      <c r="K108" s="152" t="s">
        <v>298</v>
      </c>
      <c r="L108" s="159"/>
    </row>
    <row r="109" spans="1:12" ht="15" customHeight="1">
      <c r="A109" s="225"/>
      <c r="B109" s="215"/>
      <c r="C109" s="215"/>
      <c r="D109" s="215"/>
      <c r="E109" s="215" t="str">
        <f>Inputs!E139</f>
        <v>Standby Debt Facility operation margin</v>
      </c>
      <c r="F109" s="215"/>
      <c r="G109" s="215" t="str">
        <f>Inputs!G139</f>
        <v>nominal %</v>
      </c>
      <c r="H109" s="215"/>
      <c r="I109" s="141">
        <f>ROW(Inputs!E139)</f>
        <v>139</v>
      </c>
      <c r="J109" s="215"/>
      <c r="K109" s="152" t="s">
        <v>298</v>
      </c>
      <c r="L109" s="159"/>
    </row>
    <row r="110" spans="1:12" ht="15" customHeight="1">
      <c r="A110" s="225"/>
      <c r="B110" s="215"/>
      <c r="C110" s="215"/>
      <c r="D110" s="215"/>
      <c r="E110" s="215" t="str">
        <f>Inputs!E140</f>
        <v>VAT Facility operation margin</v>
      </c>
      <c r="F110" s="215"/>
      <c r="G110" s="215" t="str">
        <f>Inputs!G140</f>
        <v>nominal %</v>
      </c>
      <c r="H110" s="215"/>
      <c r="I110" s="141">
        <f>ROW(Inputs!E140)</f>
        <v>140</v>
      </c>
      <c r="J110" s="215"/>
      <c r="K110" s="152" t="s">
        <v>298</v>
      </c>
      <c r="L110" s="159"/>
    </row>
    <row r="111" spans="1:12" ht="15" customHeight="1">
      <c r="A111" s="225"/>
      <c r="B111" s="215"/>
      <c r="C111" s="215"/>
      <c r="D111" s="215"/>
      <c r="E111" s="215" t="str">
        <f>Inputs!E141</f>
        <v>Other facilities operation margin</v>
      </c>
      <c r="F111" s="215"/>
      <c r="G111" s="215" t="str">
        <f>Inputs!G141</f>
        <v>nominal %</v>
      </c>
      <c r="H111" s="215"/>
      <c r="I111" s="141">
        <f>ROW(Inputs!E141)</f>
        <v>141</v>
      </c>
      <c r="J111" s="215"/>
      <c r="K111" s="152" t="s">
        <v>298</v>
      </c>
      <c r="L111" s="159"/>
    </row>
    <row r="112" spans="1:12" ht="15" customHeight="1">
      <c r="A112" s="225"/>
      <c r="B112" s="215"/>
      <c r="C112" s="215"/>
      <c r="D112" s="215"/>
      <c r="E112" s="215"/>
      <c r="F112" s="215"/>
      <c r="G112" s="215"/>
      <c r="H112" s="215"/>
      <c r="I112" s="215"/>
      <c r="J112" s="215"/>
      <c r="K112" s="215"/>
      <c r="L112" s="215"/>
    </row>
    <row r="113" spans="1:12" ht="13.15">
      <c r="A113" s="5"/>
      <c r="B113" s="5"/>
      <c r="C113" s="10" t="s">
        <v>241</v>
      </c>
      <c r="D113" s="10"/>
      <c r="E113" s="10"/>
      <c r="F113" s="10"/>
      <c r="G113" s="10"/>
      <c r="H113" s="10"/>
      <c r="I113" s="143"/>
      <c r="J113" s="10"/>
      <c r="K113" s="151"/>
      <c r="L113" s="151"/>
    </row>
    <row r="114" spans="1:12" ht="15" customHeight="1">
      <c r="I114" s="139"/>
    </row>
    <row r="115" spans="1:12" ht="15" customHeight="1">
      <c r="A115" s="17"/>
      <c r="B115" s="17"/>
      <c r="C115" s="17"/>
      <c r="D115" s="17"/>
      <c r="E115" s="17" t="str">
        <f>Inputs!E149</f>
        <v>Regime start date</v>
      </c>
      <c r="F115" s="17"/>
      <c r="G115" s="17" t="str">
        <f>Inputs!G149</f>
        <v>date</v>
      </c>
      <c r="H115" s="17"/>
      <c r="I115" s="141">
        <f>ROW(Inputs!I149)</f>
        <v>149</v>
      </c>
      <c r="J115" s="17"/>
      <c r="K115" s="152" t="s">
        <v>289</v>
      </c>
      <c r="L115" s="159"/>
    </row>
    <row r="116" spans="1:12" ht="15" customHeight="1">
      <c r="A116" s="17"/>
      <c r="B116" s="17"/>
      <c r="C116" s="17"/>
      <c r="D116" s="17"/>
      <c r="E116" s="17" t="str">
        <f>Inputs!E150</f>
        <v>End date for IDC</v>
      </c>
      <c r="F116" s="17"/>
      <c r="G116" s="17" t="str">
        <f>Inputs!G150</f>
        <v>date</v>
      </c>
      <c r="H116" s="17"/>
      <c r="I116" s="141">
        <f>ROW(Inputs!I150)</f>
        <v>150</v>
      </c>
      <c r="J116" s="17"/>
      <c r="K116" s="152" t="s">
        <v>289</v>
      </c>
      <c r="L116" s="159"/>
    </row>
    <row r="117" spans="1:12" ht="15" customHeight="1">
      <c r="A117" s="17"/>
      <c r="B117" s="17"/>
      <c r="C117" s="17"/>
      <c r="D117" s="17"/>
      <c r="E117" s="17" t="str">
        <f>Inputs!E151</f>
        <v>Start of operations</v>
      </c>
      <c r="F117" s="17"/>
      <c r="G117" s="17" t="str">
        <f>Inputs!G151</f>
        <v>date</v>
      </c>
      <c r="H117" s="17"/>
      <c r="I117" s="141">
        <f>ROW(Inputs!I151)</f>
        <v>151</v>
      </c>
      <c r="J117" s="17"/>
      <c r="K117" s="152" t="s">
        <v>289</v>
      </c>
      <c r="L117" s="159"/>
    </row>
    <row r="118" spans="1:12" ht="15" customHeight="1">
      <c r="A118" s="17"/>
      <c r="B118" s="17"/>
      <c r="C118" s="17"/>
      <c r="D118" s="17"/>
      <c r="E118" s="17" t="str">
        <f>Inputs!E155</f>
        <v>Number of operational years</v>
      </c>
      <c r="F118" s="17"/>
      <c r="G118" s="17" t="str">
        <f>Inputs!G155</f>
        <v>full years</v>
      </c>
      <c r="H118" s="17"/>
      <c r="I118" s="141">
        <f>ROW(Inputs!I155)</f>
        <v>155</v>
      </c>
      <c r="J118" s="17"/>
      <c r="K118" s="152" t="s">
        <v>288</v>
      </c>
      <c r="L118" s="159"/>
    </row>
    <row r="119" spans="1:12" ht="15" customHeight="1">
      <c r="A119" s="17"/>
      <c r="B119" s="17"/>
      <c r="C119" s="17"/>
      <c r="D119" s="17"/>
      <c r="E119" s="17"/>
      <c r="F119" s="17"/>
      <c r="G119" s="17"/>
      <c r="H119" s="17"/>
      <c r="I119" s="141"/>
      <c r="J119" s="17"/>
      <c r="K119" s="219"/>
      <c r="L119" s="219"/>
    </row>
    <row r="120" spans="1:12" ht="15" customHeight="1">
      <c r="A120" s="5"/>
      <c r="B120" s="5"/>
      <c r="C120" s="10" t="s">
        <v>271</v>
      </c>
      <c r="D120" s="10"/>
      <c r="E120" s="10"/>
      <c r="F120" s="10"/>
      <c r="G120" s="10"/>
      <c r="H120" s="10"/>
      <c r="I120" s="143"/>
      <c r="J120" s="10"/>
      <c r="K120" s="151"/>
      <c r="L120" s="151"/>
    </row>
    <row r="121" spans="1:12" ht="15" customHeight="1">
      <c r="I121" s="139"/>
    </row>
    <row r="122" spans="1:12" ht="15" customHeight="1">
      <c r="B122" s="31"/>
      <c r="E122" s="4" t="str">
        <f>Inputs!E179</f>
        <v>Long-term expected UK RPI inflation</v>
      </c>
      <c r="G122" s="4" t="str">
        <f>Inputs!G179</f>
        <v>%</v>
      </c>
      <c r="I122" s="141">
        <f>ROW(Inputs!E179)</f>
        <v>179</v>
      </c>
      <c r="J122" s="32"/>
      <c r="K122" s="152" t="s">
        <v>295</v>
      </c>
      <c r="L122" s="159"/>
    </row>
    <row r="123" spans="1:12" ht="15" customHeight="1">
      <c r="A123" s="215"/>
      <c r="B123" s="31"/>
      <c r="E123" s="4" t="str">
        <f>Inputs!E182</f>
        <v>12 month average UK RPI inflation index value (CHAW)</v>
      </c>
      <c r="G123" s="4" t="str">
        <f>Inputs!G182</f>
        <v>Jan 1987 = 100</v>
      </c>
      <c r="H123" s="4" t="str">
        <f>Inputs!H182</f>
        <v>UK RPI index t</v>
      </c>
      <c r="I123" s="141">
        <f>ROW(Inputs!E182)</f>
        <v>182</v>
      </c>
      <c r="K123" s="152" t="s">
        <v>290</v>
      </c>
      <c r="L123" s="232" t="s">
        <v>291</v>
      </c>
    </row>
    <row r="124" spans="1:12" ht="15" customHeight="1">
      <c r="A124" s="17"/>
      <c r="B124" s="17"/>
      <c r="C124" s="17"/>
      <c r="D124" s="17"/>
      <c r="E124" s="17"/>
      <c r="F124" s="17"/>
      <c r="G124" s="5"/>
      <c r="H124" s="17"/>
      <c r="I124" s="141"/>
      <c r="J124" s="17"/>
      <c r="K124" s="150"/>
      <c r="L124" s="150"/>
    </row>
    <row r="125" spans="1:12" ht="15" customHeight="1">
      <c r="A125" s="5"/>
      <c r="B125" s="5"/>
      <c r="C125" s="10" t="s">
        <v>275</v>
      </c>
      <c r="D125" s="10"/>
      <c r="E125" s="10"/>
      <c r="F125" s="10"/>
      <c r="G125" s="10"/>
      <c r="H125" s="10"/>
      <c r="I125" s="143"/>
      <c r="J125" s="10"/>
      <c r="K125" s="151"/>
      <c r="L125" s="151"/>
    </row>
    <row r="126" spans="1:12" ht="15" customHeight="1">
      <c r="A126" s="5"/>
      <c r="B126" s="5"/>
      <c r="C126" s="5"/>
      <c r="D126" s="5"/>
      <c r="E126" s="5"/>
      <c r="F126" s="5"/>
      <c r="G126" s="5"/>
      <c r="H126" s="5"/>
      <c r="I126" s="141"/>
      <c r="J126" s="6"/>
      <c r="K126" s="150"/>
      <c r="L126" s="150"/>
    </row>
    <row r="127" spans="1:12" ht="15" customHeight="1">
      <c r="A127" s="5"/>
      <c r="B127" s="5"/>
      <c r="C127" s="5"/>
      <c r="D127" s="5"/>
      <c r="E127" s="4" t="str">
        <f>Inputs!E189</f>
        <v>Corporation tax rate</v>
      </c>
      <c r="G127" s="4" t="str">
        <f>Inputs!G189</f>
        <v>%</v>
      </c>
      <c r="I127" s="141">
        <f>ROW(Inputs!E189)</f>
        <v>189</v>
      </c>
      <c r="J127" s="6"/>
      <c r="K127" s="152" t="s">
        <v>295</v>
      </c>
      <c r="L127" s="159"/>
    </row>
    <row r="128" spans="1:12" ht="15" customHeight="1">
      <c r="A128" s="5"/>
      <c r="B128" s="5"/>
      <c r="C128" s="5"/>
      <c r="D128" s="5"/>
      <c r="E128" s="4" t="str">
        <f>Inputs!E190</f>
        <v>Capital allowance rate (declining balance)</v>
      </c>
      <c r="G128" s="4" t="str">
        <f>Inputs!G190</f>
        <v>%</v>
      </c>
      <c r="I128" s="141">
        <f>ROW(Inputs!E190)</f>
        <v>190</v>
      </c>
      <c r="J128" s="6"/>
      <c r="K128" s="152" t="s">
        <v>295</v>
      </c>
      <c r="L128" s="159"/>
    </row>
    <row r="129" spans="1:12" ht="15" customHeight="1">
      <c r="A129" s="215"/>
      <c r="B129" s="31"/>
      <c r="E129" s="4" t="str">
        <f>Inputs!E193</f>
        <v>Start of price base year</v>
      </c>
      <c r="G129" s="4" t="str">
        <f>Inputs!G193</f>
        <v>date</v>
      </c>
      <c r="I129" s="141">
        <f>ROW(Inputs!E193)</f>
        <v>193</v>
      </c>
      <c r="J129" s="32"/>
      <c r="K129" s="152" t="s">
        <v>288</v>
      </c>
      <c r="L129" s="159"/>
    </row>
    <row r="130" spans="1:12" ht="15" customHeight="1">
      <c r="A130" s="215"/>
      <c r="G130" s="5"/>
      <c r="I130" s="139"/>
      <c r="J130" s="6"/>
    </row>
    <row r="131" spans="1:12" ht="15" customHeight="1">
      <c r="A131" s="215"/>
      <c r="B131" s="5"/>
      <c r="C131" s="10" t="s">
        <v>281</v>
      </c>
      <c r="D131" s="10"/>
      <c r="E131" s="10"/>
      <c r="F131" s="10"/>
      <c r="G131" s="10"/>
      <c r="H131" s="10"/>
      <c r="I131" s="143"/>
      <c r="J131" s="10"/>
      <c r="K131" s="151"/>
      <c r="L131" s="151"/>
    </row>
    <row r="132" spans="1:12" ht="15" customHeight="1">
      <c r="A132" s="215"/>
      <c r="B132" s="5"/>
      <c r="C132" s="5"/>
      <c r="D132" s="5"/>
      <c r="E132" s="5"/>
      <c r="F132" s="5"/>
      <c r="G132" s="5"/>
      <c r="H132" s="5"/>
      <c r="I132" s="141"/>
      <c r="J132" s="6"/>
      <c r="K132" s="150"/>
      <c r="L132" s="150"/>
    </row>
    <row r="133" spans="1:12" ht="15" customHeight="1">
      <c r="A133" s="215"/>
      <c r="E133" s="4" t="str">
        <f>Inputs!E199</f>
        <v>Tax element of Cap and Floor annuity previously calculated and fixed</v>
      </c>
      <c r="G133" s="4" t="str">
        <f>Inputs!G199</f>
        <v>choice</v>
      </c>
      <c r="I133" s="141">
        <f>ROW(Inputs!E199)</f>
        <v>199</v>
      </c>
      <c r="J133" s="6"/>
      <c r="K133" s="152" t="s">
        <v>299</v>
      </c>
      <c r="L133" s="159"/>
    </row>
    <row r="134" spans="1:12" ht="15" customHeight="1">
      <c r="G134" s="5"/>
      <c r="I134" s="139"/>
      <c r="J134" s="6"/>
    </row>
    <row r="135" spans="1:12" ht="15" customHeight="1">
      <c r="A135" s="17"/>
      <c r="B135" s="267" t="s">
        <v>47</v>
      </c>
      <c r="C135" s="56"/>
      <c r="D135" s="56"/>
      <c r="E135" s="56"/>
      <c r="F135" s="56"/>
      <c r="G135" s="56"/>
      <c r="H135" s="56"/>
      <c r="I135" s="138"/>
      <c r="J135" s="56"/>
      <c r="K135" s="149"/>
      <c r="L135" s="149"/>
    </row>
    <row r="136" spans="1:12" ht="15" customHeight="1">
      <c r="I136" s="139"/>
    </row>
    <row r="137" spans="1:12" ht="15" hidden="1" customHeight="1">
      <c r="I137" s="139"/>
    </row>
    <row r="138" spans="1:12" ht="15" hidden="1" customHeight="1">
      <c r="I138" s="139"/>
    </row>
    <row r="139" spans="1:12" ht="15" hidden="1" customHeight="1">
      <c r="I139" s="139"/>
    </row>
    <row r="140" spans="1:12" ht="15" hidden="1" customHeight="1">
      <c r="I140" s="139"/>
    </row>
    <row r="141" spans="1:12" ht="15" hidden="1" customHeight="1">
      <c r="I141" s="139"/>
    </row>
    <row r="142" spans="1:12" ht="15" hidden="1" customHeight="1">
      <c r="I142" s="139"/>
    </row>
    <row r="143" spans="1:12" ht="15" hidden="1" customHeight="1">
      <c r="I143" s="139"/>
    </row>
    <row r="144" spans="1:12" ht="15" hidden="1" customHeight="1">
      <c r="I144" s="139"/>
    </row>
    <row r="145" spans="9:9" ht="15" hidden="1" customHeight="1">
      <c r="I145" s="139"/>
    </row>
    <row r="146" spans="9:9" ht="15" hidden="1" customHeight="1">
      <c r="I146" s="139"/>
    </row>
    <row r="147" spans="9:9" ht="15" hidden="1" customHeight="1">
      <c r="I147" s="139"/>
    </row>
    <row r="148" spans="9:9" ht="15" hidden="1" customHeight="1">
      <c r="I148" s="139"/>
    </row>
    <row r="149" spans="9:9" ht="15" hidden="1" customHeight="1">
      <c r="I149" s="139"/>
    </row>
    <row r="150" spans="9:9" ht="15" hidden="1" customHeight="1">
      <c r="I150" s="139"/>
    </row>
    <row r="151" spans="9:9" ht="15" hidden="1" customHeight="1">
      <c r="I151" s="139"/>
    </row>
    <row r="152" spans="9:9" ht="15" hidden="1" customHeight="1">
      <c r="I152" s="139"/>
    </row>
    <row r="153" spans="9:9" ht="15" hidden="1" customHeight="1">
      <c r="I153" s="139"/>
    </row>
    <row r="154" spans="9:9" ht="15" hidden="1" customHeight="1">
      <c r="I154" s="139"/>
    </row>
    <row r="155" spans="9:9" ht="15" hidden="1" customHeight="1">
      <c r="I155" s="139"/>
    </row>
    <row r="156" spans="9:9" ht="15" hidden="1" customHeight="1">
      <c r="I156" s="139"/>
    </row>
    <row r="157" spans="9:9" ht="15" hidden="1" customHeight="1">
      <c r="I157" s="139"/>
    </row>
    <row r="158" spans="9:9" ht="15" hidden="1" customHeight="1">
      <c r="I158" s="139"/>
    </row>
    <row r="159" spans="9:9" ht="15" hidden="1" customHeight="1">
      <c r="I159" s="139"/>
    </row>
    <row r="160" spans="9:9" ht="15" hidden="1" customHeight="1">
      <c r="I160" s="139"/>
    </row>
    <row r="161" spans="9:9" ht="15" hidden="1" customHeight="1">
      <c r="I161" s="139"/>
    </row>
    <row r="162" spans="9:9" ht="15" hidden="1" customHeight="1">
      <c r="I162" s="139"/>
    </row>
    <row r="163" spans="9:9" ht="15" hidden="1" customHeight="1">
      <c r="I163" s="139"/>
    </row>
    <row r="164" spans="9:9" ht="15" hidden="1" customHeight="1">
      <c r="I164" s="139"/>
    </row>
    <row r="165" spans="9:9" ht="15" hidden="1" customHeight="1">
      <c r="I165" s="139"/>
    </row>
    <row r="166" spans="9:9" ht="15" hidden="1" customHeight="1">
      <c r="I166" s="139"/>
    </row>
    <row r="167" spans="9:9" ht="15" hidden="1" customHeight="1">
      <c r="I167" s="139"/>
    </row>
    <row r="168" spans="9:9" ht="15" hidden="1" customHeight="1">
      <c r="I168" s="139"/>
    </row>
    <row r="169" spans="9:9" ht="15" hidden="1" customHeight="1">
      <c r="I169" s="139"/>
    </row>
    <row r="170" spans="9:9" ht="15" hidden="1" customHeight="1">
      <c r="I170" s="139"/>
    </row>
    <row r="171" spans="9:9" ht="15" hidden="1" customHeight="1">
      <c r="I171" s="139"/>
    </row>
    <row r="172" spans="9:9" ht="15" hidden="1" customHeight="1">
      <c r="I172" s="139"/>
    </row>
    <row r="173" spans="9:9" ht="15" hidden="1" customHeight="1">
      <c r="I173" s="139"/>
    </row>
    <row r="174" spans="9:9" ht="15" hidden="1" customHeight="1">
      <c r="I174" s="139"/>
    </row>
    <row r="175" spans="9:9" ht="15" hidden="1" customHeight="1">
      <c r="I175" s="139"/>
    </row>
    <row r="176" spans="9:9" ht="15" hidden="1" customHeight="1">
      <c r="I176" s="139"/>
    </row>
    <row r="177" spans="9:9" ht="15" hidden="1" customHeight="1">
      <c r="I177" s="139"/>
    </row>
    <row r="178" spans="9:9" ht="15" hidden="1" customHeight="1">
      <c r="I178" s="139"/>
    </row>
    <row r="179" spans="9:9" ht="15" hidden="1" customHeight="1">
      <c r="I179" s="139"/>
    </row>
    <row r="180" spans="9:9" ht="15" hidden="1" customHeight="1">
      <c r="I180" s="139"/>
    </row>
    <row r="181" spans="9:9" ht="15" hidden="1" customHeight="1">
      <c r="I181" s="139"/>
    </row>
    <row r="182" spans="9:9" ht="15" hidden="1" customHeight="1">
      <c r="I182" s="139"/>
    </row>
    <row r="183" spans="9:9" ht="15" hidden="1" customHeight="1">
      <c r="I183" s="139"/>
    </row>
    <row r="184" spans="9:9" ht="15" hidden="1" customHeight="1">
      <c r="I184" s="139"/>
    </row>
    <row r="185" spans="9:9" ht="15" hidden="1" customHeight="1">
      <c r="I185" s="139"/>
    </row>
    <row r="186" spans="9:9" ht="15" hidden="1" customHeight="1">
      <c r="I186" s="139"/>
    </row>
    <row r="187" spans="9:9" ht="15" hidden="1" customHeight="1">
      <c r="I187" s="139"/>
    </row>
    <row r="188" spans="9:9" ht="15" hidden="1" customHeight="1">
      <c r="I188" s="139"/>
    </row>
    <row r="189" spans="9:9" ht="15" hidden="1" customHeight="1">
      <c r="I189" s="139"/>
    </row>
    <row r="190" spans="9:9" ht="15" hidden="1" customHeight="1">
      <c r="I190" s="139"/>
    </row>
    <row r="191" spans="9:9" ht="15" hidden="1" customHeight="1">
      <c r="I191" s="139"/>
    </row>
    <row r="192" spans="9:9" ht="15" hidden="1" customHeight="1">
      <c r="I192" s="139"/>
    </row>
    <row r="193" spans="9:9" ht="15" hidden="1" customHeight="1">
      <c r="I193" s="139"/>
    </row>
    <row r="194" spans="9:9" ht="15" hidden="1" customHeight="1">
      <c r="I194" s="139"/>
    </row>
    <row r="195" spans="9:9" ht="15" hidden="1" customHeight="1">
      <c r="I195" s="139"/>
    </row>
    <row r="196" spans="9:9" ht="15" hidden="1" customHeight="1">
      <c r="I196" s="139"/>
    </row>
    <row r="197" spans="9:9" ht="15" hidden="1" customHeight="1">
      <c r="I197" s="139"/>
    </row>
    <row r="198" spans="9:9" ht="15" hidden="1" customHeight="1">
      <c r="I198" s="139"/>
    </row>
    <row r="199" spans="9:9" ht="15" hidden="1" customHeight="1">
      <c r="I199" s="139"/>
    </row>
    <row r="200" spans="9:9" ht="15" hidden="1" customHeight="1">
      <c r="I200" s="139"/>
    </row>
    <row r="201" spans="9:9" ht="15" hidden="1" customHeight="1">
      <c r="I201" s="139"/>
    </row>
    <row r="202" spans="9:9" ht="15" hidden="1" customHeight="1">
      <c r="I202" s="139"/>
    </row>
    <row r="203" spans="9:9" ht="15" hidden="1" customHeight="1">
      <c r="I203" s="139"/>
    </row>
  </sheetData>
  <hyperlinks>
    <hyperlink ref="L18" r:id="rId1" xr:uid="{00000000-0004-0000-0300-000000000000}"/>
    <hyperlink ref="L20" r:id="rId2" location="panel-13" xr:uid="{00000000-0004-0000-0300-000001000000}"/>
    <hyperlink ref="L22" r:id="rId3" xr:uid="{00000000-0004-0000-0300-000002000000}"/>
    <hyperlink ref="L24" r:id="rId4" xr:uid="{00000000-0004-0000-0300-000003000000}"/>
    <hyperlink ref="L33" r:id="rId5" xr:uid="{00000000-0004-0000-0300-000004000000}"/>
    <hyperlink ref="L35" r:id="rId6" xr:uid="{00000000-0004-0000-0300-000005000000}"/>
    <hyperlink ref="L37" r:id="rId7" xr:uid="{00000000-0004-0000-0300-000006000000}"/>
    <hyperlink ref="L123" r:id="rId8" xr:uid="{00000000-0004-0000-0300-000007000000}"/>
  </hyperlinks>
  <pageMargins left="0.23622047244094491" right="0.23622047244094491" top="0.74803149606299213" bottom="0.74803149606299213" header="0.31496062992125984" footer="0.31496062992125984"/>
  <pageSetup paperSize="8" scale="30" orientation="portrait" r:id="rId9"/>
  <headerFooter>
    <oddHeader>&amp;C&amp;"Aptos"&amp;10&amp;K000000 OFFICIAL&amp;1#_x000D_</oddHeader>
    <oddFooter>&amp;C_x000D_&amp;1#&amp;"Aptos"&amp;10&amp;K000000 OFFICIAL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">
    <tabColor theme="7" tint="0.59999389629810485"/>
    <pageSetUpPr fitToPage="1"/>
  </sheetPr>
  <dimension ref="A1:XFC60"/>
  <sheetViews>
    <sheetView zoomScaleNormal="100" workbookViewId="0">
      <pane xSplit="10" ySplit="4" topLeftCell="K5" activePane="bottomRight" state="frozen"/>
      <selection pane="topRight" activeCell="G26" sqref="G26"/>
      <selection pane="bottomLeft" activeCell="G26" sqref="G26"/>
      <selection pane="bottomRight" activeCell="B59" activeCellId="3" sqref="B6 B15 B28 B59"/>
    </sheetView>
  </sheetViews>
  <sheetFormatPr defaultColWidth="0" defaultRowHeight="15" customHeight="1" zeroHeight="1"/>
  <cols>
    <col min="1" max="4" width="2.5703125" style="4" customWidth="1"/>
    <col min="5" max="5" width="55.140625" style="4" customWidth="1"/>
    <col min="6" max="6" width="1.5703125" style="4" customWidth="1"/>
    <col min="7" max="7" width="15.5703125" style="4" customWidth="1"/>
    <col min="8" max="8" width="10.7109375" style="4" bestFit="1" customWidth="1"/>
    <col min="9" max="9" width="10.5703125" style="33" customWidth="1"/>
    <col min="10" max="10" width="1.5703125" style="4" customWidth="1"/>
    <col min="11" max="45" width="10.5703125" style="4" customWidth="1"/>
    <col min="46" max="46" width="10.140625" style="4" bestFit="1" customWidth="1"/>
    <col min="47" max="50" width="10.5703125" style="4" customWidth="1"/>
    <col min="51" max="51" width="3.140625" customWidth="1"/>
    <col min="52" max="52" width="9.140625" style="4" hidden="1"/>
    <col min="53" max="16383" width="9.140625" hidden="1"/>
    <col min="16384" max="16384" width="2" hidden="1"/>
  </cols>
  <sheetData>
    <row r="1" spans="1:52" ht="14.25">
      <c r="A1" s="157" t="s">
        <v>26</v>
      </c>
      <c r="B1" s="12"/>
      <c r="C1" s="12"/>
      <c r="D1" s="12"/>
      <c r="E1" s="12"/>
      <c r="F1" s="12"/>
      <c r="G1" s="12"/>
      <c r="H1" s="12" t="s">
        <v>108</v>
      </c>
      <c r="I1" s="21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Z1"/>
    </row>
    <row r="2" spans="1:52" ht="15" customHeight="1">
      <c r="A2" s="12"/>
      <c r="B2" s="12"/>
      <c r="C2" s="12"/>
      <c r="D2" s="12"/>
      <c r="E2" s="14" t="s">
        <v>109</v>
      </c>
      <c r="F2" s="14"/>
      <c r="G2" s="14" t="s">
        <v>110</v>
      </c>
      <c r="H2" s="14" t="s">
        <v>111</v>
      </c>
      <c r="I2" s="22" t="s">
        <v>112</v>
      </c>
      <c r="J2" s="15"/>
      <c r="K2" s="14" t="s">
        <v>113</v>
      </c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2"/>
      <c r="AT2" s="12"/>
      <c r="AU2" s="12"/>
      <c r="AV2" s="12"/>
      <c r="AW2" s="12"/>
      <c r="AX2" s="12"/>
      <c r="AZ2"/>
    </row>
    <row r="3" spans="1:52" ht="15" customHeight="1">
      <c r="A3" s="12"/>
      <c r="B3" s="12"/>
      <c r="C3" s="12"/>
      <c r="D3" s="12"/>
      <c r="E3" s="8" t="s">
        <v>126</v>
      </c>
      <c r="F3" s="14"/>
      <c r="G3" s="14"/>
      <c r="H3" s="14"/>
      <c r="I3" s="14"/>
      <c r="J3" s="15"/>
      <c r="K3" s="19">
        <f>Inputs!K17</f>
        <v>41275</v>
      </c>
      <c r="L3" s="9">
        <f>+K4+1</f>
        <v>41640</v>
      </c>
      <c r="M3" s="9">
        <f>+L4+1</f>
        <v>42005</v>
      </c>
      <c r="N3" s="9">
        <f t="shared" ref="N3:AX3" si="0">+M4+1</f>
        <v>42370</v>
      </c>
      <c r="O3" s="9">
        <f t="shared" si="0"/>
        <v>42736</v>
      </c>
      <c r="P3" s="9">
        <f t="shared" si="0"/>
        <v>43101</v>
      </c>
      <c r="Q3" s="9">
        <f t="shared" si="0"/>
        <v>43466</v>
      </c>
      <c r="R3" s="9">
        <f t="shared" si="0"/>
        <v>43831</v>
      </c>
      <c r="S3" s="9">
        <f t="shared" si="0"/>
        <v>44197</v>
      </c>
      <c r="T3" s="9">
        <f t="shared" si="0"/>
        <v>44562</v>
      </c>
      <c r="U3" s="9">
        <f t="shared" si="0"/>
        <v>44927</v>
      </c>
      <c r="V3" s="9">
        <f t="shared" si="0"/>
        <v>45292</v>
      </c>
      <c r="W3" s="9">
        <f t="shared" si="0"/>
        <v>45658</v>
      </c>
      <c r="X3" s="9">
        <f t="shared" si="0"/>
        <v>46023</v>
      </c>
      <c r="Y3" s="9">
        <f t="shared" si="0"/>
        <v>46388</v>
      </c>
      <c r="Z3" s="9">
        <f t="shared" si="0"/>
        <v>46753</v>
      </c>
      <c r="AA3" s="9">
        <f t="shared" si="0"/>
        <v>47119</v>
      </c>
      <c r="AB3" s="9">
        <f t="shared" si="0"/>
        <v>47484</v>
      </c>
      <c r="AC3" s="9">
        <f t="shared" si="0"/>
        <v>47849</v>
      </c>
      <c r="AD3" s="9">
        <f t="shared" si="0"/>
        <v>48214</v>
      </c>
      <c r="AE3" s="9">
        <f t="shared" si="0"/>
        <v>48580</v>
      </c>
      <c r="AF3" s="9">
        <f t="shared" si="0"/>
        <v>48945</v>
      </c>
      <c r="AG3" s="9">
        <f t="shared" si="0"/>
        <v>49310</v>
      </c>
      <c r="AH3" s="9">
        <f t="shared" si="0"/>
        <v>49675</v>
      </c>
      <c r="AI3" s="9">
        <f t="shared" si="0"/>
        <v>50041</v>
      </c>
      <c r="AJ3" s="9">
        <f t="shared" si="0"/>
        <v>50406</v>
      </c>
      <c r="AK3" s="9">
        <f t="shared" si="0"/>
        <v>50771</v>
      </c>
      <c r="AL3" s="9">
        <f t="shared" si="0"/>
        <v>51136</v>
      </c>
      <c r="AM3" s="9">
        <f t="shared" si="0"/>
        <v>51502</v>
      </c>
      <c r="AN3" s="9">
        <f t="shared" si="0"/>
        <v>51867</v>
      </c>
      <c r="AO3" s="9">
        <f t="shared" si="0"/>
        <v>52232</v>
      </c>
      <c r="AP3" s="9">
        <f t="shared" si="0"/>
        <v>52597</v>
      </c>
      <c r="AQ3" s="9">
        <f t="shared" si="0"/>
        <v>52963</v>
      </c>
      <c r="AR3" s="9">
        <f t="shared" si="0"/>
        <v>53328</v>
      </c>
      <c r="AS3" s="9">
        <f t="shared" si="0"/>
        <v>53693</v>
      </c>
      <c r="AT3" s="9">
        <f t="shared" si="0"/>
        <v>54058</v>
      </c>
      <c r="AU3" s="9">
        <f t="shared" si="0"/>
        <v>54424</v>
      </c>
      <c r="AV3" s="9">
        <f t="shared" si="0"/>
        <v>54789</v>
      </c>
      <c r="AW3" s="9">
        <f t="shared" si="0"/>
        <v>55154</v>
      </c>
      <c r="AX3" s="9">
        <f t="shared" si="0"/>
        <v>55519</v>
      </c>
      <c r="AZ3"/>
    </row>
    <row r="4" spans="1:52" ht="15" customHeight="1">
      <c r="A4" s="8"/>
      <c r="B4" s="8"/>
      <c r="C4" s="8"/>
      <c r="D4" s="8"/>
      <c r="E4" s="8" t="s">
        <v>127</v>
      </c>
      <c r="F4" s="8"/>
      <c r="G4" s="8"/>
      <c r="H4" s="8"/>
      <c r="I4" s="23"/>
      <c r="J4" s="8"/>
      <c r="K4" s="19">
        <f>Inputs!K18</f>
        <v>41639</v>
      </c>
      <c r="L4" s="9">
        <f t="shared" ref="L4:AX4" si="1">DATE(YEAR(K4) + 1, MONTH(K4), DAY(K4))</f>
        <v>42004</v>
      </c>
      <c r="M4" s="9">
        <f t="shared" si="1"/>
        <v>42369</v>
      </c>
      <c r="N4" s="9">
        <f t="shared" si="1"/>
        <v>42735</v>
      </c>
      <c r="O4" s="9">
        <f t="shared" si="1"/>
        <v>43100</v>
      </c>
      <c r="P4" s="9">
        <f t="shared" si="1"/>
        <v>43465</v>
      </c>
      <c r="Q4" s="9">
        <f t="shared" si="1"/>
        <v>43830</v>
      </c>
      <c r="R4" s="9">
        <f t="shared" si="1"/>
        <v>44196</v>
      </c>
      <c r="S4" s="9">
        <f t="shared" si="1"/>
        <v>44561</v>
      </c>
      <c r="T4" s="9">
        <f t="shared" si="1"/>
        <v>44926</v>
      </c>
      <c r="U4" s="9">
        <f t="shared" si="1"/>
        <v>45291</v>
      </c>
      <c r="V4" s="9">
        <f t="shared" si="1"/>
        <v>45657</v>
      </c>
      <c r="W4" s="9">
        <f t="shared" si="1"/>
        <v>46022</v>
      </c>
      <c r="X4" s="9">
        <f t="shared" si="1"/>
        <v>46387</v>
      </c>
      <c r="Y4" s="9">
        <f t="shared" si="1"/>
        <v>46752</v>
      </c>
      <c r="Z4" s="9">
        <f t="shared" si="1"/>
        <v>47118</v>
      </c>
      <c r="AA4" s="9">
        <f t="shared" si="1"/>
        <v>47483</v>
      </c>
      <c r="AB4" s="9">
        <f t="shared" si="1"/>
        <v>47848</v>
      </c>
      <c r="AC4" s="9">
        <f t="shared" si="1"/>
        <v>48213</v>
      </c>
      <c r="AD4" s="9">
        <f t="shared" si="1"/>
        <v>48579</v>
      </c>
      <c r="AE4" s="9">
        <f t="shared" si="1"/>
        <v>48944</v>
      </c>
      <c r="AF4" s="9">
        <f t="shared" si="1"/>
        <v>49309</v>
      </c>
      <c r="AG4" s="9">
        <f t="shared" si="1"/>
        <v>49674</v>
      </c>
      <c r="AH4" s="9">
        <f t="shared" si="1"/>
        <v>50040</v>
      </c>
      <c r="AI4" s="9">
        <f t="shared" si="1"/>
        <v>50405</v>
      </c>
      <c r="AJ4" s="9">
        <f t="shared" si="1"/>
        <v>50770</v>
      </c>
      <c r="AK4" s="9">
        <f t="shared" si="1"/>
        <v>51135</v>
      </c>
      <c r="AL4" s="9">
        <f t="shared" si="1"/>
        <v>51501</v>
      </c>
      <c r="AM4" s="9">
        <f t="shared" si="1"/>
        <v>51866</v>
      </c>
      <c r="AN4" s="9">
        <f t="shared" si="1"/>
        <v>52231</v>
      </c>
      <c r="AO4" s="9">
        <f t="shared" si="1"/>
        <v>52596</v>
      </c>
      <c r="AP4" s="9">
        <f t="shared" si="1"/>
        <v>52962</v>
      </c>
      <c r="AQ4" s="9">
        <f t="shared" si="1"/>
        <v>53327</v>
      </c>
      <c r="AR4" s="9">
        <f t="shared" si="1"/>
        <v>53692</v>
      </c>
      <c r="AS4" s="9">
        <f t="shared" si="1"/>
        <v>54057</v>
      </c>
      <c r="AT4" s="9">
        <f t="shared" si="1"/>
        <v>54423</v>
      </c>
      <c r="AU4" s="9">
        <f t="shared" si="1"/>
        <v>54788</v>
      </c>
      <c r="AV4" s="9">
        <f t="shared" si="1"/>
        <v>55153</v>
      </c>
      <c r="AW4" s="9">
        <f t="shared" si="1"/>
        <v>55518</v>
      </c>
      <c r="AX4" s="9">
        <f t="shared" si="1"/>
        <v>55884</v>
      </c>
      <c r="AZ4"/>
    </row>
    <row r="5" spans="1:52" ht="15" customHeight="1">
      <c r="A5" s="5"/>
      <c r="B5" s="5"/>
      <c r="C5" s="5"/>
      <c r="D5" s="5"/>
      <c r="E5" s="5"/>
      <c r="F5" s="5"/>
      <c r="G5" s="5"/>
      <c r="H5" s="5"/>
      <c r="I5" s="24"/>
      <c r="J5" s="6"/>
      <c r="K5" s="6"/>
      <c r="L5" s="6"/>
      <c r="M5" s="6"/>
      <c r="N5" s="6"/>
      <c r="O5" s="6"/>
      <c r="P5" s="6"/>
      <c r="Q5" s="6"/>
      <c r="R5" s="6"/>
      <c r="S5" s="5"/>
      <c r="T5" s="5"/>
      <c r="U5" s="5"/>
      <c r="V5" s="5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Z5"/>
    </row>
    <row r="6" spans="1:52" ht="15" customHeight="1">
      <c r="A6" s="5"/>
      <c r="B6" s="267" t="s">
        <v>300</v>
      </c>
      <c r="C6" s="56"/>
      <c r="D6" s="56"/>
      <c r="E6" s="56"/>
      <c r="F6" s="56"/>
      <c r="G6" s="56"/>
      <c r="H6" s="56"/>
      <c r="I6" s="79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  <c r="AU6" s="56"/>
      <c r="AV6" s="56"/>
      <c r="AW6" s="56"/>
      <c r="AX6" s="56"/>
      <c r="AZ6"/>
    </row>
    <row r="7" spans="1:52" ht="15" customHeight="1">
      <c r="A7" s="5"/>
      <c r="B7" s="5"/>
      <c r="C7" s="5"/>
      <c r="D7" s="5"/>
      <c r="E7" s="5"/>
      <c r="F7" s="5"/>
      <c r="G7" s="5"/>
      <c r="H7" s="5"/>
      <c r="I7" s="24"/>
      <c r="J7" s="6"/>
      <c r="K7" s="6"/>
      <c r="L7" s="6"/>
      <c r="M7" s="6"/>
      <c r="N7" s="6"/>
      <c r="O7" s="6"/>
      <c r="P7" s="6"/>
      <c r="Q7" s="6"/>
      <c r="R7" s="6"/>
      <c r="S7" s="5"/>
      <c r="T7" s="5"/>
      <c r="U7" s="5"/>
      <c r="V7" s="5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Z7"/>
    </row>
    <row r="8" spans="1:52" ht="15" customHeight="1">
      <c r="A8" s="5"/>
      <c r="B8" s="5"/>
      <c r="C8" s="5"/>
      <c r="D8" s="5"/>
      <c r="E8" s="17" t="s">
        <v>255</v>
      </c>
      <c r="F8" s="5"/>
      <c r="G8" s="5" t="s">
        <v>256</v>
      </c>
      <c r="H8" s="5"/>
      <c r="I8" s="24"/>
      <c r="J8" s="6"/>
      <c r="K8" s="42">
        <f>Inputs!K160</f>
        <v>1</v>
      </c>
      <c r="L8" s="42">
        <f>Inputs!L160</f>
        <v>1</v>
      </c>
      <c r="M8" s="42">
        <f>Inputs!M160</f>
        <v>1</v>
      </c>
      <c r="N8" s="42">
        <f>Inputs!N160</f>
        <v>1</v>
      </c>
      <c r="O8" s="42">
        <f>Inputs!O160</f>
        <v>1</v>
      </c>
      <c r="P8" s="42">
        <f>Inputs!P160</f>
        <v>1</v>
      </c>
      <c r="Q8" s="42">
        <f>Inputs!Q160</f>
        <v>1</v>
      </c>
      <c r="R8" s="42">
        <f>Inputs!R160</f>
        <v>1</v>
      </c>
      <c r="S8" s="42">
        <f>Inputs!S160</f>
        <v>1</v>
      </c>
      <c r="T8" s="42">
        <f>Inputs!T160</f>
        <v>1</v>
      </c>
      <c r="U8" s="42">
        <f>Inputs!U160</f>
        <v>1</v>
      </c>
      <c r="V8" s="42">
        <f>Inputs!V160</f>
        <v>1</v>
      </c>
      <c r="W8" s="42">
        <f>Inputs!W160</f>
        <v>7.9452054794520555E-2</v>
      </c>
      <c r="X8" s="42">
        <f>Inputs!X160</f>
        <v>0</v>
      </c>
      <c r="Y8" s="42">
        <f>Inputs!Y160</f>
        <v>0</v>
      </c>
      <c r="Z8" s="42">
        <f>Inputs!Z160</f>
        <v>0</v>
      </c>
      <c r="AA8" s="42">
        <f>Inputs!AA160</f>
        <v>0</v>
      </c>
      <c r="AB8" s="42">
        <f>Inputs!AB160</f>
        <v>0</v>
      </c>
      <c r="AC8" s="42">
        <f>Inputs!AC160</f>
        <v>0</v>
      </c>
      <c r="AD8" s="42">
        <f>Inputs!AD160</f>
        <v>0</v>
      </c>
      <c r="AE8" s="42">
        <f>Inputs!AE160</f>
        <v>0</v>
      </c>
      <c r="AF8" s="42">
        <f>Inputs!AF160</f>
        <v>0</v>
      </c>
      <c r="AG8" s="42">
        <f>Inputs!AG160</f>
        <v>0</v>
      </c>
      <c r="AH8" s="42">
        <f>Inputs!AH160</f>
        <v>0</v>
      </c>
      <c r="AI8" s="42">
        <f>Inputs!AI160</f>
        <v>0</v>
      </c>
      <c r="AJ8" s="42">
        <f>Inputs!AJ160</f>
        <v>0</v>
      </c>
      <c r="AK8" s="42">
        <f>Inputs!AK160</f>
        <v>0</v>
      </c>
      <c r="AL8" s="42">
        <f>Inputs!AL160</f>
        <v>0</v>
      </c>
      <c r="AM8" s="42">
        <f>Inputs!AM160</f>
        <v>0</v>
      </c>
      <c r="AN8" s="42">
        <f>Inputs!AN160</f>
        <v>0</v>
      </c>
      <c r="AO8" s="42">
        <f>Inputs!AO160</f>
        <v>0</v>
      </c>
      <c r="AP8" s="42">
        <f>Inputs!AP160</f>
        <v>0</v>
      </c>
      <c r="AQ8" s="42">
        <f>Inputs!AQ160</f>
        <v>0</v>
      </c>
      <c r="AR8" s="42">
        <f>Inputs!AR160</f>
        <v>0</v>
      </c>
      <c r="AS8" s="42">
        <f>Inputs!AS160</f>
        <v>0</v>
      </c>
      <c r="AT8" s="42">
        <f>Inputs!AT160</f>
        <v>0</v>
      </c>
      <c r="AU8" s="42">
        <f>Inputs!AU160</f>
        <v>0</v>
      </c>
      <c r="AV8" s="42">
        <f>Inputs!AV160</f>
        <v>0</v>
      </c>
      <c r="AW8" s="42">
        <f>Inputs!AW160</f>
        <v>0</v>
      </c>
      <c r="AX8" s="42">
        <f>Inputs!AX160</f>
        <v>0</v>
      </c>
      <c r="AZ8"/>
    </row>
    <row r="9" spans="1:52" ht="15" customHeight="1">
      <c r="A9" s="17"/>
      <c r="B9" s="17"/>
      <c r="C9" s="17"/>
      <c r="D9" s="17"/>
      <c r="E9" s="17" t="s">
        <v>257</v>
      </c>
      <c r="F9" s="17"/>
      <c r="G9" s="17" t="s">
        <v>256</v>
      </c>
      <c r="H9" s="17"/>
      <c r="I9" s="62"/>
      <c r="J9" s="17"/>
      <c r="K9" s="42">
        <f>Inputs!K161</f>
        <v>0</v>
      </c>
      <c r="L9" s="42">
        <f>Inputs!L161</f>
        <v>0</v>
      </c>
      <c r="M9" s="42">
        <f>Inputs!M161</f>
        <v>0</v>
      </c>
      <c r="N9" s="42">
        <f>Inputs!N161</f>
        <v>0</v>
      </c>
      <c r="O9" s="42">
        <f>Inputs!O161</f>
        <v>0</v>
      </c>
      <c r="P9" s="42">
        <f>Inputs!P161</f>
        <v>0</v>
      </c>
      <c r="Q9" s="42">
        <f>Inputs!Q161</f>
        <v>0</v>
      </c>
      <c r="R9" s="42">
        <f>Inputs!R161</f>
        <v>0</v>
      </c>
      <c r="S9" s="42">
        <f>Inputs!S161</f>
        <v>0</v>
      </c>
      <c r="T9" s="42">
        <f>Inputs!T161</f>
        <v>0</v>
      </c>
      <c r="U9" s="42">
        <f>Inputs!U161</f>
        <v>0</v>
      </c>
      <c r="V9" s="42">
        <f>Inputs!V161</f>
        <v>0</v>
      </c>
      <c r="W9" s="42">
        <f>Inputs!W161</f>
        <v>0</v>
      </c>
      <c r="X9" s="42">
        <f>Inputs!X161</f>
        <v>0</v>
      </c>
      <c r="Y9" s="42">
        <f>Inputs!Y161</f>
        <v>0</v>
      </c>
      <c r="Z9" s="42">
        <f>Inputs!Z161</f>
        <v>0</v>
      </c>
      <c r="AA9" s="42">
        <f>Inputs!AA161</f>
        <v>0</v>
      </c>
      <c r="AB9" s="42">
        <f>Inputs!AB161</f>
        <v>0</v>
      </c>
      <c r="AC9" s="42">
        <f>Inputs!AC161</f>
        <v>0</v>
      </c>
      <c r="AD9" s="42">
        <f>Inputs!AD161</f>
        <v>0</v>
      </c>
      <c r="AE9" s="42">
        <f>Inputs!AE161</f>
        <v>0</v>
      </c>
      <c r="AF9" s="42">
        <f>Inputs!AF161</f>
        <v>0</v>
      </c>
      <c r="AG9" s="42">
        <f>Inputs!AG161</f>
        <v>0</v>
      </c>
      <c r="AH9" s="42">
        <f>Inputs!AH161</f>
        <v>0</v>
      </c>
      <c r="AI9" s="42">
        <f>Inputs!AI161</f>
        <v>0</v>
      </c>
      <c r="AJ9" s="42">
        <f>Inputs!AJ161</f>
        <v>0</v>
      </c>
      <c r="AK9" s="42">
        <f>Inputs!AK161</f>
        <v>0</v>
      </c>
      <c r="AL9" s="42">
        <f>Inputs!AL161</f>
        <v>0</v>
      </c>
      <c r="AM9" s="42">
        <f>Inputs!AM161</f>
        <v>0</v>
      </c>
      <c r="AN9" s="42">
        <f>Inputs!AN161</f>
        <v>0</v>
      </c>
      <c r="AO9" s="42">
        <f>Inputs!AO161</f>
        <v>0</v>
      </c>
      <c r="AP9" s="42">
        <f>Inputs!AP161</f>
        <v>0</v>
      </c>
      <c r="AQ9" s="42">
        <f>Inputs!AQ161</f>
        <v>0</v>
      </c>
      <c r="AR9" s="42">
        <f>Inputs!AR161</f>
        <v>0</v>
      </c>
      <c r="AS9" s="42">
        <f>Inputs!AS161</f>
        <v>0</v>
      </c>
      <c r="AT9" s="42">
        <f>Inputs!AT161</f>
        <v>0</v>
      </c>
      <c r="AU9" s="42">
        <f>Inputs!AU161</f>
        <v>0</v>
      </c>
      <c r="AV9" s="42">
        <f>Inputs!AV161</f>
        <v>0</v>
      </c>
      <c r="AW9" s="42">
        <f>Inputs!AW161</f>
        <v>0</v>
      </c>
      <c r="AX9" s="42">
        <f>Inputs!AX161</f>
        <v>0</v>
      </c>
      <c r="AZ9"/>
    </row>
    <row r="10" spans="1:52" ht="15" customHeight="1">
      <c r="A10" s="5"/>
      <c r="B10" s="5"/>
      <c r="C10" s="5"/>
      <c r="D10" s="5"/>
      <c r="E10" s="17" t="s">
        <v>258</v>
      </c>
      <c r="F10" s="5"/>
      <c r="G10" s="5" t="s">
        <v>256</v>
      </c>
      <c r="H10" s="5"/>
      <c r="I10" s="24"/>
      <c r="J10" s="6"/>
      <c r="K10" s="42">
        <f>Inputs!K162</f>
        <v>0</v>
      </c>
      <c r="L10" s="42">
        <f>Inputs!L162</f>
        <v>0</v>
      </c>
      <c r="M10" s="42">
        <f>Inputs!M162</f>
        <v>0</v>
      </c>
      <c r="N10" s="42">
        <f>Inputs!N162</f>
        <v>0</v>
      </c>
      <c r="O10" s="42">
        <f>Inputs!O162</f>
        <v>0</v>
      </c>
      <c r="P10" s="42">
        <f>Inputs!P162</f>
        <v>0</v>
      </c>
      <c r="Q10" s="42">
        <f>Inputs!Q162</f>
        <v>0</v>
      </c>
      <c r="R10" s="42">
        <f>Inputs!R162</f>
        <v>0</v>
      </c>
      <c r="S10" s="42">
        <f>Inputs!S162</f>
        <v>0</v>
      </c>
      <c r="T10" s="42">
        <f>Inputs!T162</f>
        <v>0</v>
      </c>
      <c r="U10" s="42">
        <f>Inputs!U162</f>
        <v>0</v>
      </c>
      <c r="V10" s="42">
        <f>Inputs!V162</f>
        <v>0</v>
      </c>
      <c r="W10" s="42">
        <f>Inputs!W162</f>
        <v>0.92054794520547945</v>
      </c>
      <c r="X10" s="42">
        <f>Inputs!X162</f>
        <v>1</v>
      </c>
      <c r="Y10" s="42">
        <f>Inputs!Y162</f>
        <v>1</v>
      </c>
      <c r="Z10" s="42">
        <f>Inputs!Z162</f>
        <v>1</v>
      </c>
      <c r="AA10" s="42">
        <f>Inputs!AA162</f>
        <v>1</v>
      </c>
      <c r="AB10" s="42">
        <f>Inputs!AB162</f>
        <v>1</v>
      </c>
      <c r="AC10" s="42">
        <f>Inputs!AC162</f>
        <v>1</v>
      </c>
      <c r="AD10" s="42">
        <f>Inputs!AD162</f>
        <v>1</v>
      </c>
      <c r="AE10" s="42">
        <f>Inputs!AE162</f>
        <v>1</v>
      </c>
      <c r="AF10" s="42">
        <f>Inputs!AF162</f>
        <v>1</v>
      </c>
      <c r="AG10" s="42">
        <f>Inputs!AG162</f>
        <v>1</v>
      </c>
      <c r="AH10" s="42">
        <f>Inputs!AH162</f>
        <v>1</v>
      </c>
      <c r="AI10" s="42">
        <f>Inputs!AI162</f>
        <v>1</v>
      </c>
      <c r="AJ10" s="42">
        <f>Inputs!AJ162</f>
        <v>1</v>
      </c>
      <c r="AK10" s="42">
        <f>Inputs!AK162</f>
        <v>1</v>
      </c>
      <c r="AL10" s="42">
        <f>Inputs!AL162</f>
        <v>1</v>
      </c>
      <c r="AM10" s="42">
        <f>Inputs!AM162</f>
        <v>1</v>
      </c>
      <c r="AN10" s="42">
        <f>Inputs!AN162</f>
        <v>1</v>
      </c>
      <c r="AO10" s="42">
        <f>Inputs!AO162</f>
        <v>1</v>
      </c>
      <c r="AP10" s="42">
        <f>Inputs!AP162</f>
        <v>1</v>
      </c>
      <c r="AQ10" s="42">
        <f>Inputs!AQ162</f>
        <v>1</v>
      </c>
      <c r="AR10" s="42">
        <f>Inputs!AR162</f>
        <v>1</v>
      </c>
      <c r="AS10" s="42">
        <f>Inputs!AS162</f>
        <v>0.32876712328767121</v>
      </c>
      <c r="AT10" s="42">
        <f>Inputs!AT162</f>
        <v>0</v>
      </c>
      <c r="AU10" s="42">
        <f>Inputs!AU162</f>
        <v>0</v>
      </c>
      <c r="AV10" s="42">
        <f>Inputs!AV162</f>
        <v>0</v>
      </c>
      <c r="AW10" s="42">
        <f>Inputs!AW162</f>
        <v>0</v>
      </c>
      <c r="AX10" s="42">
        <f>Inputs!AX162</f>
        <v>0</v>
      </c>
      <c r="AZ10"/>
    </row>
    <row r="11" spans="1:52" ht="15" customHeight="1">
      <c r="A11" s="5"/>
      <c r="B11" s="5"/>
      <c r="C11" s="5"/>
      <c r="D11" s="5"/>
      <c r="E11" s="17" t="s">
        <v>262</v>
      </c>
      <c r="F11" s="5"/>
      <c r="G11" s="5" t="s">
        <v>256</v>
      </c>
      <c r="H11" s="5"/>
      <c r="I11" s="24"/>
      <c r="J11" s="6"/>
      <c r="K11" s="42">
        <f>Inputs!K165</f>
        <v>0</v>
      </c>
      <c r="L11" s="42">
        <f>Inputs!L165</f>
        <v>0</v>
      </c>
      <c r="M11" s="42">
        <f>Inputs!M165</f>
        <v>0</v>
      </c>
      <c r="N11" s="42">
        <f>Inputs!N165</f>
        <v>0</v>
      </c>
      <c r="O11" s="42">
        <f>Inputs!O165</f>
        <v>0</v>
      </c>
      <c r="P11" s="42">
        <f>Inputs!P165</f>
        <v>0</v>
      </c>
      <c r="Q11" s="42">
        <f>Inputs!Q165</f>
        <v>0</v>
      </c>
      <c r="R11" s="42">
        <f>Inputs!R165</f>
        <v>0</v>
      </c>
      <c r="S11" s="42">
        <f>Inputs!S165</f>
        <v>0</v>
      </c>
      <c r="T11" s="42">
        <f>Inputs!T165</f>
        <v>0</v>
      </c>
      <c r="U11" s="42">
        <f>Inputs!U165</f>
        <v>0</v>
      </c>
      <c r="V11" s="42">
        <f>Inputs!V165</f>
        <v>0</v>
      </c>
      <c r="W11" s="42">
        <f>Inputs!W165</f>
        <v>1</v>
      </c>
      <c r="X11" s="42">
        <f>Inputs!X165</f>
        <v>0</v>
      </c>
      <c r="Y11" s="42">
        <f>Inputs!Y165</f>
        <v>0</v>
      </c>
      <c r="Z11" s="42">
        <f>Inputs!Z165</f>
        <v>0</v>
      </c>
      <c r="AA11" s="42">
        <f>Inputs!AA165</f>
        <v>0</v>
      </c>
      <c r="AB11" s="42">
        <f>Inputs!AB165</f>
        <v>0</v>
      </c>
      <c r="AC11" s="42">
        <f>Inputs!AC165</f>
        <v>0</v>
      </c>
      <c r="AD11" s="42">
        <f>Inputs!AD165</f>
        <v>0</v>
      </c>
      <c r="AE11" s="42">
        <f>Inputs!AE165</f>
        <v>0</v>
      </c>
      <c r="AF11" s="42">
        <f>Inputs!AF165</f>
        <v>0</v>
      </c>
      <c r="AG11" s="42">
        <f>Inputs!AG165</f>
        <v>0</v>
      </c>
      <c r="AH11" s="42">
        <f>Inputs!AH165</f>
        <v>0</v>
      </c>
      <c r="AI11" s="42">
        <f>Inputs!AI165</f>
        <v>0</v>
      </c>
      <c r="AJ11" s="42">
        <f>Inputs!AJ165</f>
        <v>0</v>
      </c>
      <c r="AK11" s="42">
        <f>Inputs!AK165</f>
        <v>0</v>
      </c>
      <c r="AL11" s="42">
        <f>Inputs!AL165</f>
        <v>0</v>
      </c>
      <c r="AM11" s="42">
        <f>Inputs!AM165</f>
        <v>0</v>
      </c>
      <c r="AN11" s="42">
        <f>Inputs!AN165</f>
        <v>0</v>
      </c>
      <c r="AO11" s="42">
        <f>Inputs!AO165</f>
        <v>0</v>
      </c>
      <c r="AP11" s="42">
        <f>Inputs!AP165</f>
        <v>0</v>
      </c>
      <c r="AQ11" s="42">
        <f>Inputs!AQ165</f>
        <v>0</v>
      </c>
      <c r="AR11" s="42">
        <f>Inputs!AR165</f>
        <v>0</v>
      </c>
      <c r="AS11" s="42">
        <f>Inputs!AS165</f>
        <v>0</v>
      </c>
      <c r="AT11" s="42">
        <f>Inputs!AT165</f>
        <v>0</v>
      </c>
      <c r="AU11" s="42">
        <f>Inputs!AU165</f>
        <v>0</v>
      </c>
      <c r="AV11" s="42">
        <f>Inputs!AV165</f>
        <v>0</v>
      </c>
      <c r="AW11" s="42">
        <f>Inputs!AW165</f>
        <v>0</v>
      </c>
      <c r="AX11" s="42">
        <f>Inputs!AX165</f>
        <v>0</v>
      </c>
      <c r="AZ11"/>
    </row>
    <row r="12" spans="1:52" ht="15" customHeight="1">
      <c r="A12" s="17"/>
      <c r="B12" s="17"/>
      <c r="C12" s="17"/>
      <c r="D12" s="17"/>
      <c r="E12" s="17" t="s">
        <v>263</v>
      </c>
      <c r="F12" s="17"/>
      <c r="G12" s="17" t="s">
        <v>256</v>
      </c>
      <c r="H12" s="17"/>
      <c r="I12" s="62"/>
      <c r="J12" s="17"/>
      <c r="K12" s="42">
        <f>Inputs!K166</f>
        <v>0</v>
      </c>
      <c r="L12" s="42">
        <f>Inputs!L166</f>
        <v>0</v>
      </c>
      <c r="M12" s="42">
        <f>Inputs!M166</f>
        <v>0</v>
      </c>
      <c r="N12" s="42">
        <f>Inputs!N166</f>
        <v>0</v>
      </c>
      <c r="O12" s="42">
        <f>Inputs!O166</f>
        <v>0</v>
      </c>
      <c r="P12" s="42">
        <f>Inputs!P166</f>
        <v>0</v>
      </c>
      <c r="Q12" s="42">
        <f>Inputs!Q166</f>
        <v>0</v>
      </c>
      <c r="R12" s="42">
        <f>Inputs!R166</f>
        <v>0</v>
      </c>
      <c r="S12" s="42">
        <f>Inputs!S166</f>
        <v>0</v>
      </c>
      <c r="T12" s="42">
        <f>Inputs!T166</f>
        <v>0</v>
      </c>
      <c r="U12" s="42">
        <f>Inputs!U166</f>
        <v>0</v>
      </c>
      <c r="V12" s="42">
        <f>Inputs!V166</f>
        <v>0</v>
      </c>
      <c r="W12" s="42">
        <f>Inputs!W166</f>
        <v>1</v>
      </c>
      <c r="X12" s="42">
        <f>Inputs!X166</f>
        <v>0</v>
      </c>
      <c r="Y12" s="42">
        <f>Inputs!Y166</f>
        <v>0</v>
      </c>
      <c r="Z12" s="42">
        <f>Inputs!Z166</f>
        <v>0</v>
      </c>
      <c r="AA12" s="42">
        <f>Inputs!AA166</f>
        <v>0</v>
      </c>
      <c r="AB12" s="42">
        <f>Inputs!AB166</f>
        <v>0</v>
      </c>
      <c r="AC12" s="42">
        <f>Inputs!AC166</f>
        <v>0</v>
      </c>
      <c r="AD12" s="42">
        <f>Inputs!AD166</f>
        <v>0</v>
      </c>
      <c r="AE12" s="42">
        <f>Inputs!AE166</f>
        <v>0</v>
      </c>
      <c r="AF12" s="42">
        <f>Inputs!AF166</f>
        <v>0</v>
      </c>
      <c r="AG12" s="42">
        <f>Inputs!AG166</f>
        <v>0</v>
      </c>
      <c r="AH12" s="42">
        <f>Inputs!AH166</f>
        <v>0</v>
      </c>
      <c r="AI12" s="42">
        <f>Inputs!AI166</f>
        <v>0</v>
      </c>
      <c r="AJ12" s="42">
        <f>Inputs!AJ166</f>
        <v>0</v>
      </c>
      <c r="AK12" s="42">
        <f>Inputs!AK166</f>
        <v>0</v>
      </c>
      <c r="AL12" s="42">
        <f>Inputs!AL166</f>
        <v>0</v>
      </c>
      <c r="AM12" s="42">
        <f>Inputs!AM166</f>
        <v>0</v>
      </c>
      <c r="AN12" s="42">
        <f>Inputs!AN166</f>
        <v>0</v>
      </c>
      <c r="AO12" s="42">
        <f>Inputs!AO166</f>
        <v>0</v>
      </c>
      <c r="AP12" s="42">
        <f>Inputs!AP166</f>
        <v>0</v>
      </c>
      <c r="AQ12" s="42">
        <f>Inputs!AQ166</f>
        <v>0</v>
      </c>
      <c r="AR12" s="42">
        <f>Inputs!AR166</f>
        <v>0</v>
      </c>
      <c r="AS12" s="42">
        <f>Inputs!AS166</f>
        <v>0</v>
      </c>
      <c r="AT12" s="42">
        <f>Inputs!AT166</f>
        <v>0</v>
      </c>
      <c r="AU12" s="42">
        <f>Inputs!AU166</f>
        <v>0</v>
      </c>
      <c r="AV12" s="42">
        <f>Inputs!AV166</f>
        <v>0</v>
      </c>
      <c r="AW12" s="42">
        <f>Inputs!AW166</f>
        <v>0</v>
      </c>
      <c r="AX12" s="42">
        <f>Inputs!AX166</f>
        <v>0</v>
      </c>
      <c r="AZ12"/>
    </row>
    <row r="13" spans="1:52" ht="15" customHeight="1">
      <c r="A13" s="223"/>
      <c r="B13" s="17"/>
      <c r="C13" s="17"/>
      <c r="D13" s="17"/>
      <c r="E13" s="17" t="s">
        <v>266</v>
      </c>
      <c r="F13" s="17"/>
      <c r="G13" s="17" t="s">
        <v>256</v>
      </c>
      <c r="H13" s="17"/>
      <c r="I13" s="62"/>
      <c r="J13" s="17"/>
      <c r="K13" s="42">
        <f>Inputs!K168</f>
        <v>0</v>
      </c>
      <c r="L13" s="42">
        <f>Inputs!L168</f>
        <v>0</v>
      </c>
      <c r="M13" s="42">
        <f>Inputs!M168</f>
        <v>0</v>
      </c>
      <c r="N13" s="42">
        <f>Inputs!N168</f>
        <v>0</v>
      </c>
      <c r="O13" s="42">
        <f>Inputs!O168</f>
        <v>0</v>
      </c>
      <c r="P13" s="42">
        <f>Inputs!P168</f>
        <v>0</v>
      </c>
      <c r="Q13" s="42">
        <f>Inputs!Q168</f>
        <v>0</v>
      </c>
      <c r="R13" s="42">
        <f>Inputs!R168</f>
        <v>0</v>
      </c>
      <c r="S13" s="42">
        <f>Inputs!S168</f>
        <v>1</v>
      </c>
      <c r="T13" s="42">
        <f>Inputs!T168</f>
        <v>0</v>
      </c>
      <c r="U13" s="42">
        <f>Inputs!U168</f>
        <v>0</v>
      </c>
      <c r="V13" s="42">
        <f>Inputs!V168</f>
        <v>0</v>
      </c>
      <c r="W13" s="42">
        <f>Inputs!W168</f>
        <v>0</v>
      </c>
      <c r="X13" s="42">
        <f>Inputs!X168</f>
        <v>0</v>
      </c>
      <c r="Y13" s="42">
        <f>Inputs!Y168</f>
        <v>0</v>
      </c>
      <c r="Z13" s="42">
        <f>Inputs!Z168</f>
        <v>0</v>
      </c>
      <c r="AA13" s="42">
        <f>Inputs!AA168</f>
        <v>0</v>
      </c>
      <c r="AB13" s="42">
        <f>Inputs!AB168</f>
        <v>0</v>
      </c>
      <c r="AC13" s="42">
        <f>Inputs!AC168</f>
        <v>0</v>
      </c>
      <c r="AD13" s="42">
        <f>Inputs!AD168</f>
        <v>0</v>
      </c>
      <c r="AE13" s="42">
        <f>Inputs!AE168</f>
        <v>0</v>
      </c>
      <c r="AF13" s="42">
        <f>Inputs!AF168</f>
        <v>0</v>
      </c>
      <c r="AG13" s="42">
        <f>Inputs!AG168</f>
        <v>0</v>
      </c>
      <c r="AH13" s="42">
        <f>Inputs!AH168</f>
        <v>0</v>
      </c>
      <c r="AI13" s="42">
        <f>Inputs!AI168</f>
        <v>0</v>
      </c>
      <c r="AJ13" s="42">
        <f>Inputs!AJ168</f>
        <v>0</v>
      </c>
      <c r="AK13" s="42">
        <f>Inputs!AK168</f>
        <v>0</v>
      </c>
      <c r="AL13" s="42">
        <f>Inputs!AL168</f>
        <v>0</v>
      </c>
      <c r="AM13" s="42">
        <f>Inputs!AM168</f>
        <v>0</v>
      </c>
      <c r="AN13" s="42">
        <f>Inputs!AN168</f>
        <v>0</v>
      </c>
      <c r="AO13" s="42">
        <f>Inputs!AO168</f>
        <v>0</v>
      </c>
      <c r="AP13" s="42">
        <f>Inputs!AP168</f>
        <v>0</v>
      </c>
      <c r="AQ13" s="42">
        <f>Inputs!AQ168</f>
        <v>0</v>
      </c>
      <c r="AR13" s="42">
        <f>Inputs!AR168</f>
        <v>0</v>
      </c>
      <c r="AS13" s="42">
        <f>Inputs!AS168</f>
        <v>0</v>
      </c>
      <c r="AT13" s="42">
        <f>Inputs!AT168</f>
        <v>0</v>
      </c>
      <c r="AU13" s="42">
        <f>Inputs!AU168</f>
        <v>0</v>
      </c>
      <c r="AV13" s="42">
        <f>Inputs!AV168</f>
        <v>0</v>
      </c>
      <c r="AW13" s="42">
        <f>Inputs!AW168</f>
        <v>0</v>
      </c>
      <c r="AX13" s="42">
        <f>Inputs!AX168</f>
        <v>0</v>
      </c>
      <c r="AZ13"/>
    </row>
    <row r="14" spans="1:52" ht="15" customHeight="1">
      <c r="A14" s="5"/>
      <c r="B14" s="5"/>
      <c r="C14" s="5"/>
      <c r="D14" s="5"/>
      <c r="E14" s="17"/>
      <c r="F14" s="5"/>
      <c r="G14" s="5"/>
      <c r="H14" s="5"/>
      <c r="I14" s="24"/>
      <c r="J14" s="6"/>
      <c r="K14" s="6"/>
      <c r="L14" s="6"/>
      <c r="M14" s="6"/>
      <c r="N14" s="6"/>
      <c r="O14" s="6"/>
      <c r="P14" s="6"/>
      <c r="Q14" s="6"/>
      <c r="R14" s="6"/>
      <c r="S14" s="5"/>
      <c r="T14" s="5"/>
      <c r="U14" s="5"/>
      <c r="V14" s="5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Z14"/>
    </row>
    <row r="15" spans="1:52" ht="15" customHeight="1">
      <c r="A15" s="5"/>
      <c r="B15" s="267" t="s">
        <v>301</v>
      </c>
      <c r="C15" s="56"/>
      <c r="D15" s="56"/>
      <c r="E15" s="56"/>
      <c r="F15" s="56"/>
      <c r="G15" s="56"/>
      <c r="H15" s="56"/>
      <c r="I15" s="79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Z15"/>
    </row>
    <row r="16" spans="1:52" ht="15" customHeight="1">
      <c r="A16" s="5"/>
      <c r="B16" s="5"/>
      <c r="C16" s="5"/>
      <c r="D16" s="5"/>
      <c r="E16" s="5"/>
      <c r="F16" s="5"/>
      <c r="G16" s="5"/>
      <c r="H16" s="5"/>
      <c r="I16" s="24"/>
      <c r="J16" s="6"/>
      <c r="K16" s="6"/>
      <c r="L16" s="6"/>
      <c r="M16" s="6"/>
      <c r="N16" s="6"/>
      <c r="O16" s="6"/>
      <c r="P16" s="6"/>
      <c r="Q16" s="6"/>
      <c r="R16" s="6"/>
      <c r="S16" s="5"/>
      <c r="T16" s="5"/>
      <c r="U16" s="5"/>
      <c r="V16" s="5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Z16"/>
    </row>
    <row r="17" spans="1:52" ht="15" customHeight="1">
      <c r="A17" s="5"/>
      <c r="B17" s="5"/>
      <c r="C17" s="10" t="s">
        <v>302</v>
      </c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Z17"/>
    </row>
    <row r="18" spans="1:52" ht="15" customHeight="1">
      <c r="A18" s="5"/>
      <c r="B18" s="5"/>
      <c r="C18" s="5"/>
      <c r="D18" s="5"/>
      <c r="E18" s="5"/>
      <c r="F18" s="5"/>
      <c r="G18" s="5"/>
      <c r="H18" s="5"/>
      <c r="I18" s="24"/>
      <c r="J18" s="6"/>
      <c r="K18" s="6"/>
      <c r="L18" s="6"/>
      <c r="M18" s="6"/>
      <c r="N18" s="6"/>
      <c r="O18" s="6"/>
      <c r="P18" s="6"/>
      <c r="Q18" s="6"/>
      <c r="R18" s="6"/>
      <c r="S18" s="5"/>
      <c r="T18" s="5"/>
      <c r="U18" s="5"/>
      <c r="V18" s="5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Z18"/>
    </row>
    <row r="19" spans="1:52" ht="15" customHeight="1">
      <c r="A19"/>
      <c r="B19" s="5"/>
      <c r="C19" s="5"/>
      <c r="D19" s="51"/>
      <c r="E19" s="6" t="s">
        <v>303</v>
      </c>
      <c r="F19" s="5"/>
      <c r="G19" s="5" t="str">
        <f>Inputs!$I$11</f>
        <v>£m 2020 prices</v>
      </c>
      <c r="H19" s="5"/>
      <c r="I19" s="24"/>
      <c r="J19" s="6"/>
      <c r="K19" s="105"/>
      <c r="L19" s="167">
        <f>K26</f>
        <v>0</v>
      </c>
      <c r="M19" s="167">
        <f t="shared" ref="M19:U19" si="2">L26</f>
        <v>5.6010550098325479E-2</v>
      </c>
      <c r="N19" s="167">
        <f t="shared" si="2"/>
        <v>0.10110702236867579</v>
      </c>
      <c r="O19" s="167">
        <f t="shared" si="2"/>
        <v>0.36862386777872386</v>
      </c>
      <c r="P19" s="167">
        <f t="shared" si="2"/>
        <v>0.71309447086372135</v>
      </c>
      <c r="Q19" s="167">
        <f t="shared" si="2"/>
        <v>6.1840955045963826</v>
      </c>
      <c r="R19" s="167">
        <f t="shared" si="2"/>
        <v>9.0139784837643351</v>
      </c>
      <c r="S19" s="167">
        <f t="shared" si="2"/>
        <v>10.49034770156088</v>
      </c>
      <c r="T19" s="167">
        <f t="shared" si="2"/>
        <v>18.256583865180893</v>
      </c>
      <c r="U19" s="167">
        <f t="shared" si="2"/>
        <v>84.555629503348896</v>
      </c>
      <c r="V19" s="167">
        <f t="shared" ref="V19:AX19" si="3">U26</f>
        <v>145.97730966881741</v>
      </c>
      <c r="W19" s="167">
        <f t="shared" si="3"/>
        <v>203.70584928169438</v>
      </c>
      <c r="X19" s="167">
        <f t="shared" si="3"/>
        <v>0</v>
      </c>
      <c r="Y19" s="167">
        <f t="shared" si="3"/>
        <v>0</v>
      </c>
      <c r="Z19" s="167">
        <f t="shared" si="3"/>
        <v>0</v>
      </c>
      <c r="AA19" s="167">
        <f t="shared" si="3"/>
        <v>0</v>
      </c>
      <c r="AB19" s="167">
        <f t="shared" si="3"/>
        <v>0</v>
      </c>
      <c r="AC19" s="167">
        <f t="shared" si="3"/>
        <v>0</v>
      </c>
      <c r="AD19" s="167">
        <f t="shared" si="3"/>
        <v>0</v>
      </c>
      <c r="AE19" s="167">
        <f t="shared" si="3"/>
        <v>0</v>
      </c>
      <c r="AF19" s="167">
        <f t="shared" si="3"/>
        <v>0</v>
      </c>
      <c r="AG19" s="167">
        <f t="shared" si="3"/>
        <v>0</v>
      </c>
      <c r="AH19" s="167">
        <f t="shared" si="3"/>
        <v>0</v>
      </c>
      <c r="AI19" s="167">
        <f t="shared" si="3"/>
        <v>0</v>
      </c>
      <c r="AJ19" s="167">
        <f t="shared" si="3"/>
        <v>0</v>
      </c>
      <c r="AK19" s="167">
        <f t="shared" si="3"/>
        <v>0</v>
      </c>
      <c r="AL19" s="167">
        <f t="shared" si="3"/>
        <v>0</v>
      </c>
      <c r="AM19" s="167">
        <f t="shared" si="3"/>
        <v>0</v>
      </c>
      <c r="AN19" s="167">
        <f t="shared" si="3"/>
        <v>0</v>
      </c>
      <c r="AO19" s="167">
        <f t="shared" si="3"/>
        <v>0</v>
      </c>
      <c r="AP19" s="167">
        <f t="shared" si="3"/>
        <v>0</v>
      </c>
      <c r="AQ19" s="167">
        <f t="shared" si="3"/>
        <v>0</v>
      </c>
      <c r="AR19" s="167">
        <f t="shared" si="3"/>
        <v>0</v>
      </c>
      <c r="AS19" s="167">
        <f t="shared" si="3"/>
        <v>0</v>
      </c>
      <c r="AT19" s="167">
        <f t="shared" si="3"/>
        <v>0</v>
      </c>
      <c r="AU19" s="167">
        <f t="shared" si="3"/>
        <v>0</v>
      </c>
      <c r="AV19" s="167">
        <f t="shared" si="3"/>
        <v>0</v>
      </c>
      <c r="AW19" s="167">
        <f t="shared" si="3"/>
        <v>0</v>
      </c>
      <c r="AX19" s="167">
        <f t="shared" si="3"/>
        <v>0</v>
      </c>
      <c r="AZ19"/>
    </row>
    <row r="20" spans="1:52" ht="15" customHeight="1">
      <c r="A20"/>
      <c r="B20" s="5"/>
      <c r="C20" s="5"/>
      <c r="D20" s="5"/>
      <c r="E20" s="5" t="str">
        <f>Inputs!E34</f>
        <v>Development costs</v>
      </c>
      <c r="F20" s="5"/>
      <c r="G20" s="5" t="str">
        <f>Inputs!$I$11</f>
        <v>£m 2020 prices</v>
      </c>
      <c r="H20" s="5"/>
      <c r="I20" s="24"/>
      <c r="J20" s="6"/>
      <c r="K20" s="168">
        <f>Inputs!K34</f>
        <v>0</v>
      </c>
      <c r="L20" s="168">
        <f>Inputs!L34</f>
        <v>5.4623728664943312E-2</v>
      </c>
      <c r="M20" s="168">
        <f>Inputs!M34</f>
        <v>4.1133987182039713E-2</v>
      </c>
      <c r="N20" s="168">
        <f>Inputs!N34</f>
        <v>0.25575587910966441</v>
      </c>
      <c r="O20" s="168">
        <f>Inputs!O34</f>
        <v>0.31721172951964788</v>
      </c>
      <c r="P20" s="168">
        <f>Inputs!P34</f>
        <v>5.2993066945614187</v>
      </c>
      <c r="Q20" s="168">
        <f>Inputs!Q34</f>
        <v>2.4456011497447863</v>
      </c>
      <c r="R20" s="168">
        <f>Inputs!R34</f>
        <v>0.98181402932037309</v>
      </c>
      <c r="S20" s="168">
        <f>Inputs!S34</f>
        <v>3.5713537042378904</v>
      </c>
      <c r="T20" s="168">
        <f>Inputs!T34</f>
        <v>-0.47584127636286866</v>
      </c>
      <c r="U20" s="168">
        <f>Inputs!U34</f>
        <v>0</v>
      </c>
      <c r="V20" s="168">
        <f>Inputs!V34</f>
        <v>0</v>
      </c>
      <c r="W20" s="168">
        <f>Inputs!W34</f>
        <v>0</v>
      </c>
      <c r="X20" s="168">
        <f>Inputs!X34</f>
        <v>0</v>
      </c>
      <c r="Y20" s="168">
        <f>Inputs!Y34</f>
        <v>0</v>
      </c>
      <c r="Z20" s="168">
        <f>Inputs!Z34</f>
        <v>0</v>
      </c>
      <c r="AA20" s="168">
        <f>Inputs!AA34</f>
        <v>0</v>
      </c>
      <c r="AB20" s="168">
        <f>Inputs!AB34</f>
        <v>0</v>
      </c>
      <c r="AC20" s="168">
        <f>Inputs!AC34</f>
        <v>0</v>
      </c>
      <c r="AD20" s="168">
        <f>Inputs!AD34</f>
        <v>0</v>
      </c>
      <c r="AE20" s="168">
        <f>Inputs!AE34</f>
        <v>0</v>
      </c>
      <c r="AF20" s="168">
        <f>Inputs!AF34</f>
        <v>0</v>
      </c>
      <c r="AG20" s="168">
        <f>Inputs!AG34</f>
        <v>0</v>
      </c>
      <c r="AH20" s="168">
        <f>Inputs!AH34</f>
        <v>0</v>
      </c>
      <c r="AI20" s="168">
        <f>Inputs!AI34</f>
        <v>0</v>
      </c>
      <c r="AJ20" s="168">
        <f>Inputs!AJ34</f>
        <v>0</v>
      </c>
      <c r="AK20" s="168">
        <f>Inputs!AK34</f>
        <v>0</v>
      </c>
      <c r="AL20" s="168">
        <f>Inputs!AL34</f>
        <v>0</v>
      </c>
      <c r="AM20" s="168">
        <f>Inputs!AM34</f>
        <v>0</v>
      </c>
      <c r="AN20" s="168">
        <f>Inputs!AN34</f>
        <v>0</v>
      </c>
      <c r="AO20" s="168">
        <f>Inputs!AO34</f>
        <v>0</v>
      </c>
      <c r="AP20" s="168">
        <f>Inputs!AP34</f>
        <v>0</v>
      </c>
      <c r="AQ20" s="168">
        <f>Inputs!AQ34</f>
        <v>0</v>
      </c>
      <c r="AR20" s="168">
        <f>Inputs!AR34</f>
        <v>0</v>
      </c>
      <c r="AS20" s="168">
        <f>Inputs!AS34</f>
        <v>0</v>
      </c>
      <c r="AT20" s="168">
        <f>Inputs!AT34</f>
        <v>0</v>
      </c>
      <c r="AU20" s="168">
        <f>Inputs!AU34</f>
        <v>0</v>
      </c>
      <c r="AV20" s="168">
        <f>Inputs!AV34</f>
        <v>0</v>
      </c>
      <c r="AW20" s="168">
        <f>Inputs!AW34</f>
        <v>0</v>
      </c>
      <c r="AX20" s="168">
        <f>Inputs!AX34</f>
        <v>0</v>
      </c>
      <c r="AZ20"/>
    </row>
    <row r="21" spans="1:52" ht="15" customHeight="1">
      <c r="A21"/>
      <c r="B21" s="5"/>
      <c r="C21" s="5"/>
      <c r="D21" s="5"/>
      <c r="E21" s="5" t="str">
        <f>Inputs!E35</f>
        <v>Capex</v>
      </c>
      <c r="F21" s="5"/>
      <c r="G21" s="5" t="str">
        <f>Inputs!$I$11</f>
        <v>£m 2020 prices</v>
      </c>
      <c r="H21" s="5"/>
      <c r="I21" s="24"/>
      <c r="J21" s="6"/>
      <c r="K21" s="168">
        <f>Inputs!K35</f>
        <v>0</v>
      </c>
      <c r="L21" s="168">
        <f>Inputs!L35</f>
        <v>0</v>
      </c>
      <c r="M21" s="168">
        <f>Inputs!M35</f>
        <v>0</v>
      </c>
      <c r="N21" s="168">
        <f>Inputs!N35</f>
        <v>0</v>
      </c>
      <c r="O21" s="168">
        <f>Inputs!O35</f>
        <v>0</v>
      </c>
      <c r="P21" s="168">
        <f>Inputs!P35</f>
        <v>0</v>
      </c>
      <c r="Q21" s="168">
        <f>Inputs!Q35</f>
        <v>0</v>
      </c>
      <c r="R21" s="168">
        <f>Inputs!R35</f>
        <v>0</v>
      </c>
      <c r="S21" s="168">
        <f>Inputs!S35</f>
        <v>3.4695758158445118</v>
      </c>
      <c r="T21" s="168">
        <f>Inputs!T35</f>
        <v>62.569892745308813</v>
      </c>
      <c r="U21" s="168">
        <f>Inputs!U35</f>
        <v>53.900974808476839</v>
      </c>
      <c r="V21" s="168">
        <f>Inputs!V35</f>
        <v>47.463818312693398</v>
      </c>
      <c r="W21" s="168">
        <f>Inputs!W35</f>
        <v>7.228625920885877</v>
      </c>
      <c r="X21" s="168">
        <f>Inputs!X35</f>
        <v>0</v>
      </c>
      <c r="Y21" s="168">
        <f>Inputs!Y35</f>
        <v>0</v>
      </c>
      <c r="Z21" s="168">
        <f>Inputs!Z35</f>
        <v>0</v>
      </c>
      <c r="AA21" s="168">
        <f>Inputs!AA35</f>
        <v>0</v>
      </c>
      <c r="AB21" s="168">
        <f>Inputs!AB35</f>
        <v>0</v>
      </c>
      <c r="AC21" s="168">
        <f>Inputs!AC35</f>
        <v>0</v>
      </c>
      <c r="AD21" s="168">
        <f>Inputs!AD35</f>
        <v>0</v>
      </c>
      <c r="AE21" s="168">
        <f>Inputs!AE35</f>
        <v>0</v>
      </c>
      <c r="AF21" s="168">
        <f>Inputs!AF35</f>
        <v>0</v>
      </c>
      <c r="AG21" s="168">
        <f>Inputs!AG35</f>
        <v>0</v>
      </c>
      <c r="AH21" s="168">
        <f>Inputs!AH35</f>
        <v>0</v>
      </c>
      <c r="AI21" s="168">
        <f>Inputs!AI35</f>
        <v>0</v>
      </c>
      <c r="AJ21" s="168">
        <f>Inputs!AJ35</f>
        <v>0</v>
      </c>
      <c r="AK21" s="168">
        <f>Inputs!AK35</f>
        <v>0</v>
      </c>
      <c r="AL21" s="168">
        <f>Inputs!AL35</f>
        <v>0</v>
      </c>
      <c r="AM21" s="168">
        <f>Inputs!AM35</f>
        <v>0</v>
      </c>
      <c r="AN21" s="168">
        <f>Inputs!AN35</f>
        <v>0</v>
      </c>
      <c r="AO21" s="168">
        <f>Inputs!AO35</f>
        <v>0</v>
      </c>
      <c r="AP21" s="168">
        <f>Inputs!AP35</f>
        <v>0</v>
      </c>
      <c r="AQ21" s="168">
        <f>Inputs!AQ35</f>
        <v>0</v>
      </c>
      <c r="AR21" s="168">
        <f>Inputs!AR35</f>
        <v>0</v>
      </c>
      <c r="AS21" s="168">
        <f>Inputs!AS35</f>
        <v>0</v>
      </c>
      <c r="AT21" s="168">
        <f>Inputs!AT35</f>
        <v>0</v>
      </c>
      <c r="AU21" s="168">
        <f>Inputs!AU35</f>
        <v>0</v>
      </c>
      <c r="AV21" s="168">
        <f>Inputs!AV35</f>
        <v>0</v>
      </c>
      <c r="AW21" s="168">
        <f>Inputs!AW35</f>
        <v>0</v>
      </c>
      <c r="AX21" s="168">
        <f>Inputs!AX35</f>
        <v>0</v>
      </c>
      <c r="AZ21"/>
    </row>
    <row r="22" spans="1:52" ht="15" customHeight="1">
      <c r="A22"/>
      <c r="B22" s="5"/>
      <c r="C22" s="5"/>
      <c r="D22" s="5"/>
      <c r="E22" s="5" t="str">
        <f>Inputs!E36</f>
        <v>Spares</v>
      </c>
      <c r="F22" s="5"/>
      <c r="G22" s="5" t="str">
        <f>Inputs!$I$11</f>
        <v>£m 2020 prices</v>
      </c>
      <c r="H22" s="5"/>
      <c r="I22" s="24"/>
      <c r="J22" s="6"/>
      <c r="K22" s="168">
        <f>Inputs!K36</f>
        <v>0</v>
      </c>
      <c r="L22" s="168">
        <f>Inputs!L36</f>
        <v>0</v>
      </c>
      <c r="M22" s="168">
        <f>Inputs!M36</f>
        <v>0</v>
      </c>
      <c r="N22" s="168">
        <f>Inputs!N36</f>
        <v>0</v>
      </c>
      <c r="O22" s="168">
        <f>Inputs!O36</f>
        <v>0</v>
      </c>
      <c r="P22" s="168">
        <f>Inputs!P36</f>
        <v>0</v>
      </c>
      <c r="Q22" s="168">
        <f>Inputs!Q36</f>
        <v>0</v>
      </c>
      <c r="R22" s="168">
        <f>Inputs!R36</f>
        <v>0</v>
      </c>
      <c r="S22" s="168">
        <f>Inputs!S36</f>
        <v>0</v>
      </c>
      <c r="T22" s="168">
        <f>Inputs!T36</f>
        <v>1.6358124515574373</v>
      </c>
      <c r="U22" s="168">
        <f>Inputs!U36</f>
        <v>1.7036324660354694</v>
      </c>
      <c r="V22" s="168">
        <f>Inputs!V36</f>
        <v>1.4182547806227979</v>
      </c>
      <c r="W22" s="168">
        <f>Inputs!W36</f>
        <v>0.2806524854420322</v>
      </c>
      <c r="X22" s="168">
        <f>Inputs!X36</f>
        <v>0</v>
      </c>
      <c r="Y22" s="168">
        <f>Inputs!Y36</f>
        <v>0</v>
      </c>
      <c r="Z22" s="168">
        <f>Inputs!Z36</f>
        <v>0</v>
      </c>
      <c r="AA22" s="168">
        <f>Inputs!AA36</f>
        <v>0</v>
      </c>
      <c r="AB22" s="168">
        <f>Inputs!AB36</f>
        <v>0</v>
      </c>
      <c r="AC22" s="168">
        <f>Inputs!AC36</f>
        <v>0</v>
      </c>
      <c r="AD22" s="168">
        <f>Inputs!AD36</f>
        <v>0</v>
      </c>
      <c r="AE22" s="168">
        <f>Inputs!AE36</f>
        <v>0</v>
      </c>
      <c r="AF22" s="168">
        <f>Inputs!AF36</f>
        <v>0</v>
      </c>
      <c r="AG22" s="168">
        <f>Inputs!AG36</f>
        <v>0</v>
      </c>
      <c r="AH22" s="168">
        <f>Inputs!AH36</f>
        <v>0</v>
      </c>
      <c r="AI22" s="168">
        <f>Inputs!AI36</f>
        <v>0</v>
      </c>
      <c r="AJ22" s="168">
        <f>Inputs!AJ36</f>
        <v>0</v>
      </c>
      <c r="AK22" s="168">
        <f>Inputs!AK36</f>
        <v>0</v>
      </c>
      <c r="AL22" s="168">
        <f>Inputs!AL36</f>
        <v>0</v>
      </c>
      <c r="AM22" s="168">
        <f>Inputs!AM36</f>
        <v>0</v>
      </c>
      <c r="AN22" s="168">
        <f>Inputs!AN36</f>
        <v>0</v>
      </c>
      <c r="AO22" s="168">
        <f>Inputs!AO36</f>
        <v>0</v>
      </c>
      <c r="AP22" s="168">
        <f>Inputs!AP36</f>
        <v>0</v>
      </c>
      <c r="AQ22" s="168">
        <f>Inputs!AQ36</f>
        <v>0</v>
      </c>
      <c r="AR22" s="168">
        <f>Inputs!AR36</f>
        <v>0</v>
      </c>
      <c r="AS22" s="168">
        <f>Inputs!AS36</f>
        <v>0</v>
      </c>
      <c r="AT22" s="168">
        <f>Inputs!AT36</f>
        <v>0</v>
      </c>
      <c r="AU22" s="168">
        <f>Inputs!AU36</f>
        <v>0</v>
      </c>
      <c r="AV22" s="168">
        <f>Inputs!AV36</f>
        <v>0</v>
      </c>
      <c r="AW22" s="168">
        <f>Inputs!AW36</f>
        <v>0</v>
      </c>
      <c r="AX22" s="168">
        <f>Inputs!AX36</f>
        <v>0</v>
      </c>
      <c r="AZ22"/>
    </row>
    <row r="23" spans="1:52" ht="15" customHeight="1">
      <c r="A23"/>
      <c r="B23" s="5"/>
      <c r="C23" s="5"/>
      <c r="D23" s="5"/>
      <c r="E23" s="5" t="str">
        <f>Finance!E28</f>
        <v>Capitalised interest during construction</v>
      </c>
      <c r="F23" s="5"/>
      <c r="G23" s="5" t="str">
        <f>Inputs!$I$11</f>
        <v>£m 2020 prices</v>
      </c>
      <c r="H23" s="5"/>
      <c r="I23" s="24"/>
      <c r="J23" s="6"/>
      <c r="K23" s="168">
        <f>Finance!K28</f>
        <v>0</v>
      </c>
      <c r="L23" s="168">
        <f>Finance!L28</f>
        <v>1.386821433382169E-3</v>
      </c>
      <c r="M23" s="168">
        <f>Finance!M28</f>
        <v>3.9624850883106019E-3</v>
      </c>
      <c r="N23" s="168">
        <f>Finance!N28</f>
        <v>1.176096630038366E-2</v>
      </c>
      <c r="O23" s="168">
        <f>Finance!O28</f>
        <v>2.7258873565349624E-2</v>
      </c>
      <c r="P23" s="168">
        <f>Finance!P28</f>
        <v>0.17169433917124269</v>
      </c>
      <c r="Q23" s="168">
        <f>Finance!Q28</f>
        <v>0.3842818294231658</v>
      </c>
      <c r="R23" s="168">
        <f>Finance!R28</f>
        <v>0.49455518847617108</v>
      </c>
      <c r="S23" s="168">
        <f>Finance!S28</f>
        <v>0.72530664353761121</v>
      </c>
      <c r="T23" s="168">
        <f>Finance!T28</f>
        <v>2.5691817176646192</v>
      </c>
      <c r="U23" s="168">
        <f>Finance!U28</f>
        <v>5.8170728909562106</v>
      </c>
      <c r="V23" s="168">
        <f>Finance!V28</f>
        <v>8.8464665195607903</v>
      </c>
      <c r="W23" s="168">
        <f>Finance!W28</f>
        <v>0.8384554685033756</v>
      </c>
      <c r="X23" s="168">
        <f>Finance!X28</f>
        <v>0</v>
      </c>
      <c r="Y23" s="168">
        <f>Finance!Y28</f>
        <v>0</v>
      </c>
      <c r="Z23" s="168">
        <f>Finance!Z28</f>
        <v>0</v>
      </c>
      <c r="AA23" s="168">
        <f>Finance!AA28</f>
        <v>0</v>
      </c>
      <c r="AB23" s="168">
        <f>Finance!AB28</f>
        <v>0</v>
      </c>
      <c r="AC23" s="168">
        <f>Finance!AC28</f>
        <v>0</v>
      </c>
      <c r="AD23" s="168">
        <f>Finance!AD28</f>
        <v>0</v>
      </c>
      <c r="AE23" s="168">
        <f>Finance!AE28</f>
        <v>0</v>
      </c>
      <c r="AF23" s="168">
        <f>Finance!AF28</f>
        <v>0</v>
      </c>
      <c r="AG23" s="168">
        <f>Finance!AG28</f>
        <v>0</v>
      </c>
      <c r="AH23" s="168">
        <f>Finance!AH28</f>
        <v>0</v>
      </c>
      <c r="AI23" s="168">
        <f>Finance!AI28</f>
        <v>0</v>
      </c>
      <c r="AJ23" s="168">
        <f>Finance!AJ28</f>
        <v>0</v>
      </c>
      <c r="AK23" s="168">
        <f>Finance!AK28</f>
        <v>0</v>
      </c>
      <c r="AL23" s="168">
        <f>Finance!AL28</f>
        <v>0</v>
      </c>
      <c r="AM23" s="168">
        <f>Finance!AM28</f>
        <v>0</v>
      </c>
      <c r="AN23" s="168">
        <f>Finance!AN28</f>
        <v>0</v>
      </c>
      <c r="AO23" s="168">
        <f>Finance!AO28</f>
        <v>0</v>
      </c>
      <c r="AP23" s="168">
        <f>Finance!AP28</f>
        <v>0</v>
      </c>
      <c r="AQ23" s="168">
        <f>Finance!AQ28</f>
        <v>0</v>
      </c>
      <c r="AR23" s="168">
        <f>Finance!AR28</f>
        <v>0</v>
      </c>
      <c r="AS23" s="168">
        <f>Finance!AS28</f>
        <v>0</v>
      </c>
      <c r="AT23" s="168">
        <f>Finance!AT28</f>
        <v>0</v>
      </c>
      <c r="AU23" s="168">
        <f>Finance!AU28</f>
        <v>0</v>
      </c>
      <c r="AV23" s="168">
        <f>Finance!AV28</f>
        <v>0</v>
      </c>
      <c r="AW23" s="168">
        <f>Finance!AW28</f>
        <v>0</v>
      </c>
      <c r="AX23" s="168">
        <f>Finance!AX28</f>
        <v>0</v>
      </c>
      <c r="AZ23"/>
    </row>
    <row r="24" spans="1:52" ht="15" customHeight="1">
      <c r="A24"/>
      <c r="B24" s="5"/>
      <c r="C24" s="5"/>
      <c r="D24" s="5"/>
      <c r="E24" s="6" t="s">
        <v>304</v>
      </c>
      <c r="F24" s="5"/>
      <c r="G24" s="5" t="str">
        <f>Inputs!$I$11</f>
        <v>£m 2020 prices</v>
      </c>
      <c r="H24" s="5"/>
      <c r="I24" s="24"/>
      <c r="J24" s="6"/>
      <c r="K24" s="59">
        <f t="shared" ref="K24:U24" si="4">SUM(K19:K23)</f>
        <v>0</v>
      </c>
      <c r="L24" s="59">
        <f t="shared" si="4"/>
        <v>5.6010550098325479E-2</v>
      </c>
      <c r="M24" s="59">
        <f t="shared" si="4"/>
        <v>0.10110702236867579</v>
      </c>
      <c r="N24" s="59">
        <f t="shared" si="4"/>
        <v>0.36862386777872386</v>
      </c>
      <c r="O24" s="59">
        <f t="shared" si="4"/>
        <v>0.71309447086372135</v>
      </c>
      <c r="P24" s="59">
        <f t="shared" si="4"/>
        <v>6.1840955045963826</v>
      </c>
      <c r="Q24" s="59">
        <f t="shared" si="4"/>
        <v>9.0139784837643351</v>
      </c>
      <c r="R24" s="59">
        <f t="shared" si="4"/>
        <v>10.49034770156088</v>
      </c>
      <c r="S24" s="59">
        <f t="shared" si="4"/>
        <v>18.256583865180893</v>
      </c>
      <c r="T24" s="59">
        <f t="shared" si="4"/>
        <v>84.555629503348896</v>
      </c>
      <c r="U24" s="59">
        <f t="shared" si="4"/>
        <v>145.97730966881741</v>
      </c>
      <c r="V24" s="59">
        <f t="shared" ref="V24:AX24" si="5">SUM(V19:V23)</f>
        <v>203.70584928169438</v>
      </c>
      <c r="W24" s="59">
        <f t="shared" si="5"/>
        <v>212.05358315652569</v>
      </c>
      <c r="X24" s="59">
        <f t="shared" si="5"/>
        <v>0</v>
      </c>
      <c r="Y24" s="59">
        <f t="shared" si="5"/>
        <v>0</v>
      </c>
      <c r="Z24" s="59">
        <f t="shared" si="5"/>
        <v>0</v>
      </c>
      <c r="AA24" s="59">
        <f t="shared" si="5"/>
        <v>0</v>
      </c>
      <c r="AB24" s="59">
        <f t="shared" si="5"/>
        <v>0</v>
      </c>
      <c r="AC24" s="59">
        <f t="shared" si="5"/>
        <v>0</v>
      </c>
      <c r="AD24" s="59">
        <f t="shared" si="5"/>
        <v>0</v>
      </c>
      <c r="AE24" s="59">
        <f t="shared" si="5"/>
        <v>0</v>
      </c>
      <c r="AF24" s="59">
        <f t="shared" si="5"/>
        <v>0</v>
      </c>
      <c r="AG24" s="59">
        <f t="shared" si="5"/>
        <v>0</v>
      </c>
      <c r="AH24" s="59">
        <f t="shared" si="5"/>
        <v>0</v>
      </c>
      <c r="AI24" s="59">
        <f t="shared" si="5"/>
        <v>0</v>
      </c>
      <c r="AJ24" s="59">
        <f t="shared" si="5"/>
        <v>0</v>
      </c>
      <c r="AK24" s="59">
        <f t="shared" si="5"/>
        <v>0</v>
      </c>
      <c r="AL24" s="59">
        <f t="shared" si="5"/>
        <v>0</v>
      </c>
      <c r="AM24" s="59">
        <f t="shared" si="5"/>
        <v>0</v>
      </c>
      <c r="AN24" s="59">
        <f t="shared" si="5"/>
        <v>0</v>
      </c>
      <c r="AO24" s="59">
        <f t="shared" si="5"/>
        <v>0</v>
      </c>
      <c r="AP24" s="59">
        <f t="shared" si="5"/>
        <v>0</v>
      </c>
      <c r="AQ24" s="59">
        <f t="shared" si="5"/>
        <v>0</v>
      </c>
      <c r="AR24" s="59">
        <f t="shared" si="5"/>
        <v>0</v>
      </c>
      <c r="AS24" s="59">
        <f t="shared" si="5"/>
        <v>0</v>
      </c>
      <c r="AT24" s="59">
        <f t="shared" si="5"/>
        <v>0</v>
      </c>
      <c r="AU24" s="59">
        <f t="shared" si="5"/>
        <v>0</v>
      </c>
      <c r="AV24" s="59">
        <f t="shared" si="5"/>
        <v>0</v>
      </c>
      <c r="AW24" s="59">
        <f t="shared" si="5"/>
        <v>0</v>
      </c>
      <c r="AX24" s="59">
        <f t="shared" si="5"/>
        <v>0</v>
      </c>
      <c r="AZ24"/>
    </row>
    <row r="25" spans="1:52" ht="15" customHeight="1">
      <c r="A25"/>
      <c r="B25" s="5"/>
      <c r="C25" s="5"/>
      <c r="D25" s="5"/>
      <c r="E25" s="6" t="s">
        <v>305</v>
      </c>
      <c r="F25" s="5"/>
      <c r="G25" s="5" t="str">
        <f>Inputs!$I$11</f>
        <v>£m 2020 prices</v>
      </c>
      <c r="H25" s="5"/>
      <c r="I25" s="24"/>
      <c r="J25" s="6"/>
      <c r="K25" s="43">
        <f>-K24*K11</f>
        <v>0</v>
      </c>
      <c r="L25" s="43">
        <f t="shared" ref="L25:AX25" si="6">-L24*L11</f>
        <v>0</v>
      </c>
      <c r="M25" s="43">
        <f t="shared" si="6"/>
        <v>0</v>
      </c>
      <c r="N25" s="43">
        <f t="shared" si="6"/>
        <v>0</v>
      </c>
      <c r="O25" s="43">
        <f t="shared" si="6"/>
        <v>0</v>
      </c>
      <c r="P25" s="43">
        <f t="shared" si="6"/>
        <v>0</v>
      </c>
      <c r="Q25" s="43">
        <f t="shared" si="6"/>
        <v>0</v>
      </c>
      <c r="R25" s="43">
        <f t="shared" si="6"/>
        <v>0</v>
      </c>
      <c r="S25" s="43">
        <f t="shared" si="6"/>
        <v>0</v>
      </c>
      <c r="T25" s="43">
        <f t="shared" si="6"/>
        <v>0</v>
      </c>
      <c r="U25" s="43">
        <f t="shared" si="6"/>
        <v>0</v>
      </c>
      <c r="V25" s="43">
        <f t="shared" si="6"/>
        <v>0</v>
      </c>
      <c r="W25" s="43">
        <f t="shared" si="6"/>
        <v>-212.05358315652569</v>
      </c>
      <c r="X25" s="43">
        <f t="shared" si="6"/>
        <v>0</v>
      </c>
      <c r="Y25" s="43">
        <f t="shared" si="6"/>
        <v>0</v>
      </c>
      <c r="Z25" s="43">
        <f t="shared" si="6"/>
        <v>0</v>
      </c>
      <c r="AA25" s="43">
        <f t="shared" si="6"/>
        <v>0</v>
      </c>
      <c r="AB25" s="43">
        <f t="shared" si="6"/>
        <v>0</v>
      </c>
      <c r="AC25" s="43">
        <f t="shared" si="6"/>
        <v>0</v>
      </c>
      <c r="AD25" s="43">
        <f t="shared" si="6"/>
        <v>0</v>
      </c>
      <c r="AE25" s="43">
        <f t="shared" si="6"/>
        <v>0</v>
      </c>
      <c r="AF25" s="43">
        <f t="shared" si="6"/>
        <v>0</v>
      </c>
      <c r="AG25" s="43">
        <f t="shared" si="6"/>
        <v>0</v>
      </c>
      <c r="AH25" s="43">
        <f t="shared" si="6"/>
        <v>0</v>
      </c>
      <c r="AI25" s="43">
        <f t="shared" si="6"/>
        <v>0</v>
      </c>
      <c r="AJ25" s="43">
        <f t="shared" si="6"/>
        <v>0</v>
      </c>
      <c r="AK25" s="43">
        <f t="shared" si="6"/>
        <v>0</v>
      </c>
      <c r="AL25" s="43">
        <f t="shared" si="6"/>
        <v>0</v>
      </c>
      <c r="AM25" s="43">
        <f t="shared" si="6"/>
        <v>0</v>
      </c>
      <c r="AN25" s="43">
        <f t="shared" si="6"/>
        <v>0</v>
      </c>
      <c r="AO25" s="43">
        <f t="shared" si="6"/>
        <v>0</v>
      </c>
      <c r="AP25" s="43">
        <f t="shared" si="6"/>
        <v>0</v>
      </c>
      <c r="AQ25" s="43">
        <f t="shared" si="6"/>
        <v>0</v>
      </c>
      <c r="AR25" s="43">
        <f t="shared" si="6"/>
        <v>0</v>
      </c>
      <c r="AS25" s="43">
        <f t="shared" si="6"/>
        <v>0</v>
      </c>
      <c r="AT25" s="43">
        <f t="shared" si="6"/>
        <v>0</v>
      </c>
      <c r="AU25" s="43">
        <f t="shared" si="6"/>
        <v>0</v>
      </c>
      <c r="AV25" s="43">
        <f t="shared" si="6"/>
        <v>0</v>
      </c>
      <c r="AW25" s="43">
        <f t="shared" si="6"/>
        <v>0</v>
      </c>
      <c r="AX25" s="43">
        <f t="shared" si="6"/>
        <v>0</v>
      </c>
      <c r="AZ25"/>
    </row>
    <row r="26" spans="1:52" ht="13.15">
      <c r="A26"/>
      <c r="B26" s="5"/>
      <c r="C26" s="5"/>
      <c r="D26" s="5"/>
      <c r="E26" s="99" t="s">
        <v>306</v>
      </c>
      <c r="F26" s="5"/>
      <c r="G26" s="5" t="str">
        <f>Inputs!$I$11</f>
        <v>£m 2020 prices</v>
      </c>
      <c r="H26" s="5"/>
      <c r="I26" s="24"/>
      <c r="J26" s="6"/>
      <c r="K26" s="59">
        <f t="shared" ref="K26:T26" si="7">SUM(K24:K25)</f>
        <v>0</v>
      </c>
      <c r="L26" s="59">
        <f t="shared" si="7"/>
        <v>5.6010550098325479E-2</v>
      </c>
      <c r="M26" s="59">
        <f t="shared" si="7"/>
        <v>0.10110702236867579</v>
      </c>
      <c r="N26" s="59">
        <f t="shared" si="7"/>
        <v>0.36862386777872386</v>
      </c>
      <c r="O26" s="59">
        <f t="shared" si="7"/>
        <v>0.71309447086372135</v>
      </c>
      <c r="P26" s="59">
        <f t="shared" si="7"/>
        <v>6.1840955045963826</v>
      </c>
      <c r="Q26" s="59">
        <f t="shared" si="7"/>
        <v>9.0139784837643351</v>
      </c>
      <c r="R26" s="59">
        <f t="shared" si="7"/>
        <v>10.49034770156088</v>
      </c>
      <c r="S26" s="59">
        <f t="shared" si="7"/>
        <v>18.256583865180893</v>
      </c>
      <c r="T26" s="59">
        <f t="shared" si="7"/>
        <v>84.555629503348896</v>
      </c>
      <c r="U26" s="59">
        <f>SUM(U24:U25)</f>
        <v>145.97730966881741</v>
      </c>
      <c r="V26" s="59">
        <f t="shared" ref="V26:AX26" si="8">SUM(V24:V25)</f>
        <v>203.70584928169438</v>
      </c>
      <c r="W26" s="59">
        <f t="shared" si="8"/>
        <v>0</v>
      </c>
      <c r="X26" s="59">
        <f t="shared" si="8"/>
        <v>0</v>
      </c>
      <c r="Y26" s="59">
        <f t="shared" si="8"/>
        <v>0</v>
      </c>
      <c r="Z26" s="59">
        <f t="shared" si="8"/>
        <v>0</v>
      </c>
      <c r="AA26" s="59">
        <f t="shared" si="8"/>
        <v>0</v>
      </c>
      <c r="AB26" s="59">
        <f t="shared" si="8"/>
        <v>0</v>
      </c>
      <c r="AC26" s="59">
        <f t="shared" si="8"/>
        <v>0</v>
      </c>
      <c r="AD26" s="59">
        <f t="shared" si="8"/>
        <v>0</v>
      </c>
      <c r="AE26" s="59">
        <f t="shared" si="8"/>
        <v>0</v>
      </c>
      <c r="AF26" s="59">
        <f t="shared" si="8"/>
        <v>0</v>
      </c>
      <c r="AG26" s="59">
        <f t="shared" si="8"/>
        <v>0</v>
      </c>
      <c r="AH26" s="59">
        <f t="shared" si="8"/>
        <v>0</v>
      </c>
      <c r="AI26" s="59">
        <f t="shared" si="8"/>
        <v>0</v>
      </c>
      <c r="AJ26" s="59">
        <f t="shared" si="8"/>
        <v>0</v>
      </c>
      <c r="AK26" s="59">
        <f t="shared" si="8"/>
        <v>0</v>
      </c>
      <c r="AL26" s="59">
        <f t="shared" si="8"/>
        <v>0</v>
      </c>
      <c r="AM26" s="59">
        <f t="shared" si="8"/>
        <v>0</v>
      </c>
      <c r="AN26" s="59">
        <f t="shared" si="8"/>
        <v>0</v>
      </c>
      <c r="AO26" s="59">
        <f t="shared" si="8"/>
        <v>0</v>
      </c>
      <c r="AP26" s="59">
        <f t="shared" si="8"/>
        <v>0</v>
      </c>
      <c r="AQ26" s="59">
        <f t="shared" si="8"/>
        <v>0</v>
      </c>
      <c r="AR26" s="59">
        <f t="shared" si="8"/>
        <v>0</v>
      </c>
      <c r="AS26" s="59">
        <f t="shared" si="8"/>
        <v>0</v>
      </c>
      <c r="AT26" s="59">
        <f t="shared" si="8"/>
        <v>0</v>
      </c>
      <c r="AU26" s="59">
        <f t="shared" si="8"/>
        <v>0</v>
      </c>
      <c r="AV26" s="59">
        <f t="shared" si="8"/>
        <v>0</v>
      </c>
      <c r="AW26" s="59">
        <f t="shared" si="8"/>
        <v>0</v>
      </c>
      <c r="AX26" s="59">
        <f t="shared" si="8"/>
        <v>0</v>
      </c>
      <c r="AZ26"/>
    </row>
    <row r="27" spans="1:52" ht="15" customHeight="1">
      <c r="A27" s="5"/>
      <c r="B27" s="5"/>
      <c r="C27" s="5"/>
      <c r="D27" s="5"/>
      <c r="E27" s="5"/>
      <c r="F27" s="5"/>
      <c r="G27" s="5"/>
      <c r="H27" s="5"/>
      <c r="I27" s="24"/>
      <c r="J27" s="6"/>
      <c r="K27" s="6"/>
      <c r="L27" s="6"/>
      <c r="M27" s="6"/>
      <c r="N27" s="6"/>
      <c r="O27" s="6"/>
      <c r="P27" s="6"/>
      <c r="Q27" s="6"/>
      <c r="R27" s="6"/>
      <c r="S27" s="5"/>
      <c r="T27" s="5"/>
      <c r="U27" s="5"/>
      <c r="V27" s="5"/>
      <c r="W27" s="5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Z27"/>
    </row>
    <row r="28" spans="1:52" ht="15" customHeight="1">
      <c r="A28" s="220"/>
      <c r="B28" s="267" t="s">
        <v>297</v>
      </c>
      <c r="C28" s="56"/>
      <c r="D28" s="56"/>
      <c r="E28" s="56"/>
      <c r="F28" s="56"/>
      <c r="G28" s="56"/>
      <c r="H28" s="56"/>
      <c r="I28" s="79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6"/>
      <c r="AG28" s="56"/>
      <c r="AH28" s="56"/>
      <c r="AI28" s="56"/>
      <c r="AJ28" s="56"/>
      <c r="AK28" s="56"/>
      <c r="AL28" s="56"/>
      <c r="AM28" s="56"/>
      <c r="AN28" s="56"/>
      <c r="AO28" s="56"/>
      <c r="AP28" s="56"/>
      <c r="AQ28" s="56"/>
      <c r="AR28" s="56"/>
      <c r="AS28" s="56"/>
      <c r="AT28" s="56"/>
      <c r="AU28" s="56"/>
      <c r="AV28" s="56"/>
      <c r="AW28" s="56"/>
      <c r="AX28" s="56"/>
      <c r="AZ28"/>
    </row>
    <row r="29" spans="1:52" ht="15" customHeight="1">
      <c r="A29" s="220"/>
      <c r="C29" s="5"/>
      <c r="D29" s="5"/>
      <c r="E29" s="5"/>
      <c r="F29" s="5"/>
      <c r="G29" s="5"/>
      <c r="H29" s="5"/>
      <c r="I29" s="24"/>
      <c r="J29" s="6"/>
      <c r="K29" s="6"/>
      <c r="L29" s="6"/>
      <c r="M29" s="6"/>
      <c r="N29" s="6"/>
      <c r="O29" s="6"/>
      <c r="P29" s="6"/>
      <c r="Q29" s="6"/>
      <c r="R29" s="6"/>
      <c r="S29" s="5"/>
      <c r="T29" s="5"/>
      <c r="U29" s="5"/>
      <c r="V29" s="5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Z29"/>
    </row>
    <row r="30" spans="1:52" ht="15" customHeight="1">
      <c r="A30" s="220"/>
      <c r="B30" s="5"/>
      <c r="C30" s="10" t="s">
        <v>128</v>
      </c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Z30"/>
    </row>
    <row r="31" spans="1:52" ht="15" customHeight="1">
      <c r="A31" s="220"/>
      <c r="B31" s="5"/>
      <c r="C31" s="5"/>
      <c r="D31" s="5"/>
      <c r="E31" s="5"/>
      <c r="F31" s="5"/>
      <c r="G31" s="5"/>
      <c r="H31" s="5"/>
      <c r="I31" s="24"/>
      <c r="J31" s="6"/>
      <c r="K31" s="6"/>
      <c r="L31" s="6"/>
      <c r="M31" s="6"/>
      <c r="N31" s="6"/>
      <c r="O31" s="6"/>
      <c r="P31" s="6"/>
      <c r="Q31" s="6"/>
      <c r="R31" s="6"/>
      <c r="S31" s="5"/>
      <c r="T31" s="5"/>
      <c r="U31" s="5"/>
      <c r="V31" s="5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Z31"/>
    </row>
    <row r="32" spans="1:52" s="186" customFormat="1" ht="15" customHeight="1">
      <c r="A32" s="226"/>
      <c r="B32" s="5"/>
      <c r="C32" s="5"/>
      <c r="D32" s="51"/>
      <c r="E32" s="6" t="s">
        <v>307</v>
      </c>
      <c r="F32" s="5"/>
      <c r="G32" s="4" t="str">
        <f>CONCATENATE(Inputs!$I$9,"m nominal prices")</f>
        <v>£m nominal prices</v>
      </c>
      <c r="H32" s="5"/>
      <c r="I32" s="24"/>
      <c r="J32" s="6"/>
      <c r="K32" s="105"/>
      <c r="L32" s="91">
        <f>K36</f>
        <v>0</v>
      </c>
      <c r="M32" s="91">
        <f t="shared" ref="M32:AX32" si="9">L36</f>
        <v>4.7715780720508298E-2</v>
      </c>
      <c r="N32" s="91">
        <f t="shared" si="9"/>
        <v>8.3999812118290107E-2</v>
      </c>
      <c r="O32" s="91">
        <f t="shared" si="9"/>
        <v>0.31353438734789507</v>
      </c>
      <c r="P32" s="91">
        <f t="shared" si="9"/>
        <v>0.60842441123348379</v>
      </c>
      <c r="Q32" s="91">
        <f t="shared" si="9"/>
        <v>5.6995074661985221</v>
      </c>
      <c r="R32" s="91">
        <f t="shared" si="9"/>
        <v>8.1092297863837643</v>
      </c>
      <c r="S32" s="91">
        <f t="shared" si="9"/>
        <v>9.0911833889483837</v>
      </c>
      <c r="T32" s="91">
        <f t="shared" si="9"/>
        <v>0</v>
      </c>
      <c r="U32" s="91">
        <f t="shared" si="9"/>
        <v>-0.55252353368189333</v>
      </c>
      <c r="V32" s="91">
        <f t="shared" si="9"/>
        <v>-0.55252353368189333</v>
      </c>
      <c r="W32" s="91">
        <f t="shared" si="9"/>
        <v>-0.55252353368189333</v>
      </c>
      <c r="X32" s="91">
        <f t="shared" si="9"/>
        <v>-0.55252353368189333</v>
      </c>
      <c r="Y32" s="91">
        <f t="shared" si="9"/>
        <v>-0.55252353368189333</v>
      </c>
      <c r="Z32" s="91">
        <f t="shared" si="9"/>
        <v>-0.55252353368189333</v>
      </c>
      <c r="AA32" s="91">
        <f t="shared" si="9"/>
        <v>-0.55252353368189333</v>
      </c>
      <c r="AB32" s="91">
        <f t="shared" si="9"/>
        <v>-0.55252353368189333</v>
      </c>
      <c r="AC32" s="91">
        <f t="shared" si="9"/>
        <v>-0.55252353368189333</v>
      </c>
      <c r="AD32" s="91">
        <f t="shared" si="9"/>
        <v>-0.55252353368189333</v>
      </c>
      <c r="AE32" s="91">
        <f t="shared" si="9"/>
        <v>-0.55252353368189333</v>
      </c>
      <c r="AF32" s="91">
        <f t="shared" si="9"/>
        <v>-0.55252353368189333</v>
      </c>
      <c r="AG32" s="91">
        <f t="shared" si="9"/>
        <v>-0.55252353368189333</v>
      </c>
      <c r="AH32" s="91">
        <f t="shared" si="9"/>
        <v>-0.55252353368189333</v>
      </c>
      <c r="AI32" s="91">
        <f t="shared" si="9"/>
        <v>-0.55252353368189333</v>
      </c>
      <c r="AJ32" s="91">
        <f t="shared" si="9"/>
        <v>-0.55252353368189333</v>
      </c>
      <c r="AK32" s="91">
        <f t="shared" si="9"/>
        <v>-0.55252353368189333</v>
      </c>
      <c r="AL32" s="91">
        <f t="shared" si="9"/>
        <v>-0.55252353368189333</v>
      </c>
      <c r="AM32" s="91">
        <f t="shared" si="9"/>
        <v>-0.55252353368189333</v>
      </c>
      <c r="AN32" s="91">
        <f t="shared" si="9"/>
        <v>-0.55252353368189333</v>
      </c>
      <c r="AO32" s="91">
        <f t="shared" si="9"/>
        <v>-0.55252353368189333</v>
      </c>
      <c r="AP32" s="91">
        <f t="shared" si="9"/>
        <v>-0.55252353368189333</v>
      </c>
      <c r="AQ32" s="91">
        <f t="shared" si="9"/>
        <v>-0.55252353368189333</v>
      </c>
      <c r="AR32" s="91">
        <f t="shared" si="9"/>
        <v>-0.55252353368189333</v>
      </c>
      <c r="AS32" s="91">
        <f t="shared" si="9"/>
        <v>-0.55252353368189333</v>
      </c>
      <c r="AT32" s="91">
        <f t="shared" si="9"/>
        <v>-0.55252353368189333</v>
      </c>
      <c r="AU32" s="91">
        <f t="shared" si="9"/>
        <v>-0.55252353368189333</v>
      </c>
      <c r="AV32" s="91">
        <f t="shared" si="9"/>
        <v>-0.55252353368189333</v>
      </c>
      <c r="AW32" s="91">
        <f t="shared" si="9"/>
        <v>-0.55252353368189333</v>
      </c>
      <c r="AX32" s="91">
        <f t="shared" si="9"/>
        <v>-0.55252353368189333</v>
      </c>
    </row>
    <row r="33" spans="1:52" s="186" customFormat="1" ht="15" customHeight="1">
      <c r="A33" s="226"/>
      <c r="B33" s="5"/>
      <c r="C33" s="5"/>
      <c r="D33" s="5"/>
      <c r="E33" s="5" t="s">
        <v>128</v>
      </c>
      <c r="F33" s="5"/>
      <c r="G33" s="17" t="str">
        <f>CONCATENATE(Inputs!$I$9,"m nominal prices")</f>
        <v>£m nominal prices</v>
      </c>
      <c r="H33" s="5"/>
      <c r="I33" s="24"/>
      <c r="J33" s="6"/>
      <c r="K33" s="5">
        <f>Inputs!K20</f>
        <v>0</v>
      </c>
      <c r="L33" s="5">
        <f>Inputs!L20</f>
        <v>4.7715780720508298E-2</v>
      </c>
      <c r="M33" s="5">
        <f>Inputs!M20</f>
        <v>3.6284031397781816E-2</v>
      </c>
      <c r="N33" s="5">
        <f>Inputs!N20</f>
        <v>0.22953457522960496</v>
      </c>
      <c r="O33" s="5">
        <f>Inputs!O20</f>
        <v>0.29489002388558871</v>
      </c>
      <c r="P33" s="5">
        <f>Inputs!P20</f>
        <v>5.0910830549650381</v>
      </c>
      <c r="Q33" s="5">
        <f>Inputs!Q20</f>
        <v>2.4097223201852414</v>
      </c>
      <c r="R33" s="5">
        <f>Inputs!R20</f>
        <v>0.98195360256461961</v>
      </c>
      <c r="S33" s="5">
        <f>Inputs!S20</f>
        <v>3.7163523704966108</v>
      </c>
      <c r="T33" s="5">
        <f>Inputs!T20</f>
        <v>-0.55252353368189333</v>
      </c>
      <c r="U33" s="5">
        <f>Inputs!U20</f>
        <v>0</v>
      </c>
      <c r="V33" s="5">
        <f>Inputs!V20</f>
        <v>0</v>
      </c>
      <c r="W33" s="5">
        <f>Inputs!W20</f>
        <v>0</v>
      </c>
      <c r="X33" s="5">
        <f>Inputs!X20</f>
        <v>0</v>
      </c>
      <c r="Y33" s="5">
        <f>Inputs!Y20</f>
        <v>0</v>
      </c>
      <c r="Z33" s="5">
        <f>Inputs!Z20</f>
        <v>0</v>
      </c>
      <c r="AA33" s="5">
        <f>Inputs!AA20</f>
        <v>0</v>
      </c>
      <c r="AB33" s="5">
        <f>Inputs!AB20</f>
        <v>0</v>
      </c>
      <c r="AC33" s="5">
        <f>Inputs!AC20</f>
        <v>0</v>
      </c>
      <c r="AD33" s="5">
        <f>Inputs!AD20</f>
        <v>0</v>
      </c>
      <c r="AE33" s="5">
        <f>Inputs!AE20</f>
        <v>0</v>
      </c>
      <c r="AF33" s="5">
        <f>Inputs!AF20</f>
        <v>0</v>
      </c>
      <c r="AG33" s="5">
        <f>Inputs!AG20</f>
        <v>0</v>
      </c>
      <c r="AH33" s="5">
        <f>Inputs!AH20</f>
        <v>0</v>
      </c>
      <c r="AI33" s="5">
        <f>Inputs!AI20</f>
        <v>0</v>
      </c>
      <c r="AJ33" s="5">
        <f>Inputs!AJ20</f>
        <v>0</v>
      </c>
      <c r="AK33" s="5">
        <f>Inputs!AK20</f>
        <v>0</v>
      </c>
      <c r="AL33" s="5">
        <f>Inputs!AL20</f>
        <v>0</v>
      </c>
      <c r="AM33" s="5">
        <f>Inputs!AM20</f>
        <v>0</v>
      </c>
      <c r="AN33" s="5">
        <f>Inputs!AN20</f>
        <v>0</v>
      </c>
      <c r="AO33" s="5">
        <f>Inputs!AO20</f>
        <v>0</v>
      </c>
      <c r="AP33" s="5">
        <f>Inputs!AP20</f>
        <v>0</v>
      </c>
      <c r="AQ33" s="5">
        <f>Inputs!AQ20</f>
        <v>0</v>
      </c>
      <c r="AR33" s="5">
        <f>Inputs!AR20</f>
        <v>0</v>
      </c>
      <c r="AS33" s="5">
        <f>Inputs!AS20</f>
        <v>0</v>
      </c>
      <c r="AT33" s="5">
        <f>Inputs!AT20</f>
        <v>0</v>
      </c>
      <c r="AU33" s="5">
        <f>Inputs!AU20</f>
        <v>0</v>
      </c>
      <c r="AV33" s="5">
        <f>Inputs!AV20</f>
        <v>0</v>
      </c>
      <c r="AW33" s="5">
        <f>Inputs!AW20</f>
        <v>0</v>
      </c>
      <c r="AX33" s="5">
        <f>Inputs!AX20</f>
        <v>0</v>
      </c>
    </row>
    <row r="34" spans="1:52" ht="13.15">
      <c r="A34" s="222"/>
      <c r="B34" s="5"/>
      <c r="C34" s="5"/>
      <c r="D34" s="5"/>
      <c r="E34" s="6" t="s">
        <v>308</v>
      </c>
      <c r="F34" s="5"/>
      <c r="G34" s="4" t="str">
        <f>CONCATENATE(Inputs!$I$9,"m nominal prices")</f>
        <v>£m nominal prices</v>
      </c>
      <c r="H34" s="5"/>
      <c r="I34" s="24"/>
      <c r="J34" s="6"/>
      <c r="K34" s="59">
        <f t="shared" ref="K34:AX34" si="10">SUM(K32:K33)</f>
        <v>0</v>
      </c>
      <c r="L34" s="59">
        <f t="shared" si="10"/>
        <v>4.7715780720508298E-2</v>
      </c>
      <c r="M34" s="59">
        <f t="shared" si="10"/>
        <v>8.3999812118290107E-2</v>
      </c>
      <c r="N34" s="59">
        <f t="shared" si="10"/>
        <v>0.31353438734789507</v>
      </c>
      <c r="O34" s="59">
        <f t="shared" si="10"/>
        <v>0.60842441123348379</v>
      </c>
      <c r="P34" s="59">
        <f t="shared" si="10"/>
        <v>5.6995074661985221</v>
      </c>
      <c r="Q34" s="59">
        <f t="shared" si="10"/>
        <v>8.1092297863837643</v>
      </c>
      <c r="R34" s="59">
        <f t="shared" si="10"/>
        <v>9.0911833889483837</v>
      </c>
      <c r="S34" s="59">
        <f t="shared" si="10"/>
        <v>12.807535759444995</v>
      </c>
      <c r="T34" s="59">
        <f t="shared" si="10"/>
        <v>-0.55252353368189333</v>
      </c>
      <c r="U34" s="59">
        <f t="shared" si="10"/>
        <v>-0.55252353368189333</v>
      </c>
      <c r="V34" s="59">
        <f t="shared" si="10"/>
        <v>-0.55252353368189333</v>
      </c>
      <c r="W34" s="59">
        <f t="shared" si="10"/>
        <v>-0.55252353368189333</v>
      </c>
      <c r="X34" s="59">
        <f t="shared" si="10"/>
        <v>-0.55252353368189333</v>
      </c>
      <c r="Y34" s="59">
        <f t="shared" si="10"/>
        <v>-0.55252353368189333</v>
      </c>
      <c r="Z34" s="59">
        <f t="shared" si="10"/>
        <v>-0.55252353368189333</v>
      </c>
      <c r="AA34" s="59">
        <f t="shared" si="10"/>
        <v>-0.55252353368189333</v>
      </c>
      <c r="AB34" s="59">
        <f t="shared" si="10"/>
        <v>-0.55252353368189333</v>
      </c>
      <c r="AC34" s="59">
        <f t="shared" si="10"/>
        <v>-0.55252353368189333</v>
      </c>
      <c r="AD34" s="59">
        <f t="shared" si="10"/>
        <v>-0.55252353368189333</v>
      </c>
      <c r="AE34" s="59">
        <f t="shared" si="10"/>
        <v>-0.55252353368189333</v>
      </c>
      <c r="AF34" s="59">
        <f t="shared" si="10"/>
        <v>-0.55252353368189333</v>
      </c>
      <c r="AG34" s="59">
        <f t="shared" si="10"/>
        <v>-0.55252353368189333</v>
      </c>
      <c r="AH34" s="59">
        <f t="shared" si="10"/>
        <v>-0.55252353368189333</v>
      </c>
      <c r="AI34" s="59">
        <f t="shared" si="10"/>
        <v>-0.55252353368189333</v>
      </c>
      <c r="AJ34" s="59">
        <f t="shared" si="10"/>
        <v>-0.55252353368189333</v>
      </c>
      <c r="AK34" s="59">
        <f t="shared" si="10"/>
        <v>-0.55252353368189333</v>
      </c>
      <c r="AL34" s="59">
        <f t="shared" si="10"/>
        <v>-0.55252353368189333</v>
      </c>
      <c r="AM34" s="59">
        <f t="shared" si="10"/>
        <v>-0.55252353368189333</v>
      </c>
      <c r="AN34" s="59">
        <f t="shared" si="10"/>
        <v>-0.55252353368189333</v>
      </c>
      <c r="AO34" s="59">
        <f t="shared" si="10"/>
        <v>-0.55252353368189333</v>
      </c>
      <c r="AP34" s="59">
        <f t="shared" si="10"/>
        <v>-0.55252353368189333</v>
      </c>
      <c r="AQ34" s="59">
        <f t="shared" si="10"/>
        <v>-0.55252353368189333</v>
      </c>
      <c r="AR34" s="59">
        <f t="shared" si="10"/>
        <v>-0.55252353368189333</v>
      </c>
      <c r="AS34" s="59">
        <f t="shared" si="10"/>
        <v>-0.55252353368189333</v>
      </c>
      <c r="AT34" s="59">
        <f t="shared" si="10"/>
        <v>-0.55252353368189333</v>
      </c>
      <c r="AU34" s="59">
        <f t="shared" si="10"/>
        <v>-0.55252353368189333</v>
      </c>
      <c r="AV34" s="59">
        <f t="shared" si="10"/>
        <v>-0.55252353368189333</v>
      </c>
      <c r="AW34" s="59">
        <f t="shared" si="10"/>
        <v>-0.55252353368189333</v>
      </c>
      <c r="AX34" s="59">
        <f t="shared" si="10"/>
        <v>-0.55252353368189333</v>
      </c>
      <c r="AZ34"/>
    </row>
    <row r="35" spans="1:52" s="186" customFormat="1" ht="15" customHeight="1">
      <c r="A35" s="226"/>
      <c r="B35" s="5"/>
      <c r="C35" s="5"/>
      <c r="D35" s="5"/>
      <c r="E35" s="6" t="s">
        <v>309</v>
      </c>
      <c r="F35" s="5"/>
      <c r="G35" s="17" t="str">
        <f>CONCATENATE(Inputs!$I$9,"m nominal prices")</f>
        <v>£m nominal prices</v>
      </c>
      <c r="H35" s="5"/>
      <c r="I35" s="24"/>
      <c r="J35" s="6"/>
      <c r="K35" s="5">
        <f>-K34*K13</f>
        <v>0</v>
      </c>
      <c r="L35" s="5">
        <f>-L34*L13</f>
        <v>0</v>
      </c>
      <c r="M35" s="5">
        <f>-M34*M13</f>
        <v>0</v>
      </c>
      <c r="N35" s="5">
        <f>-N34*N13</f>
        <v>0</v>
      </c>
      <c r="O35" s="5">
        <f t="shared" ref="O35:AX35" si="11">-O34*O13</f>
        <v>0</v>
      </c>
      <c r="P35" s="5">
        <f t="shared" si="11"/>
        <v>0</v>
      </c>
      <c r="Q35" s="5">
        <f t="shared" si="11"/>
        <v>0</v>
      </c>
      <c r="R35" s="5">
        <f t="shared" si="11"/>
        <v>0</v>
      </c>
      <c r="S35" s="5">
        <f t="shared" si="11"/>
        <v>-12.807535759444995</v>
      </c>
      <c r="T35" s="5">
        <f t="shared" si="11"/>
        <v>0</v>
      </c>
      <c r="U35" s="5">
        <f t="shared" si="11"/>
        <v>0</v>
      </c>
      <c r="V35" s="5">
        <f t="shared" si="11"/>
        <v>0</v>
      </c>
      <c r="W35" s="5">
        <f t="shared" si="11"/>
        <v>0</v>
      </c>
      <c r="X35" s="5">
        <f t="shared" si="11"/>
        <v>0</v>
      </c>
      <c r="Y35" s="5">
        <f t="shared" si="11"/>
        <v>0</v>
      </c>
      <c r="Z35" s="5">
        <f t="shared" si="11"/>
        <v>0</v>
      </c>
      <c r="AA35" s="5">
        <f t="shared" si="11"/>
        <v>0</v>
      </c>
      <c r="AB35" s="5">
        <f t="shared" si="11"/>
        <v>0</v>
      </c>
      <c r="AC35" s="5">
        <f t="shared" si="11"/>
        <v>0</v>
      </c>
      <c r="AD35" s="5">
        <f t="shared" si="11"/>
        <v>0</v>
      </c>
      <c r="AE35" s="5">
        <f t="shared" si="11"/>
        <v>0</v>
      </c>
      <c r="AF35" s="5">
        <f t="shared" si="11"/>
        <v>0</v>
      </c>
      <c r="AG35" s="5">
        <f t="shared" si="11"/>
        <v>0</v>
      </c>
      <c r="AH35" s="5">
        <f t="shared" si="11"/>
        <v>0</v>
      </c>
      <c r="AI35" s="5">
        <f t="shared" si="11"/>
        <v>0</v>
      </c>
      <c r="AJ35" s="5">
        <f t="shared" si="11"/>
        <v>0</v>
      </c>
      <c r="AK35" s="5">
        <f t="shared" si="11"/>
        <v>0</v>
      </c>
      <c r="AL35" s="5">
        <f t="shared" si="11"/>
        <v>0</v>
      </c>
      <c r="AM35" s="5">
        <f t="shared" si="11"/>
        <v>0</v>
      </c>
      <c r="AN35" s="5">
        <f t="shared" si="11"/>
        <v>0</v>
      </c>
      <c r="AO35" s="5">
        <f t="shared" si="11"/>
        <v>0</v>
      </c>
      <c r="AP35" s="5">
        <f t="shared" si="11"/>
        <v>0</v>
      </c>
      <c r="AQ35" s="5">
        <f t="shared" si="11"/>
        <v>0</v>
      </c>
      <c r="AR35" s="5">
        <f t="shared" si="11"/>
        <v>0</v>
      </c>
      <c r="AS35" s="5">
        <f t="shared" si="11"/>
        <v>0</v>
      </c>
      <c r="AT35" s="5">
        <f t="shared" si="11"/>
        <v>0</v>
      </c>
      <c r="AU35" s="5">
        <f t="shared" si="11"/>
        <v>0</v>
      </c>
      <c r="AV35" s="5">
        <f t="shared" si="11"/>
        <v>0</v>
      </c>
      <c r="AW35" s="5">
        <f t="shared" si="11"/>
        <v>0</v>
      </c>
      <c r="AX35" s="5">
        <f t="shared" si="11"/>
        <v>0</v>
      </c>
    </row>
    <row r="36" spans="1:52" ht="13.15">
      <c r="A36" s="222"/>
      <c r="B36" s="5"/>
      <c r="C36" s="5"/>
      <c r="D36" s="5"/>
      <c r="E36" s="99" t="s">
        <v>310</v>
      </c>
      <c r="F36" s="5"/>
      <c r="G36" s="4" t="str">
        <f>CONCATENATE(Inputs!$I$9,"m nominal prices")</f>
        <v>£m nominal prices</v>
      </c>
      <c r="H36" s="5"/>
      <c r="I36" s="24"/>
      <c r="J36" s="6"/>
      <c r="K36" s="59">
        <f t="shared" ref="K36:T36" si="12">SUM(K34:K35)</f>
        <v>0</v>
      </c>
      <c r="L36" s="59">
        <f t="shared" si="12"/>
        <v>4.7715780720508298E-2</v>
      </c>
      <c r="M36" s="59">
        <f t="shared" si="12"/>
        <v>8.3999812118290107E-2</v>
      </c>
      <c r="N36" s="59">
        <f t="shared" si="12"/>
        <v>0.31353438734789507</v>
      </c>
      <c r="O36" s="59">
        <f t="shared" si="12"/>
        <v>0.60842441123348379</v>
      </c>
      <c r="P36" s="59">
        <f t="shared" si="12"/>
        <v>5.6995074661985221</v>
      </c>
      <c r="Q36" s="59">
        <f t="shared" si="12"/>
        <v>8.1092297863837643</v>
      </c>
      <c r="R36" s="59">
        <f t="shared" si="12"/>
        <v>9.0911833889483837</v>
      </c>
      <c r="S36" s="59">
        <f t="shared" si="12"/>
        <v>0</v>
      </c>
      <c r="T36" s="59">
        <f t="shared" si="12"/>
        <v>-0.55252353368189333</v>
      </c>
      <c r="U36" s="59">
        <f>SUM(U34:U35)</f>
        <v>-0.55252353368189333</v>
      </c>
      <c r="V36" s="59">
        <f t="shared" ref="V36:AX36" si="13">SUM(V34:V35)</f>
        <v>-0.55252353368189333</v>
      </c>
      <c r="W36" s="59">
        <f t="shared" si="13"/>
        <v>-0.55252353368189333</v>
      </c>
      <c r="X36" s="59">
        <f t="shared" si="13"/>
        <v>-0.55252353368189333</v>
      </c>
      <c r="Y36" s="59">
        <f t="shared" si="13"/>
        <v>-0.55252353368189333</v>
      </c>
      <c r="Z36" s="59">
        <f t="shared" si="13"/>
        <v>-0.55252353368189333</v>
      </c>
      <c r="AA36" s="59">
        <f t="shared" si="13"/>
        <v>-0.55252353368189333</v>
      </c>
      <c r="AB36" s="59">
        <f t="shared" si="13"/>
        <v>-0.55252353368189333</v>
      </c>
      <c r="AC36" s="59">
        <f t="shared" si="13"/>
        <v>-0.55252353368189333</v>
      </c>
      <c r="AD36" s="59">
        <f t="shared" si="13"/>
        <v>-0.55252353368189333</v>
      </c>
      <c r="AE36" s="59">
        <f t="shared" si="13"/>
        <v>-0.55252353368189333</v>
      </c>
      <c r="AF36" s="59">
        <f t="shared" si="13"/>
        <v>-0.55252353368189333</v>
      </c>
      <c r="AG36" s="59">
        <f t="shared" si="13"/>
        <v>-0.55252353368189333</v>
      </c>
      <c r="AH36" s="59">
        <f t="shared" si="13"/>
        <v>-0.55252353368189333</v>
      </c>
      <c r="AI36" s="59">
        <f t="shared" si="13"/>
        <v>-0.55252353368189333</v>
      </c>
      <c r="AJ36" s="59">
        <f t="shared" si="13"/>
        <v>-0.55252353368189333</v>
      </c>
      <c r="AK36" s="59">
        <f t="shared" si="13"/>
        <v>-0.55252353368189333</v>
      </c>
      <c r="AL36" s="59">
        <f t="shared" si="13"/>
        <v>-0.55252353368189333</v>
      </c>
      <c r="AM36" s="59">
        <f t="shared" si="13"/>
        <v>-0.55252353368189333</v>
      </c>
      <c r="AN36" s="59">
        <f t="shared" si="13"/>
        <v>-0.55252353368189333</v>
      </c>
      <c r="AO36" s="59">
        <f t="shared" si="13"/>
        <v>-0.55252353368189333</v>
      </c>
      <c r="AP36" s="59">
        <f t="shared" si="13"/>
        <v>-0.55252353368189333</v>
      </c>
      <c r="AQ36" s="59">
        <f t="shared" si="13"/>
        <v>-0.55252353368189333</v>
      </c>
      <c r="AR36" s="59">
        <f t="shared" si="13"/>
        <v>-0.55252353368189333</v>
      </c>
      <c r="AS36" s="59">
        <f t="shared" si="13"/>
        <v>-0.55252353368189333</v>
      </c>
      <c r="AT36" s="59">
        <f t="shared" si="13"/>
        <v>-0.55252353368189333</v>
      </c>
      <c r="AU36" s="59">
        <f t="shared" si="13"/>
        <v>-0.55252353368189333</v>
      </c>
      <c r="AV36" s="59">
        <f t="shared" si="13"/>
        <v>-0.55252353368189333</v>
      </c>
      <c r="AW36" s="59">
        <f t="shared" si="13"/>
        <v>-0.55252353368189333</v>
      </c>
      <c r="AX36" s="59">
        <f t="shared" si="13"/>
        <v>-0.55252353368189333</v>
      </c>
      <c r="AZ36"/>
    </row>
    <row r="37" spans="1:52" ht="15" customHeight="1">
      <c r="A37" s="222"/>
      <c r="B37" s="5"/>
      <c r="C37" s="5"/>
      <c r="D37" s="5"/>
      <c r="E37" s="5"/>
      <c r="F37" s="5"/>
      <c r="G37" s="5"/>
      <c r="H37" s="5"/>
      <c r="I37" s="24"/>
      <c r="J37" s="6"/>
      <c r="K37" s="6"/>
      <c r="L37" s="6"/>
      <c r="M37" s="6"/>
      <c r="N37" s="6"/>
      <c r="O37" s="6"/>
      <c r="P37" s="6"/>
      <c r="Q37" s="6"/>
      <c r="R37" s="6"/>
      <c r="S37" s="5"/>
      <c r="T37" s="5"/>
      <c r="U37" s="5"/>
      <c r="V37" s="5"/>
      <c r="W37" s="5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Z37"/>
    </row>
    <row r="38" spans="1:52" ht="15" customHeight="1">
      <c r="A38" s="220"/>
      <c r="B38" s="5"/>
      <c r="C38" s="10" t="s">
        <v>311</v>
      </c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Z38"/>
    </row>
    <row r="39" spans="1:52" ht="15" customHeight="1">
      <c r="A39" s="220"/>
      <c r="B39" s="5"/>
      <c r="C39" s="5"/>
      <c r="D39" s="5"/>
      <c r="E39" s="5"/>
      <c r="F39" s="5"/>
      <c r="G39" s="5"/>
      <c r="H39" s="5"/>
      <c r="I39" s="24"/>
      <c r="J39" s="6"/>
      <c r="K39" s="6"/>
      <c r="L39" s="6"/>
      <c r="M39" s="6"/>
      <c r="N39" s="6"/>
      <c r="O39" s="6"/>
      <c r="P39" s="6"/>
      <c r="Q39" s="6"/>
      <c r="R39" s="6"/>
      <c r="S39" s="5"/>
      <c r="T39" s="5"/>
      <c r="U39" s="5"/>
      <c r="V39" s="5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Z39"/>
    </row>
    <row r="40" spans="1:52" s="186" customFormat="1" ht="15" customHeight="1">
      <c r="A40" s="226"/>
      <c r="B40" s="5"/>
      <c r="C40" s="5"/>
      <c r="D40" s="51"/>
      <c r="E40" s="6" t="s">
        <v>312</v>
      </c>
      <c r="F40" s="5"/>
      <c r="G40" s="17" t="str">
        <f>CONCATENATE(Inputs!$I$9,"m nominal prices")</f>
        <v>£m nominal prices</v>
      </c>
      <c r="H40" s="5"/>
      <c r="I40" s="24"/>
      <c r="J40" s="6"/>
      <c r="K40" s="205"/>
      <c r="L40" s="91">
        <f>K48</f>
        <v>0</v>
      </c>
      <c r="M40" s="91">
        <f t="shared" ref="M40:AX40" si="14">L48</f>
        <v>0</v>
      </c>
      <c r="N40" s="91">
        <f t="shared" si="14"/>
        <v>0</v>
      </c>
      <c r="O40" s="91">
        <f t="shared" si="14"/>
        <v>0</v>
      </c>
      <c r="P40" s="91">
        <f t="shared" si="14"/>
        <v>0</v>
      </c>
      <c r="Q40" s="91">
        <f t="shared" si="14"/>
        <v>0</v>
      </c>
      <c r="R40" s="91">
        <f t="shared" si="14"/>
        <v>0</v>
      </c>
      <c r="S40" s="91">
        <f t="shared" si="14"/>
        <v>0</v>
      </c>
      <c r="T40" s="91">
        <f t="shared" si="14"/>
        <v>25.211999316160629</v>
      </c>
      <c r="U40" s="91">
        <f t="shared" si="14"/>
        <v>107.55782816516539</v>
      </c>
      <c r="V40" s="91">
        <f t="shared" si="14"/>
        <v>186.17382067968776</v>
      </c>
      <c r="W40" s="91">
        <f t="shared" si="14"/>
        <v>258.45945163213355</v>
      </c>
      <c r="X40" s="91">
        <f t="shared" si="14"/>
        <v>0</v>
      </c>
      <c r="Y40" s="91">
        <f t="shared" si="14"/>
        <v>0</v>
      </c>
      <c r="Z40" s="91">
        <f t="shared" si="14"/>
        <v>0</v>
      </c>
      <c r="AA40" s="91">
        <f t="shared" si="14"/>
        <v>0</v>
      </c>
      <c r="AB40" s="91">
        <f t="shared" si="14"/>
        <v>0</v>
      </c>
      <c r="AC40" s="91">
        <f t="shared" si="14"/>
        <v>0</v>
      </c>
      <c r="AD40" s="91">
        <f t="shared" si="14"/>
        <v>0</v>
      </c>
      <c r="AE40" s="91">
        <f t="shared" si="14"/>
        <v>0</v>
      </c>
      <c r="AF40" s="91">
        <f t="shared" si="14"/>
        <v>0</v>
      </c>
      <c r="AG40" s="91">
        <f t="shared" si="14"/>
        <v>0</v>
      </c>
      <c r="AH40" s="91">
        <f t="shared" si="14"/>
        <v>0</v>
      </c>
      <c r="AI40" s="91">
        <f t="shared" si="14"/>
        <v>0</v>
      </c>
      <c r="AJ40" s="91">
        <f t="shared" si="14"/>
        <v>0</v>
      </c>
      <c r="AK40" s="91">
        <f t="shared" si="14"/>
        <v>0</v>
      </c>
      <c r="AL40" s="91">
        <f t="shared" si="14"/>
        <v>0</v>
      </c>
      <c r="AM40" s="91">
        <f t="shared" si="14"/>
        <v>0</v>
      </c>
      <c r="AN40" s="91">
        <f t="shared" si="14"/>
        <v>0</v>
      </c>
      <c r="AO40" s="91">
        <f t="shared" si="14"/>
        <v>0</v>
      </c>
      <c r="AP40" s="91">
        <f t="shared" si="14"/>
        <v>0</v>
      </c>
      <c r="AQ40" s="91">
        <f t="shared" si="14"/>
        <v>0</v>
      </c>
      <c r="AR40" s="91">
        <f t="shared" si="14"/>
        <v>0</v>
      </c>
      <c r="AS40" s="91">
        <f t="shared" si="14"/>
        <v>0</v>
      </c>
      <c r="AT40" s="91">
        <f t="shared" si="14"/>
        <v>0</v>
      </c>
      <c r="AU40" s="91">
        <f t="shared" si="14"/>
        <v>0</v>
      </c>
      <c r="AV40" s="91">
        <f t="shared" si="14"/>
        <v>0</v>
      </c>
      <c r="AW40" s="91">
        <f t="shared" si="14"/>
        <v>0</v>
      </c>
      <c r="AX40" s="91">
        <f t="shared" si="14"/>
        <v>0</v>
      </c>
    </row>
    <row r="41" spans="1:52" s="186" customFormat="1" ht="15" customHeight="1">
      <c r="A41" s="226"/>
      <c r="B41" s="5"/>
      <c r="C41" s="5"/>
      <c r="D41" s="5"/>
      <c r="E41" s="6" t="s">
        <v>309</v>
      </c>
      <c r="F41" s="5"/>
      <c r="G41" s="17" t="str">
        <f>CONCATENATE(Inputs!$I$9,"m nominal prices")</f>
        <v>£m nominal prices</v>
      </c>
      <c r="H41" s="5"/>
      <c r="I41" s="24"/>
      <c r="J41" s="6"/>
      <c r="K41" s="5">
        <f>-K35</f>
        <v>0</v>
      </c>
      <c r="L41" s="5">
        <f t="shared" ref="L41:AX41" si="15">-L35</f>
        <v>0</v>
      </c>
      <c r="M41" s="5">
        <f t="shared" si="15"/>
        <v>0</v>
      </c>
      <c r="N41" s="5">
        <f t="shared" si="15"/>
        <v>0</v>
      </c>
      <c r="O41" s="5">
        <f t="shared" si="15"/>
        <v>0</v>
      </c>
      <c r="P41" s="5">
        <f t="shared" si="15"/>
        <v>0</v>
      </c>
      <c r="Q41" s="5">
        <f t="shared" si="15"/>
        <v>0</v>
      </c>
      <c r="R41" s="5">
        <f t="shared" si="15"/>
        <v>0</v>
      </c>
      <c r="S41" s="5">
        <f t="shared" si="15"/>
        <v>12.807535759444995</v>
      </c>
      <c r="T41" s="5">
        <f t="shared" si="15"/>
        <v>0</v>
      </c>
      <c r="U41" s="5">
        <f t="shared" si="15"/>
        <v>0</v>
      </c>
      <c r="V41" s="5">
        <f t="shared" si="15"/>
        <v>0</v>
      </c>
      <c r="W41" s="5">
        <f t="shared" si="15"/>
        <v>0</v>
      </c>
      <c r="X41" s="5">
        <f t="shared" si="15"/>
        <v>0</v>
      </c>
      <c r="Y41" s="5">
        <f t="shared" si="15"/>
        <v>0</v>
      </c>
      <c r="Z41" s="5">
        <f t="shared" si="15"/>
        <v>0</v>
      </c>
      <c r="AA41" s="5">
        <f t="shared" si="15"/>
        <v>0</v>
      </c>
      <c r="AB41" s="5">
        <f t="shared" si="15"/>
        <v>0</v>
      </c>
      <c r="AC41" s="5">
        <f t="shared" si="15"/>
        <v>0</v>
      </c>
      <c r="AD41" s="5">
        <f t="shared" si="15"/>
        <v>0</v>
      </c>
      <c r="AE41" s="5">
        <f t="shared" si="15"/>
        <v>0</v>
      </c>
      <c r="AF41" s="5">
        <f t="shared" si="15"/>
        <v>0</v>
      </c>
      <c r="AG41" s="5">
        <f t="shared" si="15"/>
        <v>0</v>
      </c>
      <c r="AH41" s="5">
        <f t="shared" si="15"/>
        <v>0</v>
      </c>
      <c r="AI41" s="5">
        <f t="shared" si="15"/>
        <v>0</v>
      </c>
      <c r="AJ41" s="5">
        <f t="shared" si="15"/>
        <v>0</v>
      </c>
      <c r="AK41" s="5">
        <f t="shared" si="15"/>
        <v>0</v>
      </c>
      <c r="AL41" s="5">
        <f t="shared" si="15"/>
        <v>0</v>
      </c>
      <c r="AM41" s="5">
        <f t="shared" si="15"/>
        <v>0</v>
      </c>
      <c r="AN41" s="5">
        <f t="shared" si="15"/>
        <v>0</v>
      </c>
      <c r="AO41" s="5">
        <f t="shared" si="15"/>
        <v>0</v>
      </c>
      <c r="AP41" s="5">
        <f t="shared" si="15"/>
        <v>0</v>
      </c>
      <c r="AQ41" s="5">
        <f t="shared" si="15"/>
        <v>0</v>
      </c>
      <c r="AR41" s="5">
        <f t="shared" si="15"/>
        <v>0</v>
      </c>
      <c r="AS41" s="5">
        <f t="shared" si="15"/>
        <v>0</v>
      </c>
      <c r="AT41" s="5">
        <f t="shared" si="15"/>
        <v>0</v>
      </c>
      <c r="AU41" s="5">
        <f t="shared" si="15"/>
        <v>0</v>
      </c>
      <c r="AV41" s="5">
        <f t="shared" si="15"/>
        <v>0</v>
      </c>
      <c r="AW41" s="5">
        <f t="shared" si="15"/>
        <v>0</v>
      </c>
      <c r="AX41" s="5">
        <f t="shared" si="15"/>
        <v>0</v>
      </c>
    </row>
    <row r="42" spans="1:52" s="186" customFormat="1" ht="15" customHeight="1">
      <c r="A42" s="226"/>
      <c r="B42" s="5"/>
      <c r="C42" s="5"/>
      <c r="D42" s="5"/>
      <c r="E42" s="5" t="s">
        <v>129</v>
      </c>
      <c r="F42" s="5"/>
      <c r="G42" s="17" t="str">
        <f>CONCATENATE(Inputs!$I$9,"m nominal prices")</f>
        <v>£m nominal prices</v>
      </c>
      <c r="H42" s="5"/>
      <c r="I42" s="24"/>
      <c r="J42" s="6"/>
      <c r="K42" s="5">
        <f>Inputs!K21</f>
        <v>0</v>
      </c>
      <c r="L42" s="5">
        <f>Inputs!L21</f>
        <v>0</v>
      </c>
      <c r="M42" s="5">
        <f>Inputs!M21</f>
        <v>0</v>
      </c>
      <c r="N42" s="5">
        <f>Inputs!N21</f>
        <v>0</v>
      </c>
      <c r="O42" s="5">
        <f>Inputs!O21</f>
        <v>0</v>
      </c>
      <c r="P42" s="5">
        <f>Inputs!P21</f>
        <v>0</v>
      </c>
      <c r="Q42" s="5">
        <f>Inputs!Q21</f>
        <v>0</v>
      </c>
      <c r="R42" s="5">
        <f>Inputs!R21</f>
        <v>0</v>
      </c>
      <c r="S42" s="5">
        <f>Inputs!S21</f>
        <v>3.6104422512199799</v>
      </c>
      <c r="T42" s="5">
        <f>Inputs!T21</f>
        <v>72.653088244012608</v>
      </c>
      <c r="U42" s="5">
        <f>Inputs!U21</f>
        <v>68.652788282444703</v>
      </c>
      <c r="V42" s="5">
        <f>Inputs!V21</f>
        <v>62.62114821398341</v>
      </c>
      <c r="W42" s="5">
        <f>Inputs!W21</f>
        <v>9.9316535596750004</v>
      </c>
      <c r="X42" s="5">
        <f>Inputs!X21</f>
        <v>0</v>
      </c>
      <c r="Y42" s="5">
        <f>Inputs!Y21</f>
        <v>0</v>
      </c>
      <c r="Z42" s="5">
        <f>Inputs!Z21</f>
        <v>0</v>
      </c>
      <c r="AA42" s="5">
        <f>Inputs!AA21</f>
        <v>0</v>
      </c>
      <c r="AB42" s="5">
        <f>Inputs!AB21</f>
        <v>0</v>
      </c>
      <c r="AC42" s="5">
        <f>Inputs!AC21</f>
        <v>0</v>
      </c>
      <c r="AD42" s="5">
        <f>Inputs!AD21</f>
        <v>0</v>
      </c>
      <c r="AE42" s="5">
        <f>Inputs!AE21</f>
        <v>0</v>
      </c>
      <c r="AF42" s="5">
        <f>Inputs!AF21</f>
        <v>0</v>
      </c>
      <c r="AG42" s="5">
        <f>Inputs!AG21</f>
        <v>0</v>
      </c>
      <c r="AH42" s="5">
        <f>Inputs!AH21</f>
        <v>0</v>
      </c>
      <c r="AI42" s="5">
        <f>Inputs!AI21</f>
        <v>0</v>
      </c>
      <c r="AJ42" s="5">
        <f>Inputs!AJ21</f>
        <v>0</v>
      </c>
      <c r="AK42" s="5">
        <f>Inputs!AK21</f>
        <v>0</v>
      </c>
      <c r="AL42" s="5">
        <f>Inputs!AL21</f>
        <v>0</v>
      </c>
      <c r="AM42" s="5">
        <f>Inputs!AM21</f>
        <v>0</v>
      </c>
      <c r="AN42" s="5">
        <f>Inputs!AN21</f>
        <v>0</v>
      </c>
      <c r="AO42" s="5">
        <f>Inputs!AO21</f>
        <v>0</v>
      </c>
      <c r="AP42" s="5">
        <f>Inputs!AP21</f>
        <v>0</v>
      </c>
      <c r="AQ42" s="5">
        <f>Inputs!AQ21</f>
        <v>0</v>
      </c>
      <c r="AR42" s="5">
        <f>Inputs!AR21</f>
        <v>0</v>
      </c>
      <c r="AS42" s="5">
        <f>Inputs!AS21</f>
        <v>0</v>
      </c>
      <c r="AT42" s="5">
        <f>Inputs!AT21</f>
        <v>0</v>
      </c>
      <c r="AU42" s="5">
        <f>Inputs!AU21</f>
        <v>0</v>
      </c>
      <c r="AV42" s="5">
        <f>Inputs!AV21</f>
        <v>0</v>
      </c>
      <c r="AW42" s="5">
        <f>Inputs!AW21</f>
        <v>0</v>
      </c>
      <c r="AX42" s="5">
        <f>Inputs!AX21</f>
        <v>0</v>
      </c>
    </row>
    <row r="43" spans="1:52" s="186" customFormat="1" ht="15" customHeight="1">
      <c r="A43" s="226"/>
      <c r="B43" s="5"/>
      <c r="C43" s="5"/>
      <c r="D43" s="5"/>
      <c r="E43" s="5" t="s">
        <v>130</v>
      </c>
      <c r="F43" s="5"/>
      <c r="G43" s="17" t="str">
        <f>CONCATENATE(Inputs!$I$9,"m nominal prices")</f>
        <v>£m nominal prices</v>
      </c>
      <c r="H43" s="5"/>
      <c r="I43" s="24"/>
      <c r="J43" s="6"/>
      <c r="K43" s="5">
        <f>Inputs!K22</f>
        <v>0</v>
      </c>
      <c r="L43" s="5">
        <f>Inputs!L22</f>
        <v>0</v>
      </c>
      <c r="M43" s="5">
        <f>Inputs!M22</f>
        <v>0</v>
      </c>
      <c r="N43" s="5">
        <f>Inputs!N22</f>
        <v>0</v>
      </c>
      <c r="O43" s="5">
        <f>Inputs!O22</f>
        <v>0</v>
      </c>
      <c r="P43" s="5">
        <f>Inputs!P22</f>
        <v>0</v>
      </c>
      <c r="Q43" s="5">
        <f>Inputs!Q22</f>
        <v>0</v>
      </c>
      <c r="R43" s="5">
        <f>Inputs!R22</f>
        <v>0</v>
      </c>
      <c r="S43" s="5">
        <f>Inputs!S22</f>
        <v>0</v>
      </c>
      <c r="T43" s="5">
        <f>Inputs!T22</f>
        <v>1.8994251257137986</v>
      </c>
      <c r="U43" s="5">
        <f>Inputs!U22</f>
        <v>2.1698887527992992</v>
      </c>
      <c r="V43" s="5">
        <f>Inputs!V22</f>
        <v>1.8711672591840189</v>
      </c>
      <c r="W43" s="5">
        <f>Inputs!W22</f>
        <v>0.38559793888606742</v>
      </c>
      <c r="X43" s="5">
        <f>Inputs!X22</f>
        <v>0</v>
      </c>
      <c r="Y43" s="5">
        <f>Inputs!Y22</f>
        <v>0</v>
      </c>
      <c r="Z43" s="5">
        <f>Inputs!Z22</f>
        <v>0</v>
      </c>
      <c r="AA43" s="5">
        <f>Inputs!AA22</f>
        <v>0</v>
      </c>
      <c r="AB43" s="5">
        <f>Inputs!AB22</f>
        <v>0</v>
      </c>
      <c r="AC43" s="5">
        <f>Inputs!AC22</f>
        <v>0</v>
      </c>
      <c r="AD43" s="5">
        <f>Inputs!AD22</f>
        <v>0</v>
      </c>
      <c r="AE43" s="5">
        <f>Inputs!AE22</f>
        <v>0</v>
      </c>
      <c r="AF43" s="5">
        <f>Inputs!AF22</f>
        <v>0</v>
      </c>
      <c r="AG43" s="5">
        <f>Inputs!AG22</f>
        <v>0</v>
      </c>
      <c r="AH43" s="5">
        <f>Inputs!AH22</f>
        <v>0</v>
      </c>
      <c r="AI43" s="5">
        <f>Inputs!AI22</f>
        <v>0</v>
      </c>
      <c r="AJ43" s="5">
        <f>Inputs!AJ22</f>
        <v>0</v>
      </c>
      <c r="AK43" s="5">
        <f>Inputs!AK22</f>
        <v>0</v>
      </c>
      <c r="AL43" s="5">
        <f>Inputs!AL22</f>
        <v>0</v>
      </c>
      <c r="AM43" s="5">
        <f>Inputs!AM22</f>
        <v>0</v>
      </c>
      <c r="AN43" s="5">
        <f>Inputs!AN22</f>
        <v>0</v>
      </c>
      <c r="AO43" s="5">
        <f>Inputs!AO22</f>
        <v>0</v>
      </c>
      <c r="AP43" s="5">
        <f>Inputs!AP22</f>
        <v>0</v>
      </c>
      <c r="AQ43" s="5">
        <f>Inputs!AQ22</f>
        <v>0</v>
      </c>
      <c r="AR43" s="5">
        <f>Inputs!AR22</f>
        <v>0</v>
      </c>
      <c r="AS43" s="5">
        <f>Inputs!AS22</f>
        <v>0</v>
      </c>
      <c r="AT43" s="5">
        <f>Inputs!AT22</f>
        <v>0</v>
      </c>
      <c r="AU43" s="5">
        <f>Inputs!AU22</f>
        <v>0</v>
      </c>
      <c r="AV43" s="5">
        <f>Inputs!AV22</f>
        <v>0</v>
      </c>
      <c r="AW43" s="5">
        <f>Inputs!AW22</f>
        <v>0</v>
      </c>
      <c r="AX43" s="5">
        <f>Inputs!AX22</f>
        <v>0</v>
      </c>
    </row>
    <row r="44" spans="1:52" s="186" customFormat="1" ht="15" customHeight="1">
      <c r="A44" s="226"/>
      <c r="B44" s="5"/>
      <c r="C44" s="5"/>
      <c r="D44" s="5"/>
      <c r="E44" s="5" t="s">
        <v>313</v>
      </c>
      <c r="F44" s="5"/>
      <c r="G44" s="17" t="str">
        <f>CONCATENATE(Inputs!$I$9,"m nominal prices")</f>
        <v>£m nominal prices</v>
      </c>
      <c r="H44" s="5"/>
      <c r="I44" s="24"/>
      <c r="J44" s="6"/>
      <c r="K44" s="5">
        <f>Finance!K155</f>
        <v>0</v>
      </c>
      <c r="L44" s="5">
        <f>Finance!L155</f>
        <v>0</v>
      </c>
      <c r="M44" s="5">
        <f>Finance!M155</f>
        <v>0</v>
      </c>
      <c r="N44" s="5">
        <f>Finance!N155</f>
        <v>0</v>
      </c>
      <c r="O44" s="5">
        <f>Finance!O155</f>
        <v>0</v>
      </c>
      <c r="P44" s="5">
        <f>Finance!P155</f>
        <v>0</v>
      </c>
      <c r="Q44" s="5">
        <f>Finance!Q155</f>
        <v>0</v>
      </c>
      <c r="R44" s="5">
        <f>Finance!R155</f>
        <v>0</v>
      </c>
      <c r="S44" s="5">
        <f>Finance!S155</f>
        <v>0</v>
      </c>
      <c r="T44" s="5">
        <f>Finance!T155</f>
        <v>0</v>
      </c>
      <c r="U44" s="5">
        <f>Finance!U155</f>
        <v>0</v>
      </c>
      <c r="V44" s="5">
        <f>Finance!V155</f>
        <v>0</v>
      </c>
      <c r="W44" s="5">
        <f>Finance!W155</f>
        <v>0</v>
      </c>
      <c r="X44" s="5">
        <f>Finance!X155</f>
        <v>0</v>
      </c>
      <c r="Y44" s="5">
        <f>Finance!Y155</f>
        <v>0</v>
      </c>
      <c r="Z44" s="5">
        <f>Finance!Z155</f>
        <v>0</v>
      </c>
      <c r="AA44" s="5">
        <f>Finance!AA155</f>
        <v>0</v>
      </c>
      <c r="AB44" s="5">
        <f>Finance!AB155</f>
        <v>0</v>
      </c>
      <c r="AC44" s="5">
        <f>Finance!AC155</f>
        <v>0</v>
      </c>
      <c r="AD44" s="5">
        <f>Finance!AD155</f>
        <v>0</v>
      </c>
      <c r="AE44" s="5">
        <f>Finance!AE155</f>
        <v>0</v>
      </c>
      <c r="AF44" s="5">
        <f>Finance!AF155</f>
        <v>0</v>
      </c>
      <c r="AG44" s="5">
        <f>Finance!AG155</f>
        <v>0</v>
      </c>
      <c r="AH44" s="5">
        <f>Finance!AH155</f>
        <v>0</v>
      </c>
      <c r="AI44" s="5">
        <f>Finance!AI155</f>
        <v>0</v>
      </c>
      <c r="AJ44" s="5">
        <f>Finance!AJ155</f>
        <v>0</v>
      </c>
      <c r="AK44" s="5">
        <f>Finance!AK155</f>
        <v>0</v>
      </c>
      <c r="AL44" s="5">
        <f>Finance!AL155</f>
        <v>0</v>
      </c>
      <c r="AM44" s="5">
        <f>Finance!AM155</f>
        <v>0</v>
      </c>
      <c r="AN44" s="5">
        <f>Finance!AN155</f>
        <v>0</v>
      </c>
      <c r="AO44" s="5">
        <f>Finance!AO155</f>
        <v>0</v>
      </c>
      <c r="AP44" s="5">
        <f>Finance!AP155</f>
        <v>0</v>
      </c>
      <c r="AQ44" s="5">
        <f>Finance!AQ155</f>
        <v>0</v>
      </c>
      <c r="AR44" s="5">
        <f>Finance!AR155</f>
        <v>0</v>
      </c>
      <c r="AS44" s="5">
        <f>Finance!AS155</f>
        <v>0</v>
      </c>
      <c r="AT44" s="5">
        <f>Finance!AT155</f>
        <v>0</v>
      </c>
      <c r="AU44" s="5">
        <f>Finance!AU155</f>
        <v>0</v>
      </c>
      <c r="AV44" s="5">
        <f>Finance!AV155</f>
        <v>0</v>
      </c>
      <c r="AW44" s="5">
        <f>Finance!AW155</f>
        <v>0</v>
      </c>
      <c r="AX44" s="5">
        <f>Finance!AX155</f>
        <v>0</v>
      </c>
    </row>
    <row r="45" spans="1:52" s="186" customFormat="1" ht="15" customHeight="1">
      <c r="A45" s="226"/>
      <c r="B45" s="5"/>
      <c r="C45" s="5"/>
      <c r="D45" s="5"/>
      <c r="E45" s="16" t="s">
        <v>314</v>
      </c>
      <c r="F45" s="5"/>
      <c r="G45" s="17" t="str">
        <f>CONCATENATE(Inputs!$I$9,"m nominal prices")</f>
        <v>£m nominal prices</v>
      </c>
      <c r="H45" s="5"/>
      <c r="I45" s="24"/>
      <c r="J45" s="6"/>
      <c r="K45" s="5">
        <f>Finance!K114</f>
        <v>0</v>
      </c>
      <c r="L45" s="5">
        <f>Finance!L114</f>
        <v>0</v>
      </c>
      <c r="M45" s="5">
        <f>Finance!M114</f>
        <v>0</v>
      </c>
      <c r="N45" s="5">
        <f>Finance!N114</f>
        <v>0</v>
      </c>
      <c r="O45" s="5">
        <f>Finance!O114</f>
        <v>0</v>
      </c>
      <c r="P45" s="5">
        <f>Finance!P114</f>
        <v>0</v>
      </c>
      <c r="Q45" s="5">
        <f>Finance!Q114</f>
        <v>0</v>
      </c>
      <c r="R45" s="5">
        <f>Finance!R114</f>
        <v>0</v>
      </c>
      <c r="S45" s="5">
        <f>Finance!S114</f>
        <v>8.7940213054956544</v>
      </c>
      <c r="T45" s="5">
        <f>Finance!T114</f>
        <v>7.7933154792783546</v>
      </c>
      <c r="U45" s="5">
        <f>Finance!U114</f>
        <v>7.7933154792783546</v>
      </c>
      <c r="V45" s="5">
        <f>Finance!V114</f>
        <v>7.7933154792783546</v>
      </c>
      <c r="W45" s="5">
        <f>Finance!W114</f>
        <v>0</v>
      </c>
      <c r="X45" s="5">
        <f>Finance!X114</f>
        <v>0</v>
      </c>
      <c r="Y45" s="5">
        <f>Finance!Y114</f>
        <v>0</v>
      </c>
      <c r="Z45" s="5">
        <f>Finance!Z114</f>
        <v>0</v>
      </c>
      <c r="AA45" s="5">
        <f>Finance!AA114</f>
        <v>0</v>
      </c>
      <c r="AB45" s="5">
        <f>Finance!AB114</f>
        <v>0</v>
      </c>
      <c r="AC45" s="5">
        <f>Finance!AC114</f>
        <v>0</v>
      </c>
      <c r="AD45" s="5">
        <f>Finance!AD114</f>
        <v>0</v>
      </c>
      <c r="AE45" s="5">
        <f>Finance!AE114</f>
        <v>0</v>
      </c>
      <c r="AF45" s="5">
        <f>Finance!AF114</f>
        <v>0</v>
      </c>
      <c r="AG45" s="5">
        <f>Finance!AG114</f>
        <v>0</v>
      </c>
      <c r="AH45" s="5">
        <f>Finance!AH114</f>
        <v>0</v>
      </c>
      <c r="AI45" s="5">
        <f>Finance!AI114</f>
        <v>0</v>
      </c>
      <c r="AJ45" s="5">
        <f>Finance!AJ114</f>
        <v>0</v>
      </c>
      <c r="AK45" s="5">
        <f>Finance!AK114</f>
        <v>0</v>
      </c>
      <c r="AL45" s="5">
        <f>Finance!AL114</f>
        <v>0</v>
      </c>
      <c r="AM45" s="5">
        <f>Finance!AM114</f>
        <v>0</v>
      </c>
      <c r="AN45" s="5">
        <f>Finance!AN114</f>
        <v>0</v>
      </c>
      <c r="AO45" s="5">
        <f>Finance!AO114</f>
        <v>0</v>
      </c>
      <c r="AP45" s="5">
        <f>Finance!AP114</f>
        <v>0</v>
      </c>
      <c r="AQ45" s="5">
        <f>Finance!AQ114</f>
        <v>0</v>
      </c>
      <c r="AR45" s="5">
        <f>Finance!AR114</f>
        <v>0</v>
      </c>
      <c r="AS45" s="5">
        <f>Finance!AS114</f>
        <v>0</v>
      </c>
      <c r="AT45" s="5">
        <f>Finance!AT114</f>
        <v>0</v>
      </c>
      <c r="AU45" s="5">
        <f>Finance!AU114</f>
        <v>0</v>
      </c>
      <c r="AV45" s="5">
        <f>Finance!AV114</f>
        <v>0</v>
      </c>
      <c r="AW45" s="5">
        <f>Finance!AW114</f>
        <v>0</v>
      </c>
      <c r="AX45" s="5">
        <f>Finance!AX114</f>
        <v>0</v>
      </c>
    </row>
    <row r="46" spans="1:52" s="186" customFormat="1" ht="15" customHeight="1">
      <c r="A46" s="226"/>
      <c r="B46" s="5"/>
      <c r="C46" s="5"/>
      <c r="D46" s="5"/>
      <c r="E46" s="6" t="s">
        <v>315</v>
      </c>
      <c r="F46" s="5"/>
      <c r="G46" s="17" t="str">
        <f>CONCATENATE(Inputs!$I$9,"m nominal prices")</f>
        <v>£m nominal prices</v>
      </c>
      <c r="H46" s="5"/>
      <c r="I46" s="24"/>
      <c r="J46" s="6"/>
      <c r="K46" s="59">
        <f>SUM(K40:K45)</f>
        <v>0</v>
      </c>
      <c r="L46" s="59">
        <f t="shared" ref="L46:AX46" si="16">SUM(L40:L45)</f>
        <v>0</v>
      </c>
      <c r="M46" s="59">
        <f t="shared" si="16"/>
        <v>0</v>
      </c>
      <c r="N46" s="59">
        <f t="shared" si="16"/>
        <v>0</v>
      </c>
      <c r="O46" s="59">
        <f t="shared" si="16"/>
        <v>0</v>
      </c>
      <c r="P46" s="59">
        <f t="shared" si="16"/>
        <v>0</v>
      </c>
      <c r="Q46" s="59">
        <f t="shared" si="16"/>
        <v>0</v>
      </c>
      <c r="R46" s="59">
        <f t="shared" si="16"/>
        <v>0</v>
      </c>
      <c r="S46" s="59">
        <f t="shared" si="16"/>
        <v>25.211999316160629</v>
      </c>
      <c r="T46" s="59">
        <f t="shared" si="16"/>
        <v>107.55782816516539</v>
      </c>
      <c r="U46" s="59">
        <f t="shared" si="16"/>
        <v>186.17382067968776</v>
      </c>
      <c r="V46" s="59">
        <f t="shared" si="16"/>
        <v>258.45945163213355</v>
      </c>
      <c r="W46" s="59">
        <f t="shared" si="16"/>
        <v>268.77670313069461</v>
      </c>
      <c r="X46" s="59">
        <f t="shared" si="16"/>
        <v>0</v>
      </c>
      <c r="Y46" s="59">
        <f t="shared" si="16"/>
        <v>0</v>
      </c>
      <c r="Z46" s="59">
        <f t="shared" si="16"/>
        <v>0</v>
      </c>
      <c r="AA46" s="59">
        <f t="shared" si="16"/>
        <v>0</v>
      </c>
      <c r="AB46" s="59">
        <f t="shared" si="16"/>
        <v>0</v>
      </c>
      <c r="AC46" s="59">
        <f t="shared" si="16"/>
        <v>0</v>
      </c>
      <c r="AD46" s="59">
        <f t="shared" si="16"/>
        <v>0</v>
      </c>
      <c r="AE46" s="59">
        <f t="shared" si="16"/>
        <v>0</v>
      </c>
      <c r="AF46" s="59">
        <f t="shared" si="16"/>
        <v>0</v>
      </c>
      <c r="AG46" s="59">
        <f t="shared" si="16"/>
        <v>0</v>
      </c>
      <c r="AH46" s="59">
        <f t="shared" si="16"/>
        <v>0</v>
      </c>
      <c r="AI46" s="59">
        <f t="shared" si="16"/>
        <v>0</v>
      </c>
      <c r="AJ46" s="59">
        <f t="shared" si="16"/>
        <v>0</v>
      </c>
      <c r="AK46" s="59">
        <f t="shared" si="16"/>
        <v>0</v>
      </c>
      <c r="AL46" s="59">
        <f t="shared" si="16"/>
        <v>0</v>
      </c>
      <c r="AM46" s="59">
        <f t="shared" si="16"/>
        <v>0</v>
      </c>
      <c r="AN46" s="59">
        <f t="shared" si="16"/>
        <v>0</v>
      </c>
      <c r="AO46" s="59">
        <f t="shared" si="16"/>
        <v>0</v>
      </c>
      <c r="AP46" s="59">
        <f t="shared" si="16"/>
        <v>0</v>
      </c>
      <c r="AQ46" s="59">
        <f t="shared" si="16"/>
        <v>0</v>
      </c>
      <c r="AR46" s="59">
        <f t="shared" si="16"/>
        <v>0</v>
      </c>
      <c r="AS46" s="59">
        <f t="shared" si="16"/>
        <v>0</v>
      </c>
      <c r="AT46" s="59">
        <f t="shared" si="16"/>
        <v>0</v>
      </c>
      <c r="AU46" s="59">
        <f t="shared" si="16"/>
        <v>0</v>
      </c>
      <c r="AV46" s="59">
        <f t="shared" si="16"/>
        <v>0</v>
      </c>
      <c r="AW46" s="59">
        <f t="shared" si="16"/>
        <v>0</v>
      </c>
      <c r="AX46" s="59">
        <f t="shared" si="16"/>
        <v>0</v>
      </c>
    </row>
    <row r="47" spans="1:52" s="186" customFormat="1" ht="15" customHeight="1">
      <c r="A47" s="226"/>
      <c r="B47" s="5"/>
      <c r="C47" s="5"/>
      <c r="D47" s="5"/>
      <c r="E47" s="6" t="s">
        <v>316</v>
      </c>
      <c r="F47" s="5"/>
      <c r="G47" s="17" t="str">
        <f>CONCATENATE(Inputs!$I$9,"m nominal prices")</f>
        <v>£m nominal prices</v>
      </c>
      <c r="H47" s="5"/>
      <c r="I47" s="24"/>
      <c r="J47" s="6"/>
      <c r="K47" s="5">
        <f>-K46*K12</f>
        <v>0</v>
      </c>
      <c r="L47" s="5">
        <f t="shared" ref="L47:AX47" si="17">-L46*L12</f>
        <v>0</v>
      </c>
      <c r="M47" s="5">
        <f t="shared" si="17"/>
        <v>0</v>
      </c>
      <c r="N47" s="5">
        <f t="shared" si="17"/>
        <v>0</v>
      </c>
      <c r="O47" s="5">
        <f t="shared" si="17"/>
        <v>0</v>
      </c>
      <c r="P47" s="5">
        <f t="shared" si="17"/>
        <v>0</v>
      </c>
      <c r="Q47" s="5">
        <f t="shared" si="17"/>
        <v>0</v>
      </c>
      <c r="R47" s="5">
        <f t="shared" si="17"/>
        <v>0</v>
      </c>
      <c r="S47" s="5">
        <f t="shared" si="17"/>
        <v>0</v>
      </c>
      <c r="T47" s="5">
        <f t="shared" si="17"/>
        <v>0</v>
      </c>
      <c r="U47" s="5">
        <f t="shared" si="17"/>
        <v>0</v>
      </c>
      <c r="V47" s="5">
        <f t="shared" si="17"/>
        <v>0</v>
      </c>
      <c r="W47" s="5">
        <f>-W46*W12</f>
        <v>-268.77670313069461</v>
      </c>
      <c r="X47" s="5">
        <f t="shared" si="17"/>
        <v>0</v>
      </c>
      <c r="Y47" s="5">
        <f t="shared" si="17"/>
        <v>0</v>
      </c>
      <c r="Z47" s="5">
        <f t="shared" si="17"/>
        <v>0</v>
      </c>
      <c r="AA47" s="5">
        <f t="shared" si="17"/>
        <v>0</v>
      </c>
      <c r="AB47" s="5">
        <f t="shared" si="17"/>
        <v>0</v>
      </c>
      <c r="AC47" s="5">
        <f t="shared" si="17"/>
        <v>0</v>
      </c>
      <c r="AD47" s="5">
        <f t="shared" si="17"/>
        <v>0</v>
      </c>
      <c r="AE47" s="5">
        <f t="shared" si="17"/>
        <v>0</v>
      </c>
      <c r="AF47" s="5">
        <f t="shared" si="17"/>
        <v>0</v>
      </c>
      <c r="AG47" s="5">
        <f t="shared" si="17"/>
        <v>0</v>
      </c>
      <c r="AH47" s="5">
        <f t="shared" si="17"/>
        <v>0</v>
      </c>
      <c r="AI47" s="5">
        <f t="shared" si="17"/>
        <v>0</v>
      </c>
      <c r="AJ47" s="5">
        <f t="shared" si="17"/>
        <v>0</v>
      </c>
      <c r="AK47" s="5">
        <f t="shared" si="17"/>
        <v>0</v>
      </c>
      <c r="AL47" s="5">
        <f t="shared" si="17"/>
        <v>0</v>
      </c>
      <c r="AM47" s="5">
        <f t="shared" si="17"/>
        <v>0</v>
      </c>
      <c r="AN47" s="5">
        <f t="shared" si="17"/>
        <v>0</v>
      </c>
      <c r="AO47" s="5">
        <f t="shared" si="17"/>
        <v>0</v>
      </c>
      <c r="AP47" s="5">
        <f t="shared" si="17"/>
        <v>0</v>
      </c>
      <c r="AQ47" s="5">
        <f t="shared" si="17"/>
        <v>0</v>
      </c>
      <c r="AR47" s="5">
        <f t="shared" si="17"/>
        <v>0</v>
      </c>
      <c r="AS47" s="5">
        <f t="shared" si="17"/>
        <v>0</v>
      </c>
      <c r="AT47" s="5">
        <f t="shared" si="17"/>
        <v>0</v>
      </c>
      <c r="AU47" s="5">
        <f t="shared" si="17"/>
        <v>0</v>
      </c>
      <c r="AV47" s="5">
        <f t="shared" si="17"/>
        <v>0</v>
      </c>
      <c r="AW47" s="5">
        <f t="shared" si="17"/>
        <v>0</v>
      </c>
      <c r="AX47" s="5">
        <f t="shared" si="17"/>
        <v>0</v>
      </c>
    </row>
    <row r="48" spans="1:52" s="186" customFormat="1" ht="13.15">
      <c r="A48" s="226"/>
      <c r="B48" s="5"/>
      <c r="C48" s="5"/>
      <c r="D48" s="5"/>
      <c r="E48" s="99" t="s">
        <v>317</v>
      </c>
      <c r="F48" s="5"/>
      <c r="G48" s="17" t="str">
        <f>CONCATENATE(Inputs!$I$9,"m nominal prices")</f>
        <v>£m nominal prices</v>
      </c>
      <c r="H48" s="5"/>
      <c r="I48" s="24"/>
      <c r="J48" s="6"/>
      <c r="K48" s="59">
        <f t="shared" ref="K48:T48" si="18">SUM(K46:K47)</f>
        <v>0</v>
      </c>
      <c r="L48" s="59">
        <f t="shared" si="18"/>
        <v>0</v>
      </c>
      <c r="M48" s="59">
        <f t="shared" si="18"/>
        <v>0</v>
      </c>
      <c r="N48" s="59">
        <f t="shared" si="18"/>
        <v>0</v>
      </c>
      <c r="O48" s="59">
        <f t="shared" si="18"/>
        <v>0</v>
      </c>
      <c r="P48" s="59">
        <f t="shared" si="18"/>
        <v>0</v>
      </c>
      <c r="Q48" s="59">
        <f t="shared" si="18"/>
        <v>0</v>
      </c>
      <c r="R48" s="59">
        <f t="shared" si="18"/>
        <v>0</v>
      </c>
      <c r="S48" s="59">
        <f t="shared" si="18"/>
        <v>25.211999316160629</v>
      </c>
      <c r="T48" s="59">
        <f t="shared" si="18"/>
        <v>107.55782816516539</v>
      </c>
      <c r="U48" s="59">
        <f>SUM(U46:U47)</f>
        <v>186.17382067968776</v>
      </c>
      <c r="V48" s="59">
        <f t="shared" ref="V48:AX48" si="19">SUM(V46:V47)</f>
        <v>258.45945163213355</v>
      </c>
      <c r="W48" s="59">
        <f t="shared" si="19"/>
        <v>0</v>
      </c>
      <c r="X48" s="59">
        <f t="shared" si="19"/>
        <v>0</v>
      </c>
      <c r="Y48" s="59">
        <f t="shared" si="19"/>
        <v>0</v>
      </c>
      <c r="Z48" s="59">
        <f t="shared" si="19"/>
        <v>0</v>
      </c>
      <c r="AA48" s="59">
        <f t="shared" si="19"/>
        <v>0</v>
      </c>
      <c r="AB48" s="59">
        <f t="shared" si="19"/>
        <v>0</v>
      </c>
      <c r="AC48" s="59">
        <f t="shared" si="19"/>
        <v>0</v>
      </c>
      <c r="AD48" s="59">
        <f t="shared" si="19"/>
        <v>0</v>
      </c>
      <c r="AE48" s="59">
        <f t="shared" si="19"/>
        <v>0</v>
      </c>
      <c r="AF48" s="59">
        <f t="shared" si="19"/>
        <v>0</v>
      </c>
      <c r="AG48" s="59">
        <f t="shared" si="19"/>
        <v>0</v>
      </c>
      <c r="AH48" s="59">
        <f t="shared" si="19"/>
        <v>0</v>
      </c>
      <c r="AI48" s="59">
        <f t="shared" si="19"/>
        <v>0</v>
      </c>
      <c r="AJ48" s="59">
        <f t="shared" si="19"/>
        <v>0</v>
      </c>
      <c r="AK48" s="59">
        <f t="shared" si="19"/>
        <v>0</v>
      </c>
      <c r="AL48" s="59">
        <f t="shared" si="19"/>
        <v>0</v>
      </c>
      <c r="AM48" s="59">
        <f t="shared" si="19"/>
        <v>0</v>
      </c>
      <c r="AN48" s="59">
        <f t="shared" si="19"/>
        <v>0</v>
      </c>
      <c r="AO48" s="59">
        <f t="shared" si="19"/>
        <v>0</v>
      </c>
      <c r="AP48" s="59">
        <f t="shared" si="19"/>
        <v>0</v>
      </c>
      <c r="AQ48" s="59">
        <f t="shared" si="19"/>
        <v>0</v>
      </c>
      <c r="AR48" s="59">
        <f t="shared" si="19"/>
        <v>0</v>
      </c>
      <c r="AS48" s="59">
        <f t="shared" si="19"/>
        <v>0</v>
      </c>
      <c r="AT48" s="59">
        <f t="shared" si="19"/>
        <v>0</v>
      </c>
      <c r="AU48" s="59">
        <f t="shared" si="19"/>
        <v>0</v>
      </c>
      <c r="AV48" s="59">
        <f t="shared" si="19"/>
        <v>0</v>
      </c>
      <c r="AW48" s="59">
        <f t="shared" si="19"/>
        <v>0</v>
      </c>
      <c r="AX48" s="59">
        <f t="shared" si="19"/>
        <v>0</v>
      </c>
    </row>
    <row r="49" spans="1:52" ht="15" customHeight="1">
      <c r="A49" s="220"/>
      <c r="B49" s="5"/>
      <c r="C49" s="5"/>
      <c r="D49" s="5"/>
      <c r="E49" s="5"/>
      <c r="F49" s="5"/>
      <c r="G49" s="5"/>
      <c r="H49" s="5"/>
      <c r="I49" s="24"/>
      <c r="J49" s="6"/>
      <c r="K49" s="6"/>
      <c r="L49" s="6"/>
      <c r="M49" s="6"/>
      <c r="N49" s="6"/>
      <c r="O49" s="6"/>
      <c r="P49" s="6"/>
      <c r="Q49" s="6"/>
      <c r="R49" s="6"/>
      <c r="S49" s="5"/>
      <c r="T49" s="5"/>
      <c r="U49" s="5"/>
      <c r="V49" s="5"/>
      <c r="W49" s="5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Z49"/>
    </row>
    <row r="50" spans="1:52" ht="15" customHeight="1">
      <c r="A50" s="220"/>
      <c r="B50" s="5"/>
      <c r="C50" s="10" t="s">
        <v>318</v>
      </c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Z50"/>
    </row>
    <row r="51" spans="1:52" ht="15" customHeight="1">
      <c r="A51" s="220"/>
      <c r="B51" s="5"/>
      <c r="C51" s="3" t="s">
        <v>319</v>
      </c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Z51"/>
    </row>
    <row r="52" spans="1:52" ht="15" customHeight="1">
      <c r="A52" s="220"/>
      <c r="B52" s="5"/>
      <c r="C52" s="5"/>
      <c r="D52" s="5"/>
      <c r="E52" s="5"/>
      <c r="F52" s="5"/>
      <c r="G52" s="5"/>
      <c r="H52" s="5"/>
      <c r="I52" s="24"/>
      <c r="J52" s="6"/>
      <c r="K52" s="6"/>
      <c r="L52" s="6"/>
      <c r="M52" s="6"/>
      <c r="N52" s="6"/>
      <c r="O52" s="6"/>
      <c r="P52" s="6"/>
      <c r="Q52" s="6"/>
      <c r="R52" s="6"/>
      <c r="S52" s="5"/>
      <c r="T52" s="5"/>
      <c r="U52" s="5"/>
      <c r="V52" s="5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Z52"/>
    </row>
    <row r="53" spans="1:52" ht="15" customHeight="1">
      <c r="A53" s="222"/>
      <c r="B53" s="5"/>
      <c r="C53" s="5"/>
      <c r="D53" s="5"/>
      <c r="E53" s="5" t="s">
        <v>320</v>
      </c>
      <c r="F53" s="5"/>
      <c r="G53" s="4" t="str">
        <f>CONCATENATE(Inputs!$I$9,"m nominal prices")</f>
        <v>£m nominal prices</v>
      </c>
      <c r="H53" s="5"/>
      <c r="I53" s="24"/>
      <c r="J53" s="6"/>
      <c r="K53" s="5">
        <f t="shared" ref="K53:AX53" si="20">SUM(K41:K45)</f>
        <v>0</v>
      </c>
      <c r="L53" s="5">
        <f t="shared" si="20"/>
        <v>0</v>
      </c>
      <c r="M53" s="5">
        <f t="shared" si="20"/>
        <v>0</v>
      </c>
      <c r="N53" s="5">
        <f t="shared" si="20"/>
        <v>0</v>
      </c>
      <c r="O53" s="5">
        <f t="shared" si="20"/>
        <v>0</v>
      </c>
      <c r="P53" s="5">
        <f t="shared" si="20"/>
        <v>0</v>
      </c>
      <c r="Q53" s="5">
        <f t="shared" si="20"/>
        <v>0</v>
      </c>
      <c r="R53" s="5">
        <f t="shared" si="20"/>
        <v>0</v>
      </c>
      <c r="S53" s="5">
        <f>SUM(S41:S45)</f>
        <v>25.211999316160629</v>
      </c>
      <c r="T53" s="5">
        <f t="shared" si="20"/>
        <v>82.345828849004761</v>
      </c>
      <c r="U53" s="5">
        <f t="shared" si="20"/>
        <v>78.615992514522347</v>
      </c>
      <c r="V53" s="5">
        <f t="shared" si="20"/>
        <v>72.285630952445771</v>
      </c>
      <c r="W53" s="5">
        <f t="shared" si="20"/>
        <v>10.317251498561069</v>
      </c>
      <c r="X53" s="5">
        <f t="shared" si="20"/>
        <v>0</v>
      </c>
      <c r="Y53" s="5">
        <f t="shared" si="20"/>
        <v>0</v>
      </c>
      <c r="Z53" s="5">
        <f t="shared" si="20"/>
        <v>0</v>
      </c>
      <c r="AA53" s="5">
        <f t="shared" si="20"/>
        <v>0</v>
      </c>
      <c r="AB53" s="5">
        <f t="shared" si="20"/>
        <v>0</v>
      </c>
      <c r="AC53" s="5">
        <f t="shared" si="20"/>
        <v>0</v>
      </c>
      <c r="AD53" s="5">
        <f t="shared" si="20"/>
        <v>0</v>
      </c>
      <c r="AE53" s="5">
        <f t="shared" si="20"/>
        <v>0</v>
      </c>
      <c r="AF53" s="5">
        <f t="shared" si="20"/>
        <v>0</v>
      </c>
      <c r="AG53" s="5">
        <f t="shared" si="20"/>
        <v>0</v>
      </c>
      <c r="AH53" s="5">
        <f t="shared" si="20"/>
        <v>0</v>
      </c>
      <c r="AI53" s="5">
        <f t="shared" si="20"/>
        <v>0</v>
      </c>
      <c r="AJ53" s="5">
        <f t="shared" si="20"/>
        <v>0</v>
      </c>
      <c r="AK53" s="5">
        <f t="shared" si="20"/>
        <v>0</v>
      </c>
      <c r="AL53" s="5">
        <f t="shared" si="20"/>
        <v>0</v>
      </c>
      <c r="AM53" s="5">
        <f t="shared" si="20"/>
        <v>0</v>
      </c>
      <c r="AN53" s="5">
        <f t="shared" si="20"/>
        <v>0</v>
      </c>
      <c r="AO53" s="5">
        <f t="shared" si="20"/>
        <v>0</v>
      </c>
      <c r="AP53" s="5">
        <f t="shared" si="20"/>
        <v>0</v>
      </c>
      <c r="AQ53" s="5">
        <f t="shared" si="20"/>
        <v>0</v>
      </c>
      <c r="AR53" s="5">
        <f t="shared" si="20"/>
        <v>0</v>
      </c>
      <c r="AS53" s="5">
        <f t="shared" si="20"/>
        <v>0</v>
      </c>
      <c r="AT53" s="5">
        <f t="shared" si="20"/>
        <v>0</v>
      </c>
      <c r="AU53" s="5">
        <f t="shared" si="20"/>
        <v>0</v>
      </c>
      <c r="AV53" s="5">
        <f t="shared" si="20"/>
        <v>0</v>
      </c>
      <c r="AW53" s="5">
        <f t="shared" si="20"/>
        <v>0</v>
      </c>
      <c r="AX53" s="5">
        <f t="shared" si="20"/>
        <v>0</v>
      </c>
      <c r="AZ53"/>
    </row>
    <row r="54" spans="1:52" ht="15" customHeight="1">
      <c r="A54" s="222"/>
      <c r="B54" s="5"/>
      <c r="C54" s="5"/>
      <c r="D54" s="5"/>
      <c r="E54" s="5" t="s">
        <v>321</v>
      </c>
      <c r="F54" s="5"/>
      <c r="G54" s="4" t="str">
        <f>CONCATENATE(Inputs!$I$9,"m nominal prices")</f>
        <v>£m nominal prices</v>
      </c>
      <c r="H54" s="5"/>
      <c r="I54" s="24"/>
      <c r="J54" s="6"/>
      <c r="K54" s="43">
        <v>0</v>
      </c>
      <c r="L54" s="43">
        <v>0</v>
      </c>
      <c r="M54" s="43">
        <v>0</v>
      </c>
      <c r="N54" s="43">
        <v>0</v>
      </c>
      <c r="O54" s="5">
        <v>0</v>
      </c>
      <c r="P54" s="5">
        <v>0</v>
      </c>
      <c r="Q54" s="5">
        <v>0</v>
      </c>
      <c r="R54" s="5">
        <v>0</v>
      </c>
      <c r="S54" s="5">
        <v>25.211999316160629</v>
      </c>
      <c r="T54" s="5">
        <v>82.345828849004761</v>
      </c>
      <c r="U54" s="5">
        <v>78.615992514522347</v>
      </c>
      <c r="V54" s="5">
        <v>72.285630952445771</v>
      </c>
      <c r="W54" s="5">
        <v>10.317251498561069</v>
      </c>
      <c r="X54" s="43">
        <v>0</v>
      </c>
      <c r="Y54" s="43">
        <v>0</v>
      </c>
      <c r="Z54" s="43">
        <v>0</v>
      </c>
      <c r="AA54" s="43">
        <v>0</v>
      </c>
      <c r="AB54" s="43">
        <v>0</v>
      </c>
      <c r="AC54" s="43">
        <v>0</v>
      </c>
      <c r="AD54" s="43">
        <v>0</v>
      </c>
      <c r="AE54" s="43">
        <v>0</v>
      </c>
      <c r="AF54" s="43">
        <v>0</v>
      </c>
      <c r="AG54" s="43">
        <v>0</v>
      </c>
      <c r="AH54" s="43">
        <v>0</v>
      </c>
      <c r="AI54" s="43">
        <v>0</v>
      </c>
      <c r="AJ54" s="43">
        <v>0</v>
      </c>
      <c r="AK54" s="43">
        <v>0</v>
      </c>
      <c r="AL54" s="43">
        <v>0</v>
      </c>
      <c r="AM54" s="43">
        <v>0</v>
      </c>
      <c r="AN54" s="43">
        <v>0</v>
      </c>
      <c r="AO54" s="43">
        <v>0</v>
      </c>
      <c r="AP54" s="43">
        <v>0</v>
      </c>
      <c r="AQ54" s="43">
        <v>0</v>
      </c>
      <c r="AR54" s="43">
        <v>0</v>
      </c>
      <c r="AS54" s="43">
        <v>0</v>
      </c>
      <c r="AT54" s="43">
        <v>0</v>
      </c>
      <c r="AU54" s="43">
        <v>0</v>
      </c>
      <c r="AV54" s="43">
        <v>0</v>
      </c>
      <c r="AW54" s="43">
        <v>0</v>
      </c>
      <c r="AX54" s="43">
        <v>0</v>
      </c>
      <c r="AZ54"/>
    </row>
    <row r="55" spans="1:52" ht="15" customHeight="1">
      <c r="A55" s="222"/>
      <c r="B55" s="5"/>
      <c r="C55" s="5"/>
      <c r="D55" s="5"/>
      <c r="E55" s="5"/>
      <c r="F55" s="5"/>
      <c r="H55" s="5"/>
      <c r="I55" s="24"/>
      <c r="J55" s="6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43"/>
      <c r="AI55" s="43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43"/>
      <c r="AU55" s="43"/>
      <c r="AV55" s="43"/>
      <c r="AW55" s="43"/>
      <c r="AX55" s="43"/>
      <c r="AZ55"/>
    </row>
    <row r="56" spans="1:52" s="206" customFormat="1" ht="15" customHeight="1">
      <c r="A56" s="227"/>
      <c r="B56" s="187"/>
      <c r="C56" s="187"/>
      <c r="D56" s="187"/>
      <c r="E56" s="187" t="s">
        <v>322</v>
      </c>
      <c r="F56" s="187"/>
      <c r="G56" s="31" t="str">
        <f>CONCATENATE(Inputs!$I$9,"m nominal prices")</f>
        <v>£m nominal prices</v>
      </c>
      <c r="H56" s="187"/>
      <c r="I56" s="207"/>
      <c r="J56" s="181"/>
      <c r="K56" s="187">
        <f>ABS(K53-K54)</f>
        <v>0</v>
      </c>
      <c r="L56" s="187">
        <f t="shared" ref="L56:AX56" si="21">ABS(L53-L54)</f>
        <v>0</v>
      </c>
      <c r="M56" s="187">
        <f t="shared" si="21"/>
        <v>0</v>
      </c>
      <c r="N56" s="187">
        <f t="shared" si="21"/>
        <v>0</v>
      </c>
      <c r="O56" s="187">
        <f t="shared" si="21"/>
        <v>0</v>
      </c>
      <c r="P56" s="187">
        <f t="shared" si="21"/>
        <v>0</v>
      </c>
      <c r="Q56" s="187">
        <f t="shared" si="21"/>
        <v>0</v>
      </c>
      <c r="R56" s="187">
        <f t="shared" si="21"/>
        <v>0</v>
      </c>
      <c r="S56" s="187">
        <f t="shared" si="21"/>
        <v>0</v>
      </c>
      <c r="T56" s="187">
        <f t="shared" si="21"/>
        <v>0</v>
      </c>
      <c r="U56" s="187">
        <f t="shared" si="21"/>
        <v>0</v>
      </c>
      <c r="V56" s="187">
        <f t="shared" si="21"/>
        <v>0</v>
      </c>
      <c r="W56" s="187">
        <f t="shared" si="21"/>
        <v>0</v>
      </c>
      <c r="X56" s="187">
        <f t="shared" si="21"/>
        <v>0</v>
      </c>
      <c r="Y56" s="187">
        <f t="shared" si="21"/>
        <v>0</v>
      </c>
      <c r="Z56" s="187">
        <f t="shared" si="21"/>
        <v>0</v>
      </c>
      <c r="AA56" s="187">
        <f t="shared" si="21"/>
        <v>0</v>
      </c>
      <c r="AB56" s="187">
        <f t="shared" si="21"/>
        <v>0</v>
      </c>
      <c r="AC56" s="187">
        <f t="shared" si="21"/>
        <v>0</v>
      </c>
      <c r="AD56" s="187">
        <f t="shared" si="21"/>
        <v>0</v>
      </c>
      <c r="AE56" s="187">
        <f t="shared" si="21"/>
        <v>0</v>
      </c>
      <c r="AF56" s="187">
        <f t="shared" si="21"/>
        <v>0</v>
      </c>
      <c r="AG56" s="187">
        <f t="shared" si="21"/>
        <v>0</v>
      </c>
      <c r="AH56" s="187">
        <f t="shared" si="21"/>
        <v>0</v>
      </c>
      <c r="AI56" s="187">
        <f t="shared" si="21"/>
        <v>0</v>
      </c>
      <c r="AJ56" s="187">
        <f t="shared" si="21"/>
        <v>0</v>
      </c>
      <c r="AK56" s="187">
        <f t="shared" si="21"/>
        <v>0</v>
      </c>
      <c r="AL56" s="187">
        <f t="shared" si="21"/>
        <v>0</v>
      </c>
      <c r="AM56" s="187">
        <f t="shared" si="21"/>
        <v>0</v>
      </c>
      <c r="AN56" s="187">
        <f t="shared" si="21"/>
        <v>0</v>
      </c>
      <c r="AO56" s="187">
        <f t="shared" si="21"/>
        <v>0</v>
      </c>
      <c r="AP56" s="187">
        <f t="shared" si="21"/>
        <v>0</v>
      </c>
      <c r="AQ56" s="187">
        <f t="shared" si="21"/>
        <v>0</v>
      </c>
      <c r="AR56" s="187">
        <f t="shared" si="21"/>
        <v>0</v>
      </c>
      <c r="AS56" s="187">
        <f t="shared" si="21"/>
        <v>0</v>
      </c>
      <c r="AT56" s="187">
        <f t="shared" si="21"/>
        <v>0</v>
      </c>
      <c r="AU56" s="187">
        <f t="shared" si="21"/>
        <v>0</v>
      </c>
      <c r="AV56" s="187">
        <f t="shared" si="21"/>
        <v>0</v>
      </c>
      <c r="AW56" s="187">
        <f t="shared" si="21"/>
        <v>0</v>
      </c>
      <c r="AX56" s="187">
        <f t="shared" si="21"/>
        <v>0</v>
      </c>
    </row>
    <row r="57" spans="1:52" s="206" customFormat="1" ht="15" customHeight="1">
      <c r="A57" s="228"/>
      <c r="B57" s="187"/>
      <c r="C57" s="187"/>
      <c r="D57" s="187"/>
      <c r="E57" s="187" t="s">
        <v>323</v>
      </c>
      <c r="F57" s="187"/>
      <c r="G57" s="187"/>
      <c r="H57" s="187"/>
      <c r="I57" s="229" t="str">
        <f>IF(SUM(K56:AX56)&lt;0.000001,"OK","Copy-Paste")</f>
        <v>OK</v>
      </c>
      <c r="J57" s="181"/>
      <c r="K57" s="181"/>
      <c r="L57" s="181"/>
      <c r="M57" s="181"/>
      <c r="N57" s="181"/>
      <c r="O57" s="181"/>
      <c r="P57" s="181"/>
      <c r="Q57" s="181"/>
      <c r="R57" s="181"/>
      <c r="S57" s="187"/>
      <c r="T57" s="187"/>
      <c r="U57" s="187"/>
      <c r="V57" s="187"/>
      <c r="W57" s="187"/>
      <c r="X57" s="229"/>
      <c r="Y57" s="229"/>
      <c r="Z57" s="229"/>
      <c r="AA57" s="229"/>
      <c r="AB57" s="229"/>
      <c r="AC57" s="229"/>
      <c r="AD57" s="229"/>
      <c r="AE57" s="229"/>
      <c r="AF57" s="229"/>
      <c r="AG57" s="229"/>
      <c r="AH57" s="229"/>
      <c r="AI57" s="229"/>
      <c r="AJ57" s="229"/>
      <c r="AK57" s="229"/>
      <c r="AL57" s="229"/>
      <c r="AM57" s="229"/>
      <c r="AN57" s="229"/>
      <c r="AO57" s="229"/>
      <c r="AP57" s="229"/>
      <c r="AQ57" s="229"/>
      <c r="AR57" s="229"/>
      <c r="AS57" s="229"/>
      <c r="AT57" s="229"/>
      <c r="AU57" s="229"/>
      <c r="AV57" s="229"/>
      <c r="AW57" s="229"/>
      <c r="AX57" s="229"/>
    </row>
    <row r="58" spans="1:52" ht="15" customHeight="1">
      <c r="A58" s="220"/>
      <c r="B58" s="5"/>
      <c r="C58" s="5"/>
      <c r="D58" s="5"/>
      <c r="E58" s="5"/>
      <c r="F58" s="5"/>
      <c r="G58" s="5"/>
      <c r="H58" s="5"/>
      <c r="I58" s="24"/>
      <c r="J58" s="6"/>
      <c r="K58" s="6"/>
      <c r="L58" s="6"/>
      <c r="M58" s="6"/>
      <c r="N58" s="6"/>
      <c r="O58" s="6"/>
      <c r="P58" s="6"/>
      <c r="Q58" s="6"/>
      <c r="R58" s="6"/>
      <c r="S58" s="5"/>
      <c r="T58" s="5"/>
      <c r="U58" s="5"/>
      <c r="V58" s="5"/>
      <c r="W58" s="5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Z58"/>
    </row>
    <row r="59" spans="1:52" ht="15" customHeight="1">
      <c r="A59" s="5"/>
      <c r="B59" s="267" t="s">
        <v>47</v>
      </c>
      <c r="C59" s="56"/>
      <c r="D59" s="56"/>
      <c r="E59" s="56"/>
      <c r="F59" s="56"/>
      <c r="G59" s="56"/>
      <c r="H59" s="56"/>
      <c r="I59" s="79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6"/>
      <c r="AC59" s="56"/>
      <c r="AD59" s="56"/>
      <c r="AE59" s="56"/>
      <c r="AF59" s="56"/>
      <c r="AG59" s="56"/>
      <c r="AH59" s="56"/>
      <c r="AI59" s="56"/>
      <c r="AJ59" s="56"/>
      <c r="AK59" s="56"/>
      <c r="AL59" s="56"/>
      <c r="AM59" s="56"/>
      <c r="AN59" s="56"/>
      <c r="AO59" s="56"/>
      <c r="AP59" s="56"/>
      <c r="AQ59" s="56"/>
      <c r="AR59" s="56"/>
      <c r="AS59" s="56"/>
      <c r="AT59" s="56"/>
      <c r="AU59" s="56"/>
      <c r="AV59" s="56"/>
      <c r="AW59" s="56"/>
      <c r="AX59" s="56"/>
      <c r="AZ59"/>
    </row>
    <row r="60" spans="1:52" ht="15" customHeight="1">
      <c r="K60" s="40"/>
      <c r="AZ60"/>
    </row>
  </sheetData>
  <conditionalFormatting sqref="I57">
    <cfRule type="cellIs" dxfId="6" priority="1" operator="equal">
      <formula>"Copy-Paste"</formula>
    </cfRule>
  </conditionalFormatting>
  <pageMargins left="0.23622047244094491" right="0.23622047244094491" top="0.74803149606299213" bottom="0.74803149606299213" header="0.31496062992125984" footer="0.31496062992125984"/>
  <pageSetup paperSize="8" scale="43" fitToHeight="0" orientation="landscape" r:id="rId1"/>
  <headerFooter>
    <oddHeader>&amp;C&amp;"Aptos"&amp;10&amp;K000000 OFFICIAL&amp;1#_x000D_</oddHeader>
    <oddFooter>&amp;C_x000D_&amp;1#&amp;"Aptos"&amp;10&amp;K000000 OFFICIAL</oddFooter>
  </headerFooter>
  <ignoredErrors>
    <ignoredError sqref="K35:AX35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3">
    <tabColor theme="7" tint="0.59999389629810485"/>
    <pageSetUpPr fitToPage="1"/>
  </sheetPr>
  <dimension ref="A1:AZ158"/>
  <sheetViews>
    <sheetView zoomScaleNormal="100" workbookViewId="0">
      <pane xSplit="10" ySplit="4" topLeftCell="K72" activePane="bottomRight" state="frozen"/>
      <selection pane="topRight" activeCell="G26" sqref="G26"/>
      <selection pane="bottomLeft" activeCell="G26" sqref="G26"/>
      <selection pane="bottomRight" activeCell="I87" sqref="I87"/>
    </sheetView>
  </sheetViews>
  <sheetFormatPr defaultColWidth="0" defaultRowHeight="15" customHeight="1" zeroHeight="1"/>
  <cols>
    <col min="1" max="4" width="2.5703125" style="4" customWidth="1"/>
    <col min="5" max="5" width="50.5703125" style="4" customWidth="1"/>
    <col min="6" max="6" width="1.5703125" style="4" customWidth="1"/>
    <col min="7" max="7" width="15.5703125" style="4" customWidth="1"/>
    <col min="8" max="8" width="10.7109375" style="4" bestFit="1" customWidth="1"/>
    <col min="9" max="9" width="10.5703125" style="33" customWidth="1"/>
    <col min="10" max="10" width="1.5703125" style="4" customWidth="1"/>
    <col min="11" max="44" width="10.5703125" style="4" customWidth="1"/>
    <col min="45" max="50" width="10.7109375" style="4" customWidth="1"/>
    <col min="51" max="51" width="3.140625" customWidth="1"/>
    <col min="52" max="16384" width="9.140625" hidden="1"/>
  </cols>
  <sheetData>
    <row r="1" spans="1:50" ht="14.25">
      <c r="A1" s="157" t="s">
        <v>28</v>
      </c>
      <c r="B1" s="12"/>
      <c r="C1" s="12"/>
      <c r="D1" s="12"/>
      <c r="E1" s="12"/>
      <c r="F1" s="12"/>
      <c r="G1" s="12"/>
      <c r="H1" s="12" t="s">
        <v>108</v>
      </c>
      <c r="I1" s="21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spans="1:50" ht="15" customHeight="1">
      <c r="A2" s="12"/>
      <c r="B2" s="12"/>
      <c r="C2" s="12"/>
      <c r="D2" s="12"/>
      <c r="E2" s="14" t="s">
        <v>109</v>
      </c>
      <c r="F2" s="14"/>
      <c r="G2" s="14" t="s">
        <v>110</v>
      </c>
      <c r="H2" s="14" t="s">
        <v>111</v>
      </c>
      <c r="I2" s="22" t="s">
        <v>112</v>
      </c>
      <c r="J2" s="15"/>
      <c r="K2" s="14" t="s">
        <v>113</v>
      </c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2"/>
      <c r="AT2" s="12"/>
      <c r="AU2" s="12"/>
      <c r="AV2" s="12"/>
      <c r="AW2" s="12"/>
      <c r="AX2" s="12"/>
    </row>
    <row r="3" spans="1:50" ht="15" customHeight="1">
      <c r="A3" s="12"/>
      <c r="B3" s="12"/>
      <c r="C3" s="12"/>
      <c r="D3" s="12"/>
      <c r="E3" s="8" t="s">
        <v>126</v>
      </c>
      <c r="F3" s="14"/>
      <c r="G3" s="14"/>
      <c r="H3" s="14"/>
      <c r="I3" s="14"/>
      <c r="J3" s="15"/>
      <c r="K3" s="19">
        <f>Inputs!K17</f>
        <v>41275</v>
      </c>
      <c r="L3" s="9">
        <f t="shared" ref="L3:AT3" si="0">+K4+1</f>
        <v>41640</v>
      </c>
      <c r="M3" s="9">
        <f t="shared" si="0"/>
        <v>42005</v>
      </c>
      <c r="N3" s="9">
        <f t="shared" si="0"/>
        <v>42370</v>
      </c>
      <c r="O3" s="9">
        <f t="shared" si="0"/>
        <v>42736</v>
      </c>
      <c r="P3" s="9">
        <f t="shared" si="0"/>
        <v>43101</v>
      </c>
      <c r="Q3" s="9">
        <f t="shared" si="0"/>
        <v>43466</v>
      </c>
      <c r="R3" s="9">
        <f t="shared" si="0"/>
        <v>43831</v>
      </c>
      <c r="S3" s="9">
        <f t="shared" si="0"/>
        <v>44197</v>
      </c>
      <c r="T3" s="9">
        <f t="shared" si="0"/>
        <v>44562</v>
      </c>
      <c r="U3" s="9">
        <f t="shared" si="0"/>
        <v>44927</v>
      </c>
      <c r="V3" s="9">
        <f t="shared" si="0"/>
        <v>45292</v>
      </c>
      <c r="W3" s="9">
        <f t="shared" si="0"/>
        <v>45658</v>
      </c>
      <c r="X3" s="9">
        <f t="shared" si="0"/>
        <v>46023</v>
      </c>
      <c r="Y3" s="9">
        <f t="shared" si="0"/>
        <v>46388</v>
      </c>
      <c r="Z3" s="9">
        <f t="shared" si="0"/>
        <v>46753</v>
      </c>
      <c r="AA3" s="9">
        <f t="shared" si="0"/>
        <v>47119</v>
      </c>
      <c r="AB3" s="9">
        <f t="shared" si="0"/>
        <v>47484</v>
      </c>
      <c r="AC3" s="9">
        <f t="shared" si="0"/>
        <v>47849</v>
      </c>
      <c r="AD3" s="9">
        <f t="shared" si="0"/>
        <v>48214</v>
      </c>
      <c r="AE3" s="9">
        <f t="shared" si="0"/>
        <v>48580</v>
      </c>
      <c r="AF3" s="9">
        <f t="shared" si="0"/>
        <v>48945</v>
      </c>
      <c r="AG3" s="9">
        <f t="shared" si="0"/>
        <v>49310</v>
      </c>
      <c r="AH3" s="9">
        <f t="shared" si="0"/>
        <v>49675</v>
      </c>
      <c r="AI3" s="9">
        <f t="shared" si="0"/>
        <v>50041</v>
      </c>
      <c r="AJ3" s="9">
        <f t="shared" si="0"/>
        <v>50406</v>
      </c>
      <c r="AK3" s="9">
        <f t="shared" si="0"/>
        <v>50771</v>
      </c>
      <c r="AL3" s="9">
        <f t="shared" si="0"/>
        <v>51136</v>
      </c>
      <c r="AM3" s="9">
        <f t="shared" si="0"/>
        <v>51502</v>
      </c>
      <c r="AN3" s="9">
        <f t="shared" si="0"/>
        <v>51867</v>
      </c>
      <c r="AO3" s="9">
        <f t="shared" si="0"/>
        <v>52232</v>
      </c>
      <c r="AP3" s="9">
        <f t="shared" si="0"/>
        <v>52597</v>
      </c>
      <c r="AQ3" s="9">
        <f t="shared" si="0"/>
        <v>52963</v>
      </c>
      <c r="AR3" s="9">
        <f t="shared" si="0"/>
        <v>53328</v>
      </c>
      <c r="AS3" s="9">
        <f t="shared" si="0"/>
        <v>53693</v>
      </c>
      <c r="AT3" s="9">
        <f t="shared" si="0"/>
        <v>54058</v>
      </c>
      <c r="AU3" s="9">
        <f t="shared" ref="AU3" si="1">+AT4+1</f>
        <v>54424</v>
      </c>
      <c r="AV3" s="9">
        <f t="shared" ref="AV3" si="2">+AU4+1</f>
        <v>54789</v>
      </c>
      <c r="AW3" s="9">
        <f t="shared" ref="AW3" si="3">+AV4+1</f>
        <v>55154</v>
      </c>
      <c r="AX3" s="9">
        <f t="shared" ref="AX3" si="4">+AW4+1</f>
        <v>55519</v>
      </c>
    </row>
    <row r="4" spans="1:50" ht="15" customHeight="1">
      <c r="A4" s="8"/>
      <c r="B4" s="8"/>
      <c r="C4" s="8"/>
      <c r="D4" s="8"/>
      <c r="E4" s="8" t="s">
        <v>127</v>
      </c>
      <c r="F4" s="8"/>
      <c r="G4" s="8"/>
      <c r="H4" s="8"/>
      <c r="I4" s="23"/>
      <c r="J4" s="8"/>
      <c r="K4" s="19">
        <f>Inputs!K18</f>
        <v>41639</v>
      </c>
      <c r="L4" s="9">
        <f t="shared" ref="L4:AT4" si="5">DATE(YEAR(K4) + 1, MONTH(K4), DAY(K4))</f>
        <v>42004</v>
      </c>
      <c r="M4" s="9">
        <f t="shared" si="5"/>
        <v>42369</v>
      </c>
      <c r="N4" s="9">
        <f t="shared" si="5"/>
        <v>42735</v>
      </c>
      <c r="O4" s="9">
        <f t="shared" si="5"/>
        <v>43100</v>
      </c>
      <c r="P4" s="9">
        <f t="shared" si="5"/>
        <v>43465</v>
      </c>
      <c r="Q4" s="9">
        <f t="shared" si="5"/>
        <v>43830</v>
      </c>
      <c r="R4" s="9">
        <f t="shared" si="5"/>
        <v>44196</v>
      </c>
      <c r="S4" s="9">
        <f t="shared" si="5"/>
        <v>44561</v>
      </c>
      <c r="T4" s="9">
        <f t="shared" si="5"/>
        <v>44926</v>
      </c>
      <c r="U4" s="9">
        <f t="shared" si="5"/>
        <v>45291</v>
      </c>
      <c r="V4" s="9">
        <f t="shared" si="5"/>
        <v>45657</v>
      </c>
      <c r="W4" s="9">
        <f t="shared" si="5"/>
        <v>46022</v>
      </c>
      <c r="X4" s="9">
        <f t="shared" si="5"/>
        <v>46387</v>
      </c>
      <c r="Y4" s="9">
        <f t="shared" si="5"/>
        <v>46752</v>
      </c>
      <c r="Z4" s="9">
        <f t="shared" si="5"/>
        <v>47118</v>
      </c>
      <c r="AA4" s="9">
        <f t="shared" si="5"/>
        <v>47483</v>
      </c>
      <c r="AB4" s="9">
        <f t="shared" si="5"/>
        <v>47848</v>
      </c>
      <c r="AC4" s="9">
        <f t="shared" si="5"/>
        <v>48213</v>
      </c>
      <c r="AD4" s="9">
        <f t="shared" si="5"/>
        <v>48579</v>
      </c>
      <c r="AE4" s="9">
        <f t="shared" si="5"/>
        <v>48944</v>
      </c>
      <c r="AF4" s="9">
        <f t="shared" si="5"/>
        <v>49309</v>
      </c>
      <c r="AG4" s="9">
        <f t="shared" si="5"/>
        <v>49674</v>
      </c>
      <c r="AH4" s="9">
        <f t="shared" si="5"/>
        <v>50040</v>
      </c>
      <c r="AI4" s="9">
        <f t="shared" si="5"/>
        <v>50405</v>
      </c>
      <c r="AJ4" s="9">
        <f t="shared" si="5"/>
        <v>50770</v>
      </c>
      <c r="AK4" s="9">
        <f t="shared" si="5"/>
        <v>51135</v>
      </c>
      <c r="AL4" s="9">
        <f t="shared" si="5"/>
        <v>51501</v>
      </c>
      <c r="AM4" s="9">
        <f t="shared" si="5"/>
        <v>51866</v>
      </c>
      <c r="AN4" s="9">
        <f t="shared" si="5"/>
        <v>52231</v>
      </c>
      <c r="AO4" s="9">
        <f t="shared" si="5"/>
        <v>52596</v>
      </c>
      <c r="AP4" s="9">
        <f t="shared" si="5"/>
        <v>52962</v>
      </c>
      <c r="AQ4" s="9">
        <f t="shared" si="5"/>
        <v>53327</v>
      </c>
      <c r="AR4" s="9">
        <f t="shared" si="5"/>
        <v>53692</v>
      </c>
      <c r="AS4" s="9">
        <f t="shared" si="5"/>
        <v>54057</v>
      </c>
      <c r="AT4" s="9">
        <f t="shared" si="5"/>
        <v>54423</v>
      </c>
      <c r="AU4" s="9">
        <f t="shared" ref="AU4" si="6">DATE(YEAR(AT4) + 1, MONTH(AT4), DAY(AT4))</f>
        <v>54788</v>
      </c>
      <c r="AV4" s="9">
        <f t="shared" ref="AV4" si="7">DATE(YEAR(AU4) + 1, MONTH(AU4), DAY(AU4))</f>
        <v>55153</v>
      </c>
      <c r="AW4" s="9">
        <f t="shared" ref="AW4" si="8">DATE(YEAR(AV4) + 1, MONTH(AV4), DAY(AV4))</f>
        <v>55518</v>
      </c>
      <c r="AX4" s="9">
        <f t="shared" ref="AX4" si="9">DATE(YEAR(AW4) + 1, MONTH(AW4), DAY(AW4))</f>
        <v>55884</v>
      </c>
    </row>
    <row r="5" spans="1:50" ht="15" customHeight="1">
      <c r="A5" s="5"/>
      <c r="B5" s="5"/>
      <c r="C5" s="5"/>
      <c r="D5" s="5"/>
      <c r="E5" s="5"/>
      <c r="F5" s="5"/>
      <c r="G5" s="5"/>
      <c r="H5" s="5"/>
      <c r="I5" s="24"/>
      <c r="J5" s="6"/>
      <c r="K5" s="6"/>
      <c r="L5" s="6"/>
      <c r="M5" s="6"/>
      <c r="N5" s="6"/>
      <c r="O5" s="6"/>
      <c r="P5" s="6"/>
      <c r="Q5" s="6"/>
      <c r="R5" s="6"/>
      <c r="S5" s="5"/>
      <c r="T5" s="5"/>
      <c r="U5" s="5"/>
      <c r="V5" s="5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</row>
    <row r="6" spans="1:50" ht="15" customHeight="1">
      <c r="A6" s="5"/>
      <c r="B6" s="267" t="s">
        <v>300</v>
      </c>
      <c r="C6" s="56"/>
      <c r="D6" s="56"/>
      <c r="E6" s="56"/>
      <c r="F6" s="56"/>
      <c r="G6" s="56"/>
      <c r="H6" s="56"/>
      <c r="I6" s="79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  <c r="AU6" s="56"/>
      <c r="AV6" s="56"/>
      <c r="AW6" s="56"/>
      <c r="AX6" s="56"/>
    </row>
    <row r="7" spans="1:50" ht="15" customHeight="1">
      <c r="A7" s="5"/>
      <c r="B7" s="5"/>
      <c r="C7" s="5"/>
      <c r="D7" s="5"/>
      <c r="E7" s="5"/>
      <c r="F7" s="5"/>
      <c r="G7" s="5"/>
      <c r="H7" s="5"/>
      <c r="I7" s="24"/>
      <c r="J7" s="6"/>
      <c r="K7" s="6"/>
      <c r="L7" s="6"/>
      <c r="M7" s="6"/>
      <c r="N7" s="6"/>
      <c r="O7" s="6"/>
      <c r="P7" s="6"/>
      <c r="Q7" s="6"/>
      <c r="R7" s="6"/>
      <c r="S7" s="5"/>
      <c r="T7" s="5"/>
      <c r="U7" s="5"/>
      <c r="V7" s="5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</row>
    <row r="8" spans="1:50" ht="15" customHeight="1">
      <c r="A8" s="17"/>
      <c r="B8" s="17"/>
      <c r="C8" s="17"/>
      <c r="D8" s="17"/>
      <c r="E8" s="17" t="s">
        <v>257</v>
      </c>
      <c r="F8" s="17"/>
      <c r="G8" s="17" t="s">
        <v>256</v>
      </c>
      <c r="H8" s="17"/>
      <c r="I8" s="62"/>
      <c r="J8" s="17"/>
      <c r="K8" s="42">
        <f>Inputs!K161</f>
        <v>0</v>
      </c>
      <c r="L8" s="42">
        <f>Inputs!L161</f>
        <v>0</v>
      </c>
      <c r="M8" s="42">
        <f>Inputs!M161</f>
        <v>0</v>
      </c>
      <c r="N8" s="42">
        <f>Inputs!N161</f>
        <v>0</v>
      </c>
      <c r="O8" s="42">
        <f>Inputs!O161</f>
        <v>0</v>
      </c>
      <c r="P8" s="42">
        <f>Inputs!P161</f>
        <v>0</v>
      </c>
      <c r="Q8" s="42">
        <f>Inputs!Q161</f>
        <v>0</v>
      </c>
      <c r="R8" s="42">
        <f>Inputs!R161</f>
        <v>0</v>
      </c>
      <c r="S8" s="42">
        <f>Inputs!S161</f>
        <v>0</v>
      </c>
      <c r="T8" s="42">
        <f>Inputs!T161</f>
        <v>0</v>
      </c>
      <c r="U8" s="42">
        <f>Inputs!U161</f>
        <v>0</v>
      </c>
      <c r="V8" s="42">
        <f>Inputs!V161</f>
        <v>0</v>
      </c>
      <c r="W8" s="42">
        <f>Inputs!W161</f>
        <v>0</v>
      </c>
      <c r="X8" s="42">
        <f>Inputs!X161</f>
        <v>0</v>
      </c>
      <c r="Y8" s="42">
        <f>Inputs!Y161</f>
        <v>0</v>
      </c>
      <c r="Z8" s="42">
        <f>Inputs!Z161</f>
        <v>0</v>
      </c>
      <c r="AA8" s="42">
        <f>Inputs!AA161</f>
        <v>0</v>
      </c>
      <c r="AB8" s="42">
        <f>Inputs!AB161</f>
        <v>0</v>
      </c>
      <c r="AC8" s="42">
        <f>Inputs!AC161</f>
        <v>0</v>
      </c>
      <c r="AD8" s="42">
        <f>Inputs!AD161</f>
        <v>0</v>
      </c>
      <c r="AE8" s="42">
        <f>Inputs!AE161</f>
        <v>0</v>
      </c>
      <c r="AF8" s="42">
        <f>Inputs!AF161</f>
        <v>0</v>
      </c>
      <c r="AG8" s="42">
        <f>Inputs!AG161</f>
        <v>0</v>
      </c>
      <c r="AH8" s="42">
        <f>Inputs!AH161</f>
        <v>0</v>
      </c>
      <c r="AI8" s="42">
        <f>Inputs!AI161</f>
        <v>0</v>
      </c>
      <c r="AJ8" s="42">
        <f>Inputs!AJ161</f>
        <v>0</v>
      </c>
      <c r="AK8" s="42">
        <f>Inputs!AK161</f>
        <v>0</v>
      </c>
      <c r="AL8" s="42">
        <f>Inputs!AL161</f>
        <v>0</v>
      </c>
      <c r="AM8" s="42">
        <f>Inputs!AM161</f>
        <v>0</v>
      </c>
      <c r="AN8" s="42">
        <f>Inputs!AN161</f>
        <v>0</v>
      </c>
      <c r="AO8" s="42">
        <f>Inputs!AO161</f>
        <v>0</v>
      </c>
      <c r="AP8" s="42">
        <f>Inputs!AP161</f>
        <v>0</v>
      </c>
      <c r="AQ8" s="42">
        <f>Inputs!AQ161</f>
        <v>0</v>
      </c>
      <c r="AR8" s="42">
        <f>Inputs!AR161</f>
        <v>0</v>
      </c>
      <c r="AS8" s="42">
        <f>Inputs!AS161</f>
        <v>0</v>
      </c>
      <c r="AT8" s="42">
        <f>Inputs!AT161</f>
        <v>0</v>
      </c>
      <c r="AU8" s="42">
        <f>Inputs!AU161</f>
        <v>0</v>
      </c>
      <c r="AV8" s="42">
        <f>Inputs!AV161</f>
        <v>0</v>
      </c>
      <c r="AW8" s="42">
        <f>Inputs!AW161</f>
        <v>0</v>
      </c>
      <c r="AX8" s="42">
        <f>Inputs!AX161</f>
        <v>0</v>
      </c>
    </row>
    <row r="9" spans="1:50" ht="15" customHeight="1">
      <c r="A9" s="5"/>
      <c r="B9" s="5"/>
      <c r="C9" s="5"/>
      <c r="D9" s="5"/>
      <c r="E9" s="17" t="s">
        <v>258</v>
      </c>
      <c r="F9" s="5"/>
      <c r="G9" s="5" t="s">
        <v>256</v>
      </c>
      <c r="H9" s="5"/>
      <c r="I9" s="24"/>
      <c r="J9" s="6"/>
      <c r="K9" s="42">
        <f>Inputs!K162</f>
        <v>0</v>
      </c>
      <c r="L9" s="42">
        <f>Inputs!L162</f>
        <v>0</v>
      </c>
      <c r="M9" s="42">
        <f>Inputs!M162</f>
        <v>0</v>
      </c>
      <c r="N9" s="42">
        <f>Inputs!N162</f>
        <v>0</v>
      </c>
      <c r="O9" s="42">
        <f>Inputs!O162</f>
        <v>0</v>
      </c>
      <c r="P9" s="42">
        <f>Inputs!P162</f>
        <v>0</v>
      </c>
      <c r="Q9" s="42">
        <f>Inputs!Q162</f>
        <v>0</v>
      </c>
      <c r="R9" s="42">
        <f>Inputs!R162</f>
        <v>0</v>
      </c>
      <c r="S9" s="42">
        <f>Inputs!S162</f>
        <v>0</v>
      </c>
      <c r="T9" s="42">
        <f>Inputs!T162</f>
        <v>0</v>
      </c>
      <c r="U9" s="42">
        <f>Inputs!U162</f>
        <v>0</v>
      </c>
      <c r="V9" s="42">
        <f>Inputs!V162</f>
        <v>0</v>
      </c>
      <c r="W9" s="42">
        <f>Inputs!W162</f>
        <v>0.92054794520547945</v>
      </c>
      <c r="X9" s="42">
        <f>Inputs!X162</f>
        <v>1</v>
      </c>
      <c r="Y9" s="42">
        <f>Inputs!Y162</f>
        <v>1</v>
      </c>
      <c r="Z9" s="42">
        <f>Inputs!Z162</f>
        <v>1</v>
      </c>
      <c r="AA9" s="42">
        <f>Inputs!AA162</f>
        <v>1</v>
      </c>
      <c r="AB9" s="42">
        <f>Inputs!AB162</f>
        <v>1</v>
      </c>
      <c r="AC9" s="42">
        <f>Inputs!AC162</f>
        <v>1</v>
      </c>
      <c r="AD9" s="42">
        <f>Inputs!AD162</f>
        <v>1</v>
      </c>
      <c r="AE9" s="42">
        <f>Inputs!AE162</f>
        <v>1</v>
      </c>
      <c r="AF9" s="42">
        <f>Inputs!AF162</f>
        <v>1</v>
      </c>
      <c r="AG9" s="42">
        <f>Inputs!AG162</f>
        <v>1</v>
      </c>
      <c r="AH9" s="42">
        <f>Inputs!AH162</f>
        <v>1</v>
      </c>
      <c r="AI9" s="42">
        <f>Inputs!AI162</f>
        <v>1</v>
      </c>
      <c r="AJ9" s="42">
        <f>Inputs!AJ162</f>
        <v>1</v>
      </c>
      <c r="AK9" s="42">
        <f>Inputs!AK162</f>
        <v>1</v>
      </c>
      <c r="AL9" s="42">
        <f>Inputs!AL162</f>
        <v>1</v>
      </c>
      <c r="AM9" s="42">
        <f>Inputs!AM162</f>
        <v>1</v>
      </c>
      <c r="AN9" s="42">
        <f>Inputs!AN162</f>
        <v>1</v>
      </c>
      <c r="AO9" s="42">
        <f>Inputs!AO162</f>
        <v>1</v>
      </c>
      <c r="AP9" s="42">
        <f>Inputs!AP162</f>
        <v>1</v>
      </c>
      <c r="AQ9" s="42">
        <f>Inputs!AQ162</f>
        <v>1</v>
      </c>
      <c r="AR9" s="42">
        <f>Inputs!AR162</f>
        <v>1</v>
      </c>
      <c r="AS9" s="42">
        <f>Inputs!AS162</f>
        <v>0.32876712328767121</v>
      </c>
      <c r="AT9" s="42">
        <f>Inputs!AT162</f>
        <v>0</v>
      </c>
      <c r="AU9" s="42">
        <f>Inputs!AU162</f>
        <v>0</v>
      </c>
      <c r="AV9" s="42">
        <f>Inputs!AV162</f>
        <v>0</v>
      </c>
      <c r="AW9" s="42">
        <f>Inputs!AW162</f>
        <v>0</v>
      </c>
      <c r="AX9" s="42">
        <f>Inputs!AX162</f>
        <v>0</v>
      </c>
    </row>
    <row r="10" spans="1:50" ht="15" customHeight="1">
      <c r="A10" s="5"/>
      <c r="B10" s="5"/>
      <c r="C10" s="5"/>
      <c r="D10" s="5"/>
      <c r="E10" s="17" t="s">
        <v>260</v>
      </c>
      <c r="F10" s="5"/>
      <c r="G10" s="5" t="s">
        <v>261</v>
      </c>
      <c r="H10" s="5"/>
      <c r="I10" s="24"/>
      <c r="J10" s="6"/>
      <c r="K10" s="42">
        <f>Inputs!K164</f>
        <v>0</v>
      </c>
      <c r="L10" s="42">
        <f>Inputs!L164</f>
        <v>0</v>
      </c>
      <c r="M10" s="42">
        <f>Inputs!M164</f>
        <v>0</v>
      </c>
      <c r="N10" s="42">
        <f>Inputs!N164</f>
        <v>0</v>
      </c>
      <c r="O10" s="42">
        <f>Inputs!O164</f>
        <v>0</v>
      </c>
      <c r="P10" s="42">
        <f>Inputs!P164</f>
        <v>0</v>
      </c>
      <c r="Q10" s="42">
        <f>Inputs!Q164</f>
        <v>0</v>
      </c>
      <c r="R10" s="42">
        <f>Inputs!R164</f>
        <v>0</v>
      </c>
      <c r="S10" s="42">
        <f>Inputs!S164</f>
        <v>0</v>
      </c>
      <c r="T10" s="42">
        <f>Inputs!T164</f>
        <v>1</v>
      </c>
      <c r="U10" s="42">
        <f>Inputs!U164</f>
        <v>2</v>
      </c>
      <c r="V10" s="42">
        <f>Inputs!V164</f>
        <v>3</v>
      </c>
      <c r="W10" s="42">
        <f>Inputs!W164</f>
        <v>4</v>
      </c>
      <c r="X10" s="42">
        <f>Inputs!X164</f>
        <v>5</v>
      </c>
      <c r="Y10" s="42">
        <f>Inputs!Y164</f>
        <v>6</v>
      </c>
      <c r="Z10" s="42">
        <f>Inputs!Z164</f>
        <v>7</v>
      </c>
      <c r="AA10" s="42">
        <f>Inputs!AA164</f>
        <v>8</v>
      </c>
      <c r="AB10" s="42">
        <f>Inputs!AB164</f>
        <v>9</v>
      </c>
      <c r="AC10" s="42">
        <f>Inputs!AC164</f>
        <v>10</v>
      </c>
      <c r="AD10" s="42">
        <f>Inputs!AD164</f>
        <v>11</v>
      </c>
      <c r="AE10" s="42">
        <f>Inputs!AE164</f>
        <v>12</v>
      </c>
      <c r="AF10" s="42">
        <f>Inputs!AF164</f>
        <v>13</v>
      </c>
      <c r="AG10" s="42">
        <f>Inputs!AG164</f>
        <v>14</v>
      </c>
      <c r="AH10" s="42">
        <f>Inputs!AH164</f>
        <v>15</v>
      </c>
      <c r="AI10" s="42">
        <f>Inputs!AI164</f>
        <v>16</v>
      </c>
      <c r="AJ10" s="42">
        <f>Inputs!AJ164</f>
        <v>17</v>
      </c>
      <c r="AK10" s="42">
        <f>Inputs!AK164</f>
        <v>18</v>
      </c>
      <c r="AL10" s="42">
        <f>Inputs!AL164</f>
        <v>19</v>
      </c>
      <c r="AM10" s="42">
        <f>Inputs!AM164</f>
        <v>20</v>
      </c>
      <c r="AN10" s="42">
        <f>Inputs!AN164</f>
        <v>21</v>
      </c>
      <c r="AO10" s="42">
        <f>Inputs!AO164</f>
        <v>22</v>
      </c>
      <c r="AP10" s="42">
        <f>Inputs!AP164</f>
        <v>23</v>
      </c>
      <c r="AQ10" s="42">
        <f>Inputs!AQ164</f>
        <v>24</v>
      </c>
      <c r="AR10" s="42">
        <f>Inputs!AR164</f>
        <v>25</v>
      </c>
      <c r="AS10" s="42">
        <f>Inputs!AS164</f>
        <v>25</v>
      </c>
      <c r="AT10" s="42">
        <f>Inputs!AT164</f>
        <v>0</v>
      </c>
      <c r="AU10" s="42">
        <f>Inputs!AU164</f>
        <v>0</v>
      </c>
      <c r="AV10" s="42">
        <f>Inputs!AV164</f>
        <v>0</v>
      </c>
      <c r="AW10" s="42">
        <f>Inputs!AW164</f>
        <v>0</v>
      </c>
      <c r="AX10" s="42">
        <f>Inputs!AX164</f>
        <v>0</v>
      </c>
    </row>
    <row r="11" spans="1:50" ht="15" customHeight="1">
      <c r="A11" s="5"/>
      <c r="B11" s="5"/>
      <c r="C11" s="5"/>
      <c r="D11" s="5"/>
      <c r="E11" s="17" t="s">
        <v>262</v>
      </c>
      <c r="F11" s="5"/>
      <c r="G11" s="5" t="s">
        <v>256</v>
      </c>
      <c r="H11" s="5"/>
      <c r="I11" s="24"/>
      <c r="J11" s="6"/>
      <c r="K11" s="42">
        <f>Inputs!K165</f>
        <v>0</v>
      </c>
      <c r="L11" s="42">
        <f>Inputs!L165</f>
        <v>0</v>
      </c>
      <c r="M11" s="42">
        <f>Inputs!M165</f>
        <v>0</v>
      </c>
      <c r="N11" s="42">
        <f>Inputs!N165</f>
        <v>0</v>
      </c>
      <c r="O11" s="42">
        <f>Inputs!O165</f>
        <v>0</v>
      </c>
      <c r="P11" s="42">
        <f>Inputs!P165</f>
        <v>0</v>
      </c>
      <c r="Q11" s="42">
        <f>Inputs!Q165</f>
        <v>0</v>
      </c>
      <c r="R11" s="42">
        <f>Inputs!R165</f>
        <v>0</v>
      </c>
      <c r="S11" s="42">
        <f>Inputs!S165</f>
        <v>0</v>
      </c>
      <c r="T11" s="42">
        <f>Inputs!T165</f>
        <v>0</v>
      </c>
      <c r="U11" s="42">
        <f>Inputs!U165</f>
        <v>0</v>
      </c>
      <c r="V11" s="42">
        <f>Inputs!V165</f>
        <v>0</v>
      </c>
      <c r="W11" s="42">
        <f>Inputs!W165</f>
        <v>1</v>
      </c>
      <c r="X11" s="42">
        <f>Inputs!X165</f>
        <v>0</v>
      </c>
      <c r="Y11" s="42">
        <f>Inputs!Y165</f>
        <v>0</v>
      </c>
      <c r="Z11" s="42">
        <f>Inputs!Z165</f>
        <v>0</v>
      </c>
      <c r="AA11" s="42">
        <f>Inputs!AA165</f>
        <v>0</v>
      </c>
      <c r="AB11" s="42">
        <f>Inputs!AB165</f>
        <v>0</v>
      </c>
      <c r="AC11" s="42">
        <f>Inputs!AC165</f>
        <v>0</v>
      </c>
      <c r="AD11" s="42">
        <f>Inputs!AD165</f>
        <v>0</v>
      </c>
      <c r="AE11" s="42">
        <f>Inputs!AE165</f>
        <v>0</v>
      </c>
      <c r="AF11" s="42">
        <f>Inputs!AF165</f>
        <v>0</v>
      </c>
      <c r="AG11" s="42">
        <f>Inputs!AG165</f>
        <v>0</v>
      </c>
      <c r="AH11" s="42">
        <f>Inputs!AH165</f>
        <v>0</v>
      </c>
      <c r="AI11" s="42">
        <f>Inputs!AI165</f>
        <v>0</v>
      </c>
      <c r="AJ11" s="42">
        <f>Inputs!AJ165</f>
        <v>0</v>
      </c>
      <c r="AK11" s="42">
        <f>Inputs!AK165</f>
        <v>0</v>
      </c>
      <c r="AL11" s="42">
        <f>Inputs!AL165</f>
        <v>0</v>
      </c>
      <c r="AM11" s="42">
        <f>Inputs!AM165</f>
        <v>0</v>
      </c>
      <c r="AN11" s="42">
        <f>Inputs!AN165</f>
        <v>0</v>
      </c>
      <c r="AO11" s="42">
        <f>Inputs!AO165</f>
        <v>0</v>
      </c>
      <c r="AP11" s="42">
        <f>Inputs!AP165</f>
        <v>0</v>
      </c>
      <c r="AQ11" s="42">
        <f>Inputs!AQ165</f>
        <v>0</v>
      </c>
      <c r="AR11" s="42">
        <f>Inputs!AR165</f>
        <v>0</v>
      </c>
      <c r="AS11" s="42">
        <f>Inputs!AS165</f>
        <v>0</v>
      </c>
      <c r="AT11" s="42">
        <f>Inputs!AT165</f>
        <v>0</v>
      </c>
      <c r="AU11" s="42">
        <f>Inputs!AU165</f>
        <v>0</v>
      </c>
      <c r="AV11" s="42">
        <f>Inputs!AV165</f>
        <v>0</v>
      </c>
      <c r="AW11" s="42">
        <f>Inputs!AW165</f>
        <v>0</v>
      </c>
      <c r="AX11" s="42">
        <f>Inputs!AX165</f>
        <v>0</v>
      </c>
    </row>
    <row r="12" spans="1:50" ht="15" customHeight="1">
      <c r="A12" s="17"/>
      <c r="B12" s="17"/>
      <c r="C12" s="17"/>
      <c r="D12" s="17"/>
      <c r="E12" s="17" t="s">
        <v>263</v>
      </c>
      <c r="F12" s="17"/>
      <c r="G12" s="17" t="s">
        <v>256</v>
      </c>
      <c r="H12" s="17"/>
      <c r="I12" s="62"/>
      <c r="J12" s="17"/>
      <c r="K12" s="42">
        <f>Inputs!K166</f>
        <v>0</v>
      </c>
      <c r="L12" s="42">
        <f>Inputs!L166</f>
        <v>0</v>
      </c>
      <c r="M12" s="42">
        <f>Inputs!M166</f>
        <v>0</v>
      </c>
      <c r="N12" s="42">
        <f>Inputs!N166</f>
        <v>0</v>
      </c>
      <c r="O12" s="42">
        <f>Inputs!O166</f>
        <v>0</v>
      </c>
      <c r="P12" s="42">
        <f>Inputs!P166</f>
        <v>0</v>
      </c>
      <c r="Q12" s="42">
        <f>Inputs!Q166</f>
        <v>0</v>
      </c>
      <c r="R12" s="42">
        <f>Inputs!R166</f>
        <v>0</v>
      </c>
      <c r="S12" s="42">
        <f>Inputs!S166</f>
        <v>0</v>
      </c>
      <c r="T12" s="42">
        <f>Inputs!T166</f>
        <v>0</v>
      </c>
      <c r="U12" s="42">
        <f>Inputs!U166</f>
        <v>0</v>
      </c>
      <c r="V12" s="42">
        <f>Inputs!V166</f>
        <v>0</v>
      </c>
      <c r="W12" s="42">
        <f>Inputs!W166</f>
        <v>1</v>
      </c>
      <c r="X12" s="42">
        <f>Inputs!X166</f>
        <v>0</v>
      </c>
      <c r="Y12" s="42">
        <f>Inputs!Y166</f>
        <v>0</v>
      </c>
      <c r="Z12" s="42">
        <f>Inputs!Z166</f>
        <v>0</v>
      </c>
      <c r="AA12" s="42">
        <f>Inputs!AA166</f>
        <v>0</v>
      </c>
      <c r="AB12" s="42">
        <f>Inputs!AB166</f>
        <v>0</v>
      </c>
      <c r="AC12" s="42">
        <f>Inputs!AC166</f>
        <v>0</v>
      </c>
      <c r="AD12" s="42">
        <f>Inputs!AD166</f>
        <v>0</v>
      </c>
      <c r="AE12" s="42">
        <f>Inputs!AE166</f>
        <v>0</v>
      </c>
      <c r="AF12" s="42">
        <f>Inputs!AF166</f>
        <v>0</v>
      </c>
      <c r="AG12" s="42">
        <f>Inputs!AG166</f>
        <v>0</v>
      </c>
      <c r="AH12" s="42">
        <f>Inputs!AH166</f>
        <v>0</v>
      </c>
      <c r="AI12" s="42">
        <f>Inputs!AI166</f>
        <v>0</v>
      </c>
      <c r="AJ12" s="42">
        <f>Inputs!AJ166</f>
        <v>0</v>
      </c>
      <c r="AK12" s="42">
        <f>Inputs!AK166</f>
        <v>0</v>
      </c>
      <c r="AL12" s="42">
        <f>Inputs!AL166</f>
        <v>0</v>
      </c>
      <c r="AM12" s="42">
        <f>Inputs!AM166</f>
        <v>0</v>
      </c>
      <c r="AN12" s="42">
        <f>Inputs!AN166</f>
        <v>0</v>
      </c>
      <c r="AO12" s="42">
        <f>Inputs!AO166</f>
        <v>0</v>
      </c>
      <c r="AP12" s="42">
        <f>Inputs!AP166</f>
        <v>0</v>
      </c>
      <c r="AQ12" s="42">
        <f>Inputs!AQ166</f>
        <v>0</v>
      </c>
      <c r="AR12" s="42">
        <f>Inputs!AR166</f>
        <v>0</v>
      </c>
      <c r="AS12" s="42">
        <f>Inputs!AS166</f>
        <v>0</v>
      </c>
      <c r="AT12" s="42">
        <f>Inputs!AT166</f>
        <v>0</v>
      </c>
      <c r="AU12" s="42">
        <f>Inputs!AU166</f>
        <v>0</v>
      </c>
      <c r="AV12" s="42">
        <f>Inputs!AV166</f>
        <v>0</v>
      </c>
      <c r="AW12" s="42">
        <f>Inputs!AW166</f>
        <v>0</v>
      </c>
      <c r="AX12" s="42">
        <f>Inputs!AX166</f>
        <v>0</v>
      </c>
    </row>
    <row r="13" spans="1:50" ht="15" customHeight="1">
      <c r="A13" s="17"/>
      <c r="B13" s="17"/>
      <c r="C13" s="17"/>
      <c r="D13" s="17"/>
      <c r="E13" s="17" t="s">
        <v>265</v>
      </c>
      <c r="F13" s="17"/>
      <c r="G13" s="17" t="s">
        <v>256</v>
      </c>
      <c r="H13" s="17"/>
      <c r="I13" s="62"/>
      <c r="J13" s="17"/>
      <c r="K13" s="42">
        <f>Inputs!K167</f>
        <v>0</v>
      </c>
      <c r="L13" s="42">
        <f>Inputs!L167</f>
        <v>0</v>
      </c>
      <c r="M13" s="42">
        <f>Inputs!M167</f>
        <v>0</v>
      </c>
      <c r="N13" s="42">
        <f>Inputs!N167</f>
        <v>0</v>
      </c>
      <c r="O13" s="42">
        <f>Inputs!O167</f>
        <v>0</v>
      </c>
      <c r="P13" s="42">
        <f>Inputs!P167</f>
        <v>0</v>
      </c>
      <c r="Q13" s="42">
        <f>Inputs!Q167</f>
        <v>0</v>
      </c>
      <c r="R13" s="42">
        <f>Inputs!R167</f>
        <v>1</v>
      </c>
      <c r="S13" s="42">
        <f>Inputs!S167</f>
        <v>0</v>
      </c>
      <c r="T13" s="42">
        <f>Inputs!T167</f>
        <v>0</v>
      </c>
      <c r="U13" s="42">
        <f>Inputs!U167</f>
        <v>0</v>
      </c>
      <c r="V13" s="42">
        <f>Inputs!V167</f>
        <v>0</v>
      </c>
      <c r="W13" s="42">
        <f>Inputs!W167</f>
        <v>0</v>
      </c>
      <c r="X13" s="42">
        <f>Inputs!X167</f>
        <v>0</v>
      </c>
      <c r="Y13" s="42">
        <f>Inputs!Y167</f>
        <v>0</v>
      </c>
      <c r="Z13" s="42">
        <f>Inputs!Z167</f>
        <v>0</v>
      </c>
      <c r="AA13" s="42">
        <f>Inputs!AA167</f>
        <v>0</v>
      </c>
      <c r="AB13" s="42">
        <f>Inputs!AB167</f>
        <v>0</v>
      </c>
      <c r="AC13" s="42">
        <f>Inputs!AC167</f>
        <v>0</v>
      </c>
      <c r="AD13" s="42">
        <f>Inputs!AD167</f>
        <v>0</v>
      </c>
      <c r="AE13" s="42">
        <f>Inputs!AE167</f>
        <v>0</v>
      </c>
      <c r="AF13" s="42">
        <f>Inputs!AF167</f>
        <v>0</v>
      </c>
      <c r="AG13" s="42">
        <f>Inputs!AG167</f>
        <v>0</v>
      </c>
      <c r="AH13" s="42">
        <f>Inputs!AH167</f>
        <v>0</v>
      </c>
      <c r="AI13" s="42">
        <f>Inputs!AI167</f>
        <v>0</v>
      </c>
      <c r="AJ13" s="42">
        <f>Inputs!AJ167</f>
        <v>0</v>
      </c>
      <c r="AK13" s="42">
        <f>Inputs!AK167</f>
        <v>0</v>
      </c>
      <c r="AL13" s="42">
        <f>Inputs!AL167</f>
        <v>0</v>
      </c>
      <c r="AM13" s="42">
        <f>Inputs!AM167</f>
        <v>0</v>
      </c>
      <c r="AN13" s="42">
        <f>Inputs!AN167</f>
        <v>0</v>
      </c>
      <c r="AO13" s="42">
        <f>Inputs!AO167</f>
        <v>0</v>
      </c>
      <c r="AP13" s="42">
        <f>Inputs!AP167</f>
        <v>0</v>
      </c>
      <c r="AQ13" s="42">
        <f>Inputs!AQ167</f>
        <v>0</v>
      </c>
      <c r="AR13" s="42">
        <f>Inputs!AR167</f>
        <v>0</v>
      </c>
      <c r="AS13" s="42">
        <f>Inputs!AS167</f>
        <v>0</v>
      </c>
      <c r="AT13" s="42">
        <f>Inputs!AT167</f>
        <v>0</v>
      </c>
      <c r="AU13" s="42">
        <f>Inputs!AU167</f>
        <v>0</v>
      </c>
      <c r="AV13" s="42">
        <f>Inputs!AV167</f>
        <v>0</v>
      </c>
      <c r="AW13" s="42">
        <f>Inputs!AW167</f>
        <v>0</v>
      </c>
      <c r="AX13" s="42">
        <f>Inputs!AX167</f>
        <v>0</v>
      </c>
    </row>
    <row r="14" spans="1:50" ht="15" customHeight="1">
      <c r="A14" s="223"/>
      <c r="B14" s="17"/>
      <c r="C14" s="17"/>
      <c r="D14" s="17"/>
      <c r="E14" s="17" t="s">
        <v>266</v>
      </c>
      <c r="F14" s="17"/>
      <c r="G14" s="17" t="s">
        <v>256</v>
      </c>
      <c r="H14" s="17"/>
      <c r="I14" s="62"/>
      <c r="J14" s="17"/>
      <c r="K14" s="42">
        <f>Inputs!K168</f>
        <v>0</v>
      </c>
      <c r="L14" s="42">
        <f>Inputs!L168</f>
        <v>0</v>
      </c>
      <c r="M14" s="42">
        <f>Inputs!M168</f>
        <v>0</v>
      </c>
      <c r="N14" s="42">
        <f>Inputs!N168</f>
        <v>0</v>
      </c>
      <c r="O14" s="42">
        <f>Inputs!O168</f>
        <v>0</v>
      </c>
      <c r="P14" s="42">
        <f>Inputs!P168</f>
        <v>0</v>
      </c>
      <c r="Q14" s="42">
        <f>Inputs!Q168</f>
        <v>0</v>
      </c>
      <c r="R14" s="42">
        <f>Inputs!R168</f>
        <v>0</v>
      </c>
      <c r="S14" s="42">
        <f>Inputs!S168</f>
        <v>1</v>
      </c>
      <c r="T14" s="42">
        <f>Inputs!T168</f>
        <v>0</v>
      </c>
      <c r="U14" s="42">
        <f>Inputs!U168</f>
        <v>0</v>
      </c>
      <c r="V14" s="42">
        <f>Inputs!V168</f>
        <v>0</v>
      </c>
      <c r="W14" s="42">
        <f>Inputs!W168</f>
        <v>0</v>
      </c>
      <c r="X14" s="42">
        <f>Inputs!X168</f>
        <v>0</v>
      </c>
      <c r="Y14" s="42">
        <f>Inputs!Y168</f>
        <v>0</v>
      </c>
      <c r="Z14" s="42">
        <f>Inputs!Z168</f>
        <v>0</v>
      </c>
      <c r="AA14" s="42">
        <f>Inputs!AA168</f>
        <v>0</v>
      </c>
      <c r="AB14" s="42">
        <f>Inputs!AB168</f>
        <v>0</v>
      </c>
      <c r="AC14" s="42">
        <f>Inputs!AC168</f>
        <v>0</v>
      </c>
      <c r="AD14" s="42">
        <f>Inputs!AD168</f>
        <v>0</v>
      </c>
      <c r="AE14" s="42">
        <f>Inputs!AE168</f>
        <v>0</v>
      </c>
      <c r="AF14" s="42">
        <f>Inputs!AF168</f>
        <v>0</v>
      </c>
      <c r="AG14" s="42">
        <f>Inputs!AG168</f>
        <v>0</v>
      </c>
      <c r="AH14" s="42">
        <f>Inputs!AH168</f>
        <v>0</v>
      </c>
      <c r="AI14" s="42">
        <f>Inputs!AI168</f>
        <v>0</v>
      </c>
      <c r="AJ14" s="42">
        <f>Inputs!AJ168</f>
        <v>0</v>
      </c>
      <c r="AK14" s="42">
        <f>Inputs!AK168</f>
        <v>0</v>
      </c>
      <c r="AL14" s="42">
        <f>Inputs!AL168</f>
        <v>0</v>
      </c>
      <c r="AM14" s="42">
        <f>Inputs!AM168</f>
        <v>0</v>
      </c>
      <c r="AN14" s="42">
        <f>Inputs!AN168</f>
        <v>0</v>
      </c>
      <c r="AO14" s="42">
        <f>Inputs!AO168</f>
        <v>0</v>
      </c>
      <c r="AP14" s="42">
        <f>Inputs!AP168</f>
        <v>0</v>
      </c>
      <c r="AQ14" s="42">
        <f>Inputs!AQ168</f>
        <v>0</v>
      </c>
      <c r="AR14" s="42">
        <f>Inputs!AR168</f>
        <v>0</v>
      </c>
      <c r="AS14" s="42">
        <f>Inputs!AS168</f>
        <v>0</v>
      </c>
      <c r="AT14" s="42">
        <f>Inputs!AT168</f>
        <v>0</v>
      </c>
      <c r="AU14" s="42">
        <f>Inputs!AU168</f>
        <v>0</v>
      </c>
      <c r="AV14" s="42">
        <f>Inputs!AV168</f>
        <v>0</v>
      </c>
      <c r="AW14" s="42">
        <f>Inputs!AW168</f>
        <v>0</v>
      </c>
      <c r="AX14" s="42">
        <f>Inputs!AX168</f>
        <v>0</v>
      </c>
    </row>
    <row r="15" spans="1:50" ht="15" customHeight="1">
      <c r="A15" s="223"/>
      <c r="B15" s="17"/>
      <c r="C15" s="17"/>
      <c r="D15" s="17"/>
      <c r="E15" s="17" t="s">
        <v>267</v>
      </c>
      <c r="F15" s="17"/>
      <c r="G15" s="17" t="s">
        <v>256</v>
      </c>
      <c r="H15" s="17"/>
      <c r="I15" s="62"/>
      <c r="J15" s="17"/>
      <c r="K15" s="42">
        <f>Inputs!K169</f>
        <v>0</v>
      </c>
      <c r="L15" s="42">
        <f>Inputs!L169</f>
        <v>0</v>
      </c>
      <c r="M15" s="42">
        <f>Inputs!M169</f>
        <v>0</v>
      </c>
      <c r="N15" s="42">
        <f>Inputs!N169</f>
        <v>0</v>
      </c>
      <c r="O15" s="42">
        <f>Inputs!O169</f>
        <v>0</v>
      </c>
      <c r="P15" s="42">
        <f>Inputs!P169</f>
        <v>0</v>
      </c>
      <c r="Q15" s="42">
        <f>Inputs!Q169</f>
        <v>0</v>
      </c>
      <c r="R15" s="42">
        <f>Inputs!R169</f>
        <v>0</v>
      </c>
      <c r="S15" s="42">
        <f>Inputs!S169</f>
        <v>1</v>
      </c>
      <c r="T15" s="42">
        <f>Inputs!T169</f>
        <v>1</v>
      </c>
      <c r="U15" s="42">
        <f>Inputs!U169</f>
        <v>1</v>
      </c>
      <c r="V15" s="42">
        <f>Inputs!V169</f>
        <v>1</v>
      </c>
      <c r="W15" s="42">
        <f>Inputs!W169</f>
        <v>0</v>
      </c>
      <c r="X15" s="42">
        <f>Inputs!X169</f>
        <v>0</v>
      </c>
      <c r="Y15" s="42">
        <f>Inputs!Y169</f>
        <v>0</v>
      </c>
      <c r="Z15" s="42">
        <f>Inputs!Z169</f>
        <v>0</v>
      </c>
      <c r="AA15" s="42">
        <f>Inputs!AA169</f>
        <v>0</v>
      </c>
      <c r="AB15" s="42">
        <f>Inputs!AB169</f>
        <v>0</v>
      </c>
      <c r="AC15" s="42">
        <f>Inputs!AC169</f>
        <v>0</v>
      </c>
      <c r="AD15" s="42">
        <f>Inputs!AD169</f>
        <v>0</v>
      </c>
      <c r="AE15" s="42">
        <f>Inputs!AE169</f>
        <v>0</v>
      </c>
      <c r="AF15" s="42">
        <f>Inputs!AF169</f>
        <v>0</v>
      </c>
      <c r="AG15" s="42">
        <f>Inputs!AG169</f>
        <v>0</v>
      </c>
      <c r="AH15" s="42">
        <f>Inputs!AH169</f>
        <v>0</v>
      </c>
      <c r="AI15" s="42">
        <f>Inputs!AI169</f>
        <v>0</v>
      </c>
      <c r="AJ15" s="42">
        <f>Inputs!AJ169</f>
        <v>0</v>
      </c>
      <c r="AK15" s="42">
        <f>Inputs!AK169</f>
        <v>0</v>
      </c>
      <c r="AL15" s="42">
        <f>Inputs!AL169</f>
        <v>0</v>
      </c>
      <c r="AM15" s="42">
        <f>Inputs!AM169</f>
        <v>0</v>
      </c>
      <c r="AN15" s="42">
        <f>Inputs!AN169</f>
        <v>0</v>
      </c>
      <c r="AO15" s="42">
        <f>Inputs!AO169</f>
        <v>0</v>
      </c>
      <c r="AP15" s="42">
        <f>Inputs!AP169</f>
        <v>0</v>
      </c>
      <c r="AQ15" s="42">
        <f>Inputs!AQ169</f>
        <v>0</v>
      </c>
      <c r="AR15" s="42">
        <f>Inputs!AR169</f>
        <v>0</v>
      </c>
      <c r="AS15" s="42">
        <f>Inputs!AS169</f>
        <v>0</v>
      </c>
      <c r="AT15" s="42">
        <f>Inputs!AT169</f>
        <v>0</v>
      </c>
      <c r="AU15" s="42">
        <f>Inputs!AU169</f>
        <v>0</v>
      </c>
      <c r="AV15" s="42">
        <f>Inputs!AV169</f>
        <v>0</v>
      </c>
      <c r="AW15" s="42">
        <f>Inputs!AW169</f>
        <v>0</v>
      </c>
      <c r="AX15" s="42">
        <f>Inputs!AX169</f>
        <v>0</v>
      </c>
    </row>
    <row r="16" spans="1:50" ht="15" customHeight="1">
      <c r="A16" s="223"/>
      <c r="B16" s="17"/>
      <c r="C16" s="17"/>
      <c r="D16" s="17"/>
      <c r="E16" s="17" t="s">
        <v>324</v>
      </c>
      <c r="F16" s="17"/>
      <c r="G16" s="17" t="s">
        <v>261</v>
      </c>
      <c r="H16" s="17"/>
      <c r="I16" s="62"/>
      <c r="J16" s="17"/>
      <c r="K16" s="42">
        <f>Inputs!K171</f>
        <v>0</v>
      </c>
      <c r="L16" s="42">
        <f>Inputs!L171</f>
        <v>0</v>
      </c>
      <c r="M16" s="42">
        <f>Inputs!M171</f>
        <v>0</v>
      </c>
      <c r="N16" s="42">
        <f>Inputs!N171</f>
        <v>0</v>
      </c>
      <c r="O16" s="42">
        <f>Inputs!O171</f>
        <v>0</v>
      </c>
      <c r="P16" s="42">
        <f>Inputs!P171</f>
        <v>0</v>
      </c>
      <c r="Q16" s="42">
        <f>Inputs!Q171</f>
        <v>0</v>
      </c>
      <c r="R16" s="42">
        <f>Inputs!R171</f>
        <v>0</v>
      </c>
      <c r="S16" s="42">
        <f>Inputs!S171</f>
        <v>0</v>
      </c>
      <c r="T16" s="42">
        <f>Inputs!T171</f>
        <v>0</v>
      </c>
      <c r="U16" s="42">
        <f>Inputs!U171</f>
        <v>0</v>
      </c>
      <c r="V16" s="42">
        <f>Inputs!V171</f>
        <v>0</v>
      </c>
      <c r="W16" s="42">
        <f>Inputs!W171</f>
        <v>0.92054794520547945</v>
      </c>
      <c r="X16" s="42">
        <f>Inputs!X171</f>
        <v>1.9205479452054794</v>
      </c>
      <c r="Y16" s="42">
        <f>Inputs!Y171</f>
        <v>2.9205479452054792</v>
      </c>
      <c r="Z16" s="42">
        <f>Inputs!Z171</f>
        <v>3.9205479452054792</v>
      </c>
      <c r="AA16" s="42">
        <f>Inputs!AA171</f>
        <v>4.9205479452054792</v>
      </c>
      <c r="AB16" s="42">
        <f>Inputs!AB171</f>
        <v>5.9205479452054792</v>
      </c>
      <c r="AC16" s="42">
        <f>Inputs!AC171</f>
        <v>6.9205479452054792</v>
      </c>
      <c r="AD16" s="42">
        <f>Inputs!AD171</f>
        <v>7.9205479452054792</v>
      </c>
      <c r="AE16" s="42">
        <f>Inputs!AE171</f>
        <v>8.9205479452054792</v>
      </c>
      <c r="AF16" s="42">
        <f>Inputs!AF171</f>
        <v>9.9205479452054792</v>
      </c>
      <c r="AG16" s="42">
        <f>Inputs!AG171</f>
        <v>10.920547945205479</v>
      </c>
      <c r="AH16" s="42">
        <f>Inputs!AH171</f>
        <v>11.920547945205479</v>
      </c>
      <c r="AI16" s="42">
        <f>Inputs!AI171</f>
        <v>12.920547945205479</v>
      </c>
      <c r="AJ16" s="42">
        <f>Inputs!AJ171</f>
        <v>13.920547945205479</v>
      </c>
      <c r="AK16" s="42">
        <f>Inputs!AK171</f>
        <v>14.920547945205479</v>
      </c>
      <c r="AL16" s="42">
        <f>Inputs!AL171</f>
        <v>15.920547945205479</v>
      </c>
      <c r="AM16" s="42">
        <f>Inputs!AM171</f>
        <v>16.920547945205477</v>
      </c>
      <c r="AN16" s="42">
        <f>Inputs!AN171</f>
        <v>17.920547945205477</v>
      </c>
      <c r="AO16" s="42">
        <f>Inputs!AO171</f>
        <v>18.920547945205477</v>
      </c>
      <c r="AP16" s="42">
        <f>Inputs!AP171</f>
        <v>19.920547945205477</v>
      </c>
      <c r="AQ16" s="42">
        <f>Inputs!AQ171</f>
        <v>20.920547945205477</v>
      </c>
      <c r="AR16" s="42">
        <f>Inputs!AR171</f>
        <v>21.920547945205477</v>
      </c>
      <c r="AS16" s="42">
        <f>Inputs!AS171</f>
        <v>22.586301369863012</v>
      </c>
      <c r="AT16" s="42">
        <f>Inputs!AT171</f>
        <v>0</v>
      </c>
      <c r="AU16" s="42">
        <f>Inputs!AU171</f>
        <v>0</v>
      </c>
      <c r="AV16" s="42">
        <f>Inputs!AV171</f>
        <v>0</v>
      </c>
      <c r="AW16" s="42">
        <f>Inputs!AW171</f>
        <v>0</v>
      </c>
      <c r="AX16" s="42">
        <f>Inputs!AX171</f>
        <v>0</v>
      </c>
    </row>
    <row r="17" spans="1:50" ht="15" customHeight="1">
      <c r="A17" s="5"/>
      <c r="B17" s="5"/>
      <c r="C17" s="5"/>
      <c r="D17" s="5"/>
      <c r="E17" s="5"/>
      <c r="F17" s="5"/>
      <c r="G17" s="5"/>
      <c r="H17" s="5"/>
      <c r="I17" s="24"/>
      <c r="J17" s="6"/>
      <c r="K17" s="6"/>
      <c r="L17" s="6"/>
      <c r="M17" s="6"/>
      <c r="N17" s="6"/>
      <c r="O17" s="6"/>
      <c r="P17" s="6"/>
      <c r="Q17" s="6"/>
      <c r="R17" s="6"/>
      <c r="S17" s="5"/>
      <c r="T17" s="5"/>
      <c r="U17" s="5"/>
      <c r="V17" s="5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</row>
    <row r="18" spans="1:50" ht="15" customHeight="1">
      <c r="A18" s="5"/>
      <c r="B18" s="267" t="s">
        <v>325</v>
      </c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AO18" s="56"/>
      <c r="AP18" s="56"/>
      <c r="AQ18" s="56"/>
      <c r="AR18" s="56"/>
      <c r="AS18" s="56"/>
      <c r="AT18" s="56"/>
      <c r="AU18" s="56"/>
      <c r="AV18" s="56"/>
      <c r="AW18" s="56"/>
      <c r="AX18" s="56"/>
    </row>
    <row r="19" spans="1:50" ht="15" customHeight="1">
      <c r="A19" s="5"/>
      <c r="B19" s="5"/>
      <c r="C19" s="5"/>
      <c r="D19" s="5"/>
      <c r="E19" s="5"/>
      <c r="F19" s="5"/>
      <c r="G19" s="5"/>
      <c r="H19" s="5"/>
      <c r="I19" s="24"/>
      <c r="J19" s="6"/>
      <c r="K19" s="6"/>
      <c r="L19" s="6"/>
      <c r="M19" s="6"/>
      <c r="N19" s="6"/>
      <c r="O19" s="6"/>
      <c r="P19" s="6"/>
      <c r="Q19" s="6"/>
      <c r="R19" s="6"/>
      <c r="S19" s="5"/>
      <c r="T19" s="5"/>
      <c r="U19" s="5"/>
      <c r="V19" s="5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</row>
    <row r="20" spans="1:50" ht="15" customHeight="1">
      <c r="A20" s="5"/>
      <c r="B20" s="5"/>
      <c r="C20" s="10" t="s">
        <v>325</v>
      </c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spans="1:50" ht="15" customHeight="1">
      <c r="A21" s="27"/>
      <c r="B21" s="27"/>
      <c r="C21" s="27"/>
      <c r="D21" s="52"/>
      <c r="E21" s="17"/>
      <c r="F21" s="29"/>
      <c r="G21" s="17"/>
      <c r="H21" s="17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</row>
    <row r="22" spans="1:50" ht="15" customHeight="1">
      <c r="A22" s="5"/>
      <c r="B22" s="5"/>
      <c r="C22" s="5"/>
      <c r="D22" s="5"/>
      <c r="E22" s="16" t="s">
        <v>326</v>
      </c>
      <c r="F22" s="5"/>
      <c r="G22" s="16" t="str">
        <f>Inputs!G70</f>
        <v>real annual %</v>
      </c>
      <c r="H22" s="17"/>
      <c r="I22" s="80">
        <f>Inputs!I70</f>
        <v>5.21E-2</v>
      </c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</row>
    <row r="23" spans="1:50" ht="15" customHeight="1">
      <c r="A23" s="27"/>
      <c r="B23" s="27"/>
      <c r="C23" s="27"/>
      <c r="D23" s="52"/>
      <c r="E23" s="17"/>
      <c r="F23" s="29"/>
      <c r="G23" s="17"/>
      <c r="H23" s="17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17"/>
      <c r="T23" s="17"/>
      <c r="U23" s="17"/>
      <c r="V23" s="17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</row>
    <row r="24" spans="1:50" ht="15" customHeight="1">
      <c r="A24"/>
      <c r="B24" s="27"/>
      <c r="C24" s="27"/>
      <c r="D24" s="52"/>
      <c r="E24" s="5" t="s">
        <v>303</v>
      </c>
      <c r="F24" s="29"/>
      <c r="G24" s="5" t="str">
        <f>Inputs!$I$11</f>
        <v>£m 2020 prices</v>
      </c>
      <c r="H24" s="17"/>
      <c r="I24" s="28"/>
      <c r="J24" s="28"/>
      <c r="K24" s="42">
        <f>'Pre Op RAV'!K19</f>
        <v>0</v>
      </c>
      <c r="L24" s="42">
        <f>'Pre Op RAV'!L19</f>
        <v>0</v>
      </c>
      <c r="M24" s="42">
        <f>'Pre Op RAV'!M19</f>
        <v>5.6010550098325479E-2</v>
      </c>
      <c r="N24" s="42">
        <f>'Pre Op RAV'!N19</f>
        <v>0.10110702236867579</v>
      </c>
      <c r="O24" s="42">
        <f>'Pre Op RAV'!O19</f>
        <v>0.36862386777872386</v>
      </c>
      <c r="P24" s="42">
        <f>'Pre Op RAV'!P19</f>
        <v>0.71309447086372135</v>
      </c>
      <c r="Q24" s="42">
        <f>'Pre Op RAV'!Q19</f>
        <v>6.1840955045963826</v>
      </c>
      <c r="R24" s="42">
        <f>'Pre Op RAV'!R19</f>
        <v>9.0139784837643351</v>
      </c>
      <c r="S24" s="42">
        <f>'Pre Op RAV'!S19</f>
        <v>10.49034770156088</v>
      </c>
      <c r="T24" s="42">
        <f>'Pre Op RAV'!T19</f>
        <v>18.256583865180893</v>
      </c>
      <c r="U24" s="42">
        <f>'Pre Op RAV'!U19</f>
        <v>84.555629503348896</v>
      </c>
      <c r="V24" s="42">
        <f>'Pre Op RAV'!V19</f>
        <v>145.97730966881741</v>
      </c>
      <c r="W24" s="42">
        <f>'Pre Op RAV'!W19</f>
        <v>203.70584928169438</v>
      </c>
      <c r="X24" s="42">
        <f>'Pre Op RAV'!X19</f>
        <v>0</v>
      </c>
      <c r="Y24" s="42">
        <f>'Pre Op RAV'!Y19</f>
        <v>0</v>
      </c>
      <c r="Z24" s="42">
        <f>'Pre Op RAV'!Z19</f>
        <v>0</v>
      </c>
      <c r="AA24" s="42">
        <f>'Pre Op RAV'!AA19</f>
        <v>0</v>
      </c>
      <c r="AB24" s="42">
        <f>'Pre Op RAV'!AB19</f>
        <v>0</v>
      </c>
      <c r="AC24" s="42">
        <f>'Pre Op RAV'!AC19</f>
        <v>0</v>
      </c>
      <c r="AD24" s="42">
        <f>'Pre Op RAV'!AD19</f>
        <v>0</v>
      </c>
      <c r="AE24" s="42">
        <f>'Pre Op RAV'!AE19</f>
        <v>0</v>
      </c>
      <c r="AF24" s="42">
        <f>'Pre Op RAV'!AF19</f>
        <v>0</v>
      </c>
      <c r="AG24" s="42">
        <f>'Pre Op RAV'!AG19</f>
        <v>0</v>
      </c>
      <c r="AH24" s="42">
        <f>'Pre Op RAV'!AH19</f>
        <v>0</v>
      </c>
      <c r="AI24" s="42">
        <f>'Pre Op RAV'!AI19</f>
        <v>0</v>
      </c>
      <c r="AJ24" s="42">
        <f>'Pre Op RAV'!AJ19</f>
        <v>0</v>
      </c>
      <c r="AK24" s="42">
        <f>'Pre Op RAV'!AK19</f>
        <v>0</v>
      </c>
      <c r="AL24" s="42">
        <f>'Pre Op RAV'!AL19</f>
        <v>0</v>
      </c>
      <c r="AM24" s="42">
        <f>'Pre Op RAV'!AM19</f>
        <v>0</v>
      </c>
      <c r="AN24" s="42">
        <f>'Pre Op RAV'!AN19</f>
        <v>0</v>
      </c>
      <c r="AO24" s="42">
        <f>'Pre Op RAV'!AO19</f>
        <v>0</v>
      </c>
      <c r="AP24" s="42">
        <f>'Pre Op RAV'!AP19</f>
        <v>0</v>
      </c>
      <c r="AQ24" s="42">
        <f>'Pre Op RAV'!AQ19</f>
        <v>0</v>
      </c>
      <c r="AR24" s="42">
        <f>'Pre Op RAV'!AR19</f>
        <v>0</v>
      </c>
      <c r="AS24" s="42">
        <f>'Pre Op RAV'!AS19</f>
        <v>0</v>
      </c>
      <c r="AT24" s="42">
        <f>'Pre Op RAV'!AT19</f>
        <v>0</v>
      </c>
      <c r="AU24" s="42">
        <f>'Pre Op RAV'!AU19</f>
        <v>0</v>
      </c>
      <c r="AV24" s="42">
        <f>'Pre Op RAV'!AV19</f>
        <v>0</v>
      </c>
      <c r="AW24" s="42">
        <f>'Pre Op RAV'!AW19</f>
        <v>0</v>
      </c>
      <c r="AX24" s="42">
        <f>'Pre Op RAV'!AX19</f>
        <v>0</v>
      </c>
    </row>
    <row r="25" spans="1:50" ht="15" customHeight="1">
      <c r="A25"/>
      <c r="B25" s="27"/>
      <c r="C25" s="27"/>
      <c r="D25" s="52"/>
      <c r="E25" s="5" t="s">
        <v>128</v>
      </c>
      <c r="F25" s="29"/>
      <c r="G25" s="5" t="str">
        <f>Inputs!$I$11</f>
        <v>£m 2020 prices</v>
      </c>
      <c r="H25" s="17"/>
      <c r="I25" s="28"/>
      <c r="J25" s="28"/>
      <c r="K25" s="42">
        <f>Inputs!K34</f>
        <v>0</v>
      </c>
      <c r="L25" s="42">
        <f>Inputs!L34</f>
        <v>5.4623728664943312E-2</v>
      </c>
      <c r="M25" s="42">
        <f>Inputs!M34</f>
        <v>4.1133987182039713E-2</v>
      </c>
      <c r="N25" s="42">
        <f>Inputs!N34</f>
        <v>0.25575587910966441</v>
      </c>
      <c r="O25" s="42">
        <f>Inputs!O34</f>
        <v>0.31721172951964788</v>
      </c>
      <c r="P25" s="42">
        <f>Inputs!P34</f>
        <v>5.2993066945614187</v>
      </c>
      <c r="Q25" s="42">
        <f>Inputs!Q34</f>
        <v>2.4456011497447863</v>
      </c>
      <c r="R25" s="42">
        <f>Inputs!R34</f>
        <v>0.98181402932037309</v>
      </c>
      <c r="S25" s="42">
        <f>Inputs!S34</f>
        <v>3.5713537042378904</v>
      </c>
      <c r="T25" s="42">
        <f>Inputs!T34</f>
        <v>-0.47584127636286866</v>
      </c>
      <c r="U25" s="42">
        <f>Inputs!U34</f>
        <v>0</v>
      </c>
      <c r="V25" s="42">
        <f>Inputs!V34</f>
        <v>0</v>
      </c>
      <c r="W25" s="42">
        <f>Inputs!W34</f>
        <v>0</v>
      </c>
      <c r="X25" s="42">
        <f>Inputs!X34</f>
        <v>0</v>
      </c>
      <c r="Y25" s="42">
        <f>Inputs!Y34</f>
        <v>0</v>
      </c>
      <c r="Z25" s="42">
        <f>Inputs!Z34</f>
        <v>0</v>
      </c>
      <c r="AA25" s="42">
        <f>Inputs!AA34</f>
        <v>0</v>
      </c>
      <c r="AB25" s="42">
        <f>Inputs!AB34</f>
        <v>0</v>
      </c>
      <c r="AC25" s="42">
        <f>Inputs!AC34</f>
        <v>0</v>
      </c>
      <c r="AD25" s="42">
        <f>Inputs!AD34</f>
        <v>0</v>
      </c>
      <c r="AE25" s="42">
        <f>Inputs!AE34</f>
        <v>0</v>
      </c>
      <c r="AF25" s="42">
        <f>Inputs!AF34</f>
        <v>0</v>
      </c>
      <c r="AG25" s="42">
        <f>Inputs!AG34</f>
        <v>0</v>
      </c>
      <c r="AH25" s="42">
        <f>Inputs!AH34</f>
        <v>0</v>
      </c>
      <c r="AI25" s="42">
        <f>Inputs!AI34</f>
        <v>0</v>
      </c>
      <c r="AJ25" s="42">
        <f>Inputs!AJ34</f>
        <v>0</v>
      </c>
      <c r="AK25" s="42">
        <f>Inputs!AK34</f>
        <v>0</v>
      </c>
      <c r="AL25" s="42">
        <f>Inputs!AL34</f>
        <v>0</v>
      </c>
      <c r="AM25" s="42">
        <f>Inputs!AM34</f>
        <v>0</v>
      </c>
      <c r="AN25" s="42">
        <f>Inputs!AN34</f>
        <v>0</v>
      </c>
      <c r="AO25" s="42">
        <f>Inputs!AO34</f>
        <v>0</v>
      </c>
      <c r="AP25" s="42">
        <f>Inputs!AP34</f>
        <v>0</v>
      </c>
      <c r="AQ25" s="42">
        <f>Inputs!AQ34</f>
        <v>0</v>
      </c>
      <c r="AR25" s="42">
        <f>Inputs!AR34</f>
        <v>0</v>
      </c>
      <c r="AS25" s="42">
        <f>Inputs!AS34</f>
        <v>0</v>
      </c>
      <c r="AT25" s="42">
        <f>Inputs!AT34</f>
        <v>0</v>
      </c>
      <c r="AU25" s="42">
        <f>Inputs!AU34</f>
        <v>0</v>
      </c>
      <c r="AV25" s="42">
        <f>Inputs!AV34</f>
        <v>0</v>
      </c>
      <c r="AW25" s="42">
        <f>Inputs!AW34</f>
        <v>0</v>
      </c>
      <c r="AX25" s="42">
        <f>Inputs!AX34</f>
        <v>0</v>
      </c>
    </row>
    <row r="26" spans="1:50" ht="15" customHeight="1">
      <c r="A26"/>
      <c r="B26" s="27"/>
      <c r="C26" s="27"/>
      <c r="D26" s="52"/>
      <c r="E26" s="5" t="s">
        <v>129</v>
      </c>
      <c r="F26" s="29"/>
      <c r="G26" s="5" t="str">
        <f>Inputs!$I$11</f>
        <v>£m 2020 prices</v>
      </c>
      <c r="H26" s="17"/>
      <c r="I26" s="28"/>
      <c r="J26" s="28"/>
      <c r="K26" s="42">
        <f>Inputs!K35</f>
        <v>0</v>
      </c>
      <c r="L26" s="42">
        <f>Inputs!L35</f>
        <v>0</v>
      </c>
      <c r="M26" s="42">
        <f>Inputs!M35</f>
        <v>0</v>
      </c>
      <c r="N26" s="42">
        <f>Inputs!N35</f>
        <v>0</v>
      </c>
      <c r="O26" s="42">
        <f>Inputs!O35</f>
        <v>0</v>
      </c>
      <c r="P26" s="42">
        <f>Inputs!P35</f>
        <v>0</v>
      </c>
      <c r="Q26" s="42">
        <f>Inputs!Q35</f>
        <v>0</v>
      </c>
      <c r="R26" s="42">
        <f>Inputs!R35</f>
        <v>0</v>
      </c>
      <c r="S26" s="42">
        <f>Inputs!S35</f>
        <v>3.4695758158445118</v>
      </c>
      <c r="T26" s="42">
        <f>Inputs!T35</f>
        <v>62.569892745308813</v>
      </c>
      <c r="U26" s="42">
        <f>Inputs!U35</f>
        <v>53.900974808476839</v>
      </c>
      <c r="V26" s="42">
        <f>Inputs!V35</f>
        <v>47.463818312693398</v>
      </c>
      <c r="W26" s="42">
        <f>Inputs!W35</f>
        <v>7.228625920885877</v>
      </c>
      <c r="X26" s="42">
        <f>Inputs!X35</f>
        <v>0</v>
      </c>
      <c r="Y26" s="42">
        <f>Inputs!Y35</f>
        <v>0</v>
      </c>
      <c r="Z26" s="42">
        <f>Inputs!Z35</f>
        <v>0</v>
      </c>
      <c r="AA26" s="42">
        <f>Inputs!AA35</f>
        <v>0</v>
      </c>
      <c r="AB26" s="42">
        <f>Inputs!AB35</f>
        <v>0</v>
      </c>
      <c r="AC26" s="42">
        <f>Inputs!AC35</f>
        <v>0</v>
      </c>
      <c r="AD26" s="42">
        <f>Inputs!AD35</f>
        <v>0</v>
      </c>
      <c r="AE26" s="42">
        <f>Inputs!AE35</f>
        <v>0</v>
      </c>
      <c r="AF26" s="42">
        <f>Inputs!AF35</f>
        <v>0</v>
      </c>
      <c r="AG26" s="42">
        <f>Inputs!AG35</f>
        <v>0</v>
      </c>
      <c r="AH26" s="42">
        <f>Inputs!AH35</f>
        <v>0</v>
      </c>
      <c r="AI26" s="42">
        <f>Inputs!AI35</f>
        <v>0</v>
      </c>
      <c r="AJ26" s="42">
        <f>Inputs!AJ35</f>
        <v>0</v>
      </c>
      <c r="AK26" s="42">
        <f>Inputs!AK35</f>
        <v>0</v>
      </c>
      <c r="AL26" s="42">
        <f>Inputs!AL35</f>
        <v>0</v>
      </c>
      <c r="AM26" s="42">
        <f>Inputs!AM35</f>
        <v>0</v>
      </c>
      <c r="AN26" s="42">
        <f>Inputs!AN35</f>
        <v>0</v>
      </c>
      <c r="AO26" s="42">
        <f>Inputs!AO35</f>
        <v>0</v>
      </c>
      <c r="AP26" s="42">
        <f>Inputs!AP35</f>
        <v>0</v>
      </c>
      <c r="AQ26" s="42">
        <f>Inputs!AQ35</f>
        <v>0</v>
      </c>
      <c r="AR26" s="42">
        <f>Inputs!AR35</f>
        <v>0</v>
      </c>
      <c r="AS26" s="42">
        <f>Inputs!AS35</f>
        <v>0</v>
      </c>
      <c r="AT26" s="42">
        <f>Inputs!AT35</f>
        <v>0</v>
      </c>
      <c r="AU26" s="42">
        <f>Inputs!AU35</f>
        <v>0</v>
      </c>
      <c r="AV26" s="42">
        <f>Inputs!AV35</f>
        <v>0</v>
      </c>
      <c r="AW26" s="42">
        <f>Inputs!AW35</f>
        <v>0</v>
      </c>
      <c r="AX26" s="42">
        <f>Inputs!AX35</f>
        <v>0</v>
      </c>
    </row>
    <row r="27" spans="1:50" ht="15" customHeight="1">
      <c r="A27"/>
      <c r="B27" s="27"/>
      <c r="C27" s="27"/>
      <c r="D27" s="52"/>
      <c r="E27" s="5" t="s">
        <v>130</v>
      </c>
      <c r="F27" s="29"/>
      <c r="G27" s="5" t="str">
        <f>Inputs!$I$11</f>
        <v>£m 2020 prices</v>
      </c>
      <c r="H27" s="17"/>
      <c r="I27" s="28"/>
      <c r="J27" s="28"/>
      <c r="K27" s="42">
        <f>Inputs!K36</f>
        <v>0</v>
      </c>
      <c r="L27" s="42">
        <f>Inputs!L36</f>
        <v>0</v>
      </c>
      <c r="M27" s="42">
        <f>Inputs!M36</f>
        <v>0</v>
      </c>
      <c r="N27" s="42">
        <f>Inputs!N36</f>
        <v>0</v>
      </c>
      <c r="O27" s="42">
        <f>Inputs!O36</f>
        <v>0</v>
      </c>
      <c r="P27" s="42">
        <f>Inputs!P36</f>
        <v>0</v>
      </c>
      <c r="Q27" s="42">
        <f>Inputs!Q36</f>
        <v>0</v>
      </c>
      <c r="R27" s="42">
        <f>Inputs!R36</f>
        <v>0</v>
      </c>
      <c r="S27" s="42">
        <f>Inputs!S36</f>
        <v>0</v>
      </c>
      <c r="T27" s="42">
        <f>Inputs!T36</f>
        <v>1.6358124515574373</v>
      </c>
      <c r="U27" s="42">
        <f>Inputs!U36</f>
        <v>1.7036324660354694</v>
      </c>
      <c r="V27" s="42">
        <f>Inputs!V36</f>
        <v>1.4182547806227979</v>
      </c>
      <c r="W27" s="42">
        <f>Inputs!W36</f>
        <v>0.2806524854420322</v>
      </c>
      <c r="X27" s="42">
        <f>Inputs!X36</f>
        <v>0</v>
      </c>
      <c r="Y27" s="42">
        <f>Inputs!Y36</f>
        <v>0</v>
      </c>
      <c r="Z27" s="42">
        <f>Inputs!Z36</f>
        <v>0</v>
      </c>
      <c r="AA27" s="42">
        <f>Inputs!AA36</f>
        <v>0</v>
      </c>
      <c r="AB27" s="42">
        <f>Inputs!AB36</f>
        <v>0</v>
      </c>
      <c r="AC27" s="42">
        <f>Inputs!AC36</f>
        <v>0</v>
      </c>
      <c r="AD27" s="42">
        <f>Inputs!AD36</f>
        <v>0</v>
      </c>
      <c r="AE27" s="42">
        <f>Inputs!AE36</f>
        <v>0</v>
      </c>
      <c r="AF27" s="42">
        <f>Inputs!AF36</f>
        <v>0</v>
      </c>
      <c r="AG27" s="42">
        <f>Inputs!AG36</f>
        <v>0</v>
      </c>
      <c r="AH27" s="42">
        <f>Inputs!AH36</f>
        <v>0</v>
      </c>
      <c r="AI27" s="42">
        <f>Inputs!AI36</f>
        <v>0</v>
      </c>
      <c r="AJ27" s="42">
        <f>Inputs!AJ36</f>
        <v>0</v>
      </c>
      <c r="AK27" s="42">
        <f>Inputs!AK36</f>
        <v>0</v>
      </c>
      <c r="AL27" s="42">
        <f>Inputs!AL36</f>
        <v>0</v>
      </c>
      <c r="AM27" s="42">
        <f>Inputs!AM36</f>
        <v>0</v>
      </c>
      <c r="AN27" s="42">
        <f>Inputs!AN36</f>
        <v>0</v>
      </c>
      <c r="AO27" s="42">
        <f>Inputs!AO36</f>
        <v>0</v>
      </c>
      <c r="AP27" s="42">
        <f>Inputs!AP36</f>
        <v>0</v>
      </c>
      <c r="AQ27" s="42">
        <f>Inputs!AQ36</f>
        <v>0</v>
      </c>
      <c r="AR27" s="42">
        <f>Inputs!AR36</f>
        <v>0</v>
      </c>
      <c r="AS27" s="42">
        <f>Inputs!AS36</f>
        <v>0</v>
      </c>
      <c r="AT27" s="42">
        <f>Inputs!AT36</f>
        <v>0</v>
      </c>
      <c r="AU27" s="42">
        <f>Inputs!AU36</f>
        <v>0</v>
      </c>
      <c r="AV27" s="42">
        <f>Inputs!AV36</f>
        <v>0</v>
      </c>
      <c r="AW27" s="42">
        <f>Inputs!AW36</f>
        <v>0</v>
      </c>
      <c r="AX27" s="42">
        <f>Inputs!AX36</f>
        <v>0</v>
      </c>
    </row>
    <row r="28" spans="1:50" ht="15" customHeight="1">
      <c r="A28"/>
      <c r="B28" s="5"/>
      <c r="C28" s="5"/>
      <c r="D28" s="5"/>
      <c r="E28" s="16" t="s">
        <v>327</v>
      </c>
      <c r="F28" s="5"/>
      <c r="G28" s="5" t="str">
        <f>Inputs!$I$11</f>
        <v>£m 2020 prices</v>
      </c>
      <c r="H28" s="5"/>
      <c r="I28" s="6"/>
      <c r="J28" s="6"/>
      <c r="K28" s="188">
        <f>((1+$I22)^(1-K8-K9)-1)*(K24+(K25+K26+K27)/(2+$I22))</f>
        <v>0</v>
      </c>
      <c r="L28" s="188">
        <f t="shared" ref="L28:AX28" si="10">((1+$I22)^(1-L8-L9)-1)*(L24+(L25+L26+L27)/(2+$I22))</f>
        <v>1.386821433382169E-3</v>
      </c>
      <c r="M28" s="188">
        <f t="shared" si="10"/>
        <v>3.9624850883106019E-3</v>
      </c>
      <c r="N28" s="188">
        <f t="shared" si="10"/>
        <v>1.176096630038366E-2</v>
      </c>
      <c r="O28" s="188">
        <f t="shared" si="10"/>
        <v>2.7258873565349624E-2</v>
      </c>
      <c r="P28" s="188">
        <f t="shared" si="10"/>
        <v>0.17169433917124269</v>
      </c>
      <c r="Q28" s="188">
        <f t="shared" si="10"/>
        <v>0.3842818294231658</v>
      </c>
      <c r="R28" s="188">
        <f t="shared" si="10"/>
        <v>0.49455518847617108</v>
      </c>
      <c r="S28" s="188">
        <f t="shared" si="10"/>
        <v>0.72530664353761121</v>
      </c>
      <c r="T28" s="188">
        <f t="shared" si="10"/>
        <v>2.5691817176646192</v>
      </c>
      <c r="U28" s="188">
        <f t="shared" si="10"/>
        <v>5.8170728909562106</v>
      </c>
      <c r="V28" s="188">
        <f t="shared" si="10"/>
        <v>8.8464665195607903</v>
      </c>
      <c r="W28" s="188">
        <f t="shared" si="10"/>
        <v>0.8384554685033756</v>
      </c>
      <c r="X28" s="188">
        <f t="shared" si="10"/>
        <v>0</v>
      </c>
      <c r="Y28" s="188">
        <f t="shared" si="10"/>
        <v>0</v>
      </c>
      <c r="Z28" s="188">
        <f t="shared" si="10"/>
        <v>0</v>
      </c>
      <c r="AA28" s="188">
        <f t="shared" si="10"/>
        <v>0</v>
      </c>
      <c r="AB28" s="188">
        <f t="shared" si="10"/>
        <v>0</v>
      </c>
      <c r="AC28" s="188">
        <f t="shared" si="10"/>
        <v>0</v>
      </c>
      <c r="AD28" s="188">
        <f t="shared" si="10"/>
        <v>0</v>
      </c>
      <c r="AE28" s="188">
        <f t="shared" si="10"/>
        <v>0</v>
      </c>
      <c r="AF28" s="188">
        <f t="shared" si="10"/>
        <v>0</v>
      </c>
      <c r="AG28" s="188">
        <f t="shared" si="10"/>
        <v>0</v>
      </c>
      <c r="AH28" s="188">
        <f t="shared" si="10"/>
        <v>0</v>
      </c>
      <c r="AI28" s="188">
        <f t="shared" si="10"/>
        <v>0</v>
      </c>
      <c r="AJ28" s="188">
        <f t="shared" si="10"/>
        <v>0</v>
      </c>
      <c r="AK28" s="188">
        <f t="shared" si="10"/>
        <v>0</v>
      </c>
      <c r="AL28" s="188">
        <f t="shared" si="10"/>
        <v>0</v>
      </c>
      <c r="AM28" s="188">
        <f t="shared" si="10"/>
        <v>0</v>
      </c>
      <c r="AN28" s="188">
        <f t="shared" si="10"/>
        <v>0</v>
      </c>
      <c r="AO28" s="188">
        <f t="shared" si="10"/>
        <v>0</v>
      </c>
      <c r="AP28" s="188">
        <f t="shared" si="10"/>
        <v>0</v>
      </c>
      <c r="AQ28" s="188">
        <f t="shared" si="10"/>
        <v>0</v>
      </c>
      <c r="AR28" s="188">
        <f t="shared" si="10"/>
        <v>0</v>
      </c>
      <c r="AS28" s="188">
        <f t="shared" si="10"/>
        <v>0</v>
      </c>
      <c r="AT28" s="188">
        <f t="shared" si="10"/>
        <v>0</v>
      </c>
      <c r="AU28" s="188">
        <f t="shared" si="10"/>
        <v>0</v>
      </c>
      <c r="AV28" s="188">
        <f t="shared" si="10"/>
        <v>0</v>
      </c>
      <c r="AW28" s="188">
        <f t="shared" si="10"/>
        <v>0</v>
      </c>
      <c r="AX28" s="188">
        <f t="shared" si="10"/>
        <v>0</v>
      </c>
    </row>
    <row r="29" spans="1:50" ht="15" customHeight="1">
      <c r="A29" s="5"/>
      <c r="B29" s="5"/>
      <c r="C29" s="5"/>
      <c r="D29" s="5"/>
      <c r="E29" s="5"/>
      <c r="F29" s="5"/>
      <c r="G29" s="5"/>
      <c r="H29" s="5"/>
      <c r="I29" s="6"/>
      <c r="J29" s="6"/>
      <c r="K29" s="6"/>
      <c r="L29" s="6"/>
      <c r="M29" s="6"/>
      <c r="N29" s="6"/>
      <c r="O29" s="6"/>
      <c r="P29" s="6"/>
      <c r="Q29" s="6"/>
      <c r="R29" s="6"/>
      <c r="S29" s="5"/>
      <c r="T29" s="5"/>
      <c r="U29" s="5"/>
      <c r="V29" s="5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</row>
    <row r="30" spans="1:50" ht="15" customHeight="1">
      <c r="A30" s="5"/>
      <c r="B30" s="267" t="s">
        <v>328</v>
      </c>
      <c r="C30" s="56"/>
      <c r="D30" s="56"/>
      <c r="E30" s="56"/>
      <c r="F30" s="56"/>
      <c r="G30" s="56"/>
      <c r="H30" s="56"/>
      <c r="I30" s="79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6"/>
      <c r="AM30" s="56"/>
      <c r="AN30" s="56"/>
      <c r="AO30" s="56"/>
      <c r="AP30" s="56"/>
      <c r="AQ30" s="56"/>
      <c r="AR30" s="56"/>
      <c r="AS30" s="56"/>
      <c r="AT30" s="56"/>
      <c r="AU30" s="56"/>
      <c r="AV30" s="56"/>
      <c r="AW30" s="56"/>
      <c r="AX30" s="56"/>
    </row>
    <row r="31" spans="1:50" ht="15" customHeight="1">
      <c r="A31" s="5"/>
      <c r="B31" s="5"/>
      <c r="C31" s="5"/>
      <c r="D31" s="5"/>
      <c r="E31" s="5"/>
      <c r="F31" s="5"/>
      <c r="G31" s="5"/>
      <c r="H31" s="5"/>
      <c r="I31" s="24"/>
      <c r="J31" s="6"/>
      <c r="K31" s="6"/>
      <c r="L31" s="6"/>
      <c r="M31" s="6"/>
      <c r="N31" s="6"/>
      <c r="O31" s="6"/>
      <c r="P31" s="6"/>
      <c r="Q31" s="6"/>
      <c r="R31" s="6"/>
      <c r="S31" s="5"/>
      <c r="T31" s="5"/>
      <c r="U31" s="5"/>
      <c r="V31" s="5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</row>
    <row r="32" spans="1:50" ht="15" customHeight="1">
      <c r="A32" s="5"/>
      <c r="B32" s="5"/>
      <c r="C32" s="10" t="s">
        <v>329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spans="1:50" ht="15" customHeight="1">
      <c r="A33" s="17"/>
      <c r="B33" s="17"/>
      <c r="C33" s="17"/>
      <c r="D33" s="17"/>
      <c r="E33" s="16"/>
      <c r="F33" s="17"/>
      <c r="G33" s="16"/>
      <c r="H33" s="17"/>
      <c r="I33" s="16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</row>
    <row r="34" spans="1:50" ht="15" customHeight="1">
      <c r="A34" s="17"/>
      <c r="B34" s="17"/>
      <c r="C34" s="17"/>
      <c r="D34" s="17"/>
      <c r="E34" s="16" t="s">
        <v>182</v>
      </c>
      <c r="F34" s="17"/>
      <c r="G34" s="16" t="str">
        <f>Inputs!G73</f>
        <v>%</v>
      </c>
      <c r="H34" s="17"/>
      <c r="I34" s="16">
        <f>Inputs!I73</f>
        <v>0.3977</v>
      </c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</row>
    <row r="35" spans="1:50" ht="15" customHeight="1">
      <c r="A35" s="17"/>
      <c r="B35" s="17"/>
      <c r="C35" s="17"/>
      <c r="D35" s="17"/>
      <c r="E35" s="16" t="s">
        <v>183</v>
      </c>
      <c r="F35" s="17"/>
      <c r="G35" s="16" t="str">
        <f>Inputs!G74</f>
        <v>%</v>
      </c>
      <c r="H35" s="17"/>
      <c r="I35" s="16">
        <f>Inputs!I74</f>
        <v>0.5</v>
      </c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</row>
    <row r="36" spans="1:50" ht="15" customHeight="1">
      <c r="A36" s="17"/>
      <c r="B36" s="17"/>
      <c r="C36" s="17"/>
      <c r="D36" s="17"/>
      <c r="E36" s="57"/>
      <c r="F36" s="17"/>
      <c r="G36" s="5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</row>
    <row r="37" spans="1:50" ht="15" customHeight="1">
      <c r="A37" s="17"/>
      <c r="B37" s="17"/>
      <c r="C37" s="17"/>
      <c r="D37" s="17"/>
      <c r="E37" s="16" t="s">
        <v>185</v>
      </c>
      <c r="F37" s="17"/>
      <c r="G37" s="16" t="str">
        <f>Inputs!G77</f>
        <v>%</v>
      </c>
      <c r="H37" s="17"/>
      <c r="I37" s="16">
        <f>Inputs!I77</f>
        <v>2.5000000000000001E-2</v>
      </c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</row>
    <row r="38" spans="1:50" ht="15" customHeight="1">
      <c r="A38" s="17"/>
      <c r="B38" s="17"/>
      <c r="C38" s="17"/>
      <c r="D38" s="17"/>
      <c r="E38" s="16" t="s">
        <v>184</v>
      </c>
      <c r="F38" s="17"/>
      <c r="G38" s="16" t="str">
        <f>Inputs!G76</f>
        <v>%</v>
      </c>
      <c r="H38" s="17"/>
      <c r="I38" s="16">
        <f>Inputs!I76</f>
        <v>0.05</v>
      </c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</row>
    <row r="39" spans="1:50" ht="15" customHeight="1">
      <c r="A39" s="17"/>
      <c r="B39" s="17"/>
      <c r="C39" s="17"/>
      <c r="D39" s="17"/>
      <c r="E39" s="16"/>
      <c r="F39" s="17"/>
      <c r="G39" s="16"/>
      <c r="H39" s="17"/>
      <c r="I39" s="16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</row>
    <row r="40" spans="1:50" ht="15" customHeight="1">
      <c r="A40" s="5"/>
      <c r="B40" s="5"/>
      <c r="C40" s="10" t="s">
        <v>330</v>
      </c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spans="1:50" ht="1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</row>
    <row r="42" spans="1:50" ht="15" customHeight="1">
      <c r="A42"/>
      <c r="B42" s="5"/>
      <c r="C42" s="5"/>
      <c r="D42" s="5"/>
      <c r="E42" s="5" t="s">
        <v>331</v>
      </c>
      <c r="F42" s="5"/>
      <c r="G42" s="5" t="str">
        <f>Inputs!$I$11</f>
        <v>£m 2020 prices</v>
      </c>
      <c r="H42" s="5"/>
      <c r="I42" s="24"/>
      <c r="J42" s="6"/>
      <c r="K42" s="91">
        <f>J50</f>
        <v>0</v>
      </c>
      <c r="L42" s="91">
        <f>K50</f>
        <v>0</v>
      </c>
      <c r="M42" s="91">
        <f>L50</f>
        <v>0</v>
      </c>
      <c r="N42" s="91">
        <f t="shared" ref="N42:AT42" si="11">M50</f>
        <v>0</v>
      </c>
      <c r="O42" s="91">
        <f t="shared" si="11"/>
        <v>0</v>
      </c>
      <c r="P42" s="91">
        <f t="shared" si="11"/>
        <v>0</v>
      </c>
      <c r="Q42" s="91">
        <f t="shared" si="11"/>
        <v>0</v>
      </c>
      <c r="R42" s="91">
        <f t="shared" si="11"/>
        <v>0</v>
      </c>
      <c r="S42" s="91">
        <f t="shared" si="11"/>
        <v>8.7099959398786311</v>
      </c>
      <c r="T42" s="91">
        <f t="shared" si="11"/>
        <v>9.1637867283463077</v>
      </c>
      <c r="U42" s="91">
        <f t="shared" si="11"/>
        <v>9.6412200168931506</v>
      </c>
      <c r="V42" s="91">
        <f t="shared" si="11"/>
        <v>10.143527579773284</v>
      </c>
      <c r="W42" s="91">
        <f t="shared" si="11"/>
        <v>10.672005366679473</v>
      </c>
      <c r="X42" s="91">
        <f t="shared" si="11"/>
        <v>0</v>
      </c>
      <c r="Y42" s="91">
        <f t="shared" si="11"/>
        <v>0</v>
      </c>
      <c r="Z42" s="91">
        <f t="shared" si="11"/>
        <v>0</v>
      </c>
      <c r="AA42" s="91">
        <f t="shared" si="11"/>
        <v>0</v>
      </c>
      <c r="AB42" s="91">
        <f t="shared" si="11"/>
        <v>0</v>
      </c>
      <c r="AC42" s="91">
        <f t="shared" si="11"/>
        <v>0</v>
      </c>
      <c r="AD42" s="91">
        <f t="shared" si="11"/>
        <v>0</v>
      </c>
      <c r="AE42" s="91">
        <f t="shared" si="11"/>
        <v>0</v>
      </c>
      <c r="AF42" s="91">
        <f t="shared" si="11"/>
        <v>0</v>
      </c>
      <c r="AG42" s="91">
        <f t="shared" si="11"/>
        <v>0</v>
      </c>
      <c r="AH42" s="91">
        <f t="shared" si="11"/>
        <v>0</v>
      </c>
      <c r="AI42" s="91">
        <f t="shared" si="11"/>
        <v>0</v>
      </c>
      <c r="AJ42" s="91">
        <f t="shared" si="11"/>
        <v>0</v>
      </c>
      <c r="AK42" s="91">
        <f t="shared" si="11"/>
        <v>0</v>
      </c>
      <c r="AL42" s="91">
        <f t="shared" si="11"/>
        <v>0</v>
      </c>
      <c r="AM42" s="91">
        <f t="shared" si="11"/>
        <v>0</v>
      </c>
      <c r="AN42" s="91">
        <f t="shared" si="11"/>
        <v>0</v>
      </c>
      <c r="AO42" s="91">
        <f t="shared" si="11"/>
        <v>0</v>
      </c>
      <c r="AP42" s="91">
        <f t="shared" si="11"/>
        <v>0</v>
      </c>
      <c r="AQ42" s="91">
        <f t="shared" si="11"/>
        <v>0</v>
      </c>
      <c r="AR42" s="91">
        <f t="shared" si="11"/>
        <v>0</v>
      </c>
      <c r="AS42" s="91">
        <f t="shared" si="11"/>
        <v>0</v>
      </c>
      <c r="AT42" s="91">
        <f t="shared" si="11"/>
        <v>0</v>
      </c>
      <c r="AU42" s="91">
        <f t="shared" ref="AU42" si="12">AT50</f>
        <v>0</v>
      </c>
      <c r="AV42" s="91">
        <f t="shared" ref="AV42" si="13">AU50</f>
        <v>0</v>
      </c>
      <c r="AW42" s="91">
        <f t="shared" ref="AW42" si="14">AV50</f>
        <v>0</v>
      </c>
      <c r="AX42" s="91">
        <f t="shared" ref="AX42" si="15">AW50</f>
        <v>0</v>
      </c>
    </row>
    <row r="43" spans="1:50" ht="15" customHeight="1">
      <c r="A43"/>
      <c r="B43" s="5"/>
      <c r="C43" s="5"/>
      <c r="D43" s="5"/>
      <c r="E43" s="5" t="s">
        <v>332</v>
      </c>
      <c r="F43" s="5"/>
      <c r="G43" s="5" t="str">
        <f>Inputs!$I$11</f>
        <v>£m 2020 prices</v>
      </c>
      <c r="H43" s="5"/>
      <c r="I43" s="24"/>
      <c r="J43" s="6"/>
      <c r="K43" s="43">
        <f>$I34*K$13*$I37*'Op Rav'!$K$11</f>
        <v>0</v>
      </c>
      <c r="L43" s="43">
        <f>$I34*L$13*$I37*'Op Rav'!$K$11</f>
        <v>0</v>
      </c>
      <c r="M43" s="43">
        <f>$I34*M$13*$I37*'Op Rav'!$K$11</f>
        <v>0</v>
      </c>
      <c r="N43" s="43">
        <f>$I34*N$13*$I37*'Op Rav'!$K$11</f>
        <v>0</v>
      </c>
      <c r="O43" s="43">
        <f>$I34*O$13*$I37*'Op Rav'!$K$11</f>
        <v>0</v>
      </c>
      <c r="P43" s="43">
        <f>$I34*P$13*$I37*'Op Rav'!$K$11</f>
        <v>0</v>
      </c>
      <c r="Q43" s="43">
        <f>$I34*Q$13*$I37*'Op Rav'!$K$11</f>
        <v>0</v>
      </c>
      <c r="R43" s="43">
        <f>$I34*R$13*$I37*'Op Rav'!$K$11</f>
        <v>2.1083427505337569</v>
      </c>
      <c r="S43" s="43">
        <f>$I34*S$13*$I37*'Op Rav'!$K$11</f>
        <v>0</v>
      </c>
      <c r="T43" s="43">
        <f>$I34*T$13*$I37*'Op Rav'!$K$11</f>
        <v>0</v>
      </c>
      <c r="U43" s="43">
        <f>$I34*U$13*$I37*'Op Rav'!$K$11</f>
        <v>0</v>
      </c>
      <c r="V43" s="43">
        <f>$I34*V$13*$I37*'Op Rav'!$K$11</f>
        <v>0</v>
      </c>
      <c r="W43" s="43">
        <f>$I34*W$13*$I37*'Op Rav'!$K$11</f>
        <v>0</v>
      </c>
      <c r="X43" s="43">
        <f>$I34*X$13*$I37*'Op Rav'!$K$11</f>
        <v>0</v>
      </c>
      <c r="Y43" s="43">
        <f>$I34*Y$13*$I37*'Op Rav'!$K$11</f>
        <v>0</v>
      </c>
      <c r="Z43" s="43">
        <f>$I34*Z$13*$I37*'Op Rav'!$K$11</f>
        <v>0</v>
      </c>
      <c r="AA43" s="43">
        <f>$I34*AA$13*$I37*'Op Rav'!$K$11</f>
        <v>0</v>
      </c>
      <c r="AB43" s="43">
        <f>$I34*AB$13*$I37*'Op Rav'!$K$11</f>
        <v>0</v>
      </c>
      <c r="AC43" s="43">
        <f>$I34*AC$13*$I37*'Op Rav'!$K$11</f>
        <v>0</v>
      </c>
      <c r="AD43" s="43">
        <f>$I34*AD$13*$I37*'Op Rav'!$K$11</f>
        <v>0</v>
      </c>
      <c r="AE43" s="43">
        <f>$I34*AE$13*$I37*'Op Rav'!$K$11</f>
        <v>0</v>
      </c>
      <c r="AF43" s="43">
        <f>$I34*AF$13*$I37*'Op Rav'!$K$11</f>
        <v>0</v>
      </c>
      <c r="AG43" s="43">
        <f>$I34*AG$13*$I37*'Op Rav'!$K$11</f>
        <v>0</v>
      </c>
      <c r="AH43" s="43">
        <f>$I34*AH$13*$I37*'Op Rav'!$K$11</f>
        <v>0</v>
      </c>
      <c r="AI43" s="43">
        <f>$I34*AI$13*$I37*'Op Rav'!$K$11</f>
        <v>0</v>
      </c>
      <c r="AJ43" s="43">
        <f>$I34*AJ$13*$I37*'Op Rav'!$K$11</f>
        <v>0</v>
      </c>
      <c r="AK43" s="43">
        <f>$I34*AK$13*$I37*'Op Rav'!$K$11</f>
        <v>0</v>
      </c>
      <c r="AL43" s="43">
        <f>$I34*AL$13*$I37*'Op Rav'!$K$11</f>
        <v>0</v>
      </c>
      <c r="AM43" s="43">
        <f>$I34*AM$13*$I37*'Op Rav'!$K$11</f>
        <v>0</v>
      </c>
      <c r="AN43" s="43">
        <f>$I34*AN$13*$I37*'Op Rav'!$K$11</f>
        <v>0</v>
      </c>
      <c r="AO43" s="43">
        <f>$I34*AO$13*$I37*'Op Rav'!$K$11</f>
        <v>0</v>
      </c>
      <c r="AP43" s="43">
        <f>$I34*AP$13*$I37*'Op Rav'!$K$11</f>
        <v>0</v>
      </c>
      <c r="AQ43" s="43">
        <f>$I34*AQ$13*$I37*'Op Rav'!$K$11</f>
        <v>0</v>
      </c>
      <c r="AR43" s="43">
        <f>$I34*AR$13*$I37*'Op Rav'!$K$11</f>
        <v>0</v>
      </c>
      <c r="AS43" s="43">
        <f>$I34*AS$13*$I37*'Op Rav'!$K$11</f>
        <v>0</v>
      </c>
      <c r="AT43" s="43">
        <f>$I34*AT$13*$I37*'Op Rav'!$K$11</f>
        <v>0</v>
      </c>
      <c r="AU43" s="43">
        <f>$I34*AU$13*$I37*'Op Rav'!$K$11</f>
        <v>0</v>
      </c>
      <c r="AV43" s="43">
        <f>$I34*AV$13*$I37*'Op Rav'!$K$11</f>
        <v>0</v>
      </c>
      <c r="AW43" s="43">
        <f>$I34*AW$13*$I37*'Op Rav'!$K$11</f>
        <v>0</v>
      </c>
      <c r="AX43" s="43">
        <f>$I34*AX$13*$I37*'Op Rav'!$K$11</f>
        <v>0</v>
      </c>
    </row>
    <row r="44" spans="1:50" ht="15" customHeight="1">
      <c r="A44"/>
      <c r="B44" s="5"/>
      <c r="C44" s="5"/>
      <c r="D44" s="5"/>
      <c r="E44" s="5" t="s">
        <v>333</v>
      </c>
      <c r="F44" s="5"/>
      <c r="G44" s="5" t="str">
        <f>Inputs!$I$11</f>
        <v>£m 2020 prices</v>
      </c>
      <c r="H44" s="5"/>
      <c r="I44" s="24"/>
      <c r="J44" s="6"/>
      <c r="K44" s="43">
        <f>(1-$I34)*K$13*$I38*'Op Rav'!$K$11</f>
        <v>0</v>
      </c>
      <c r="L44" s="43">
        <f>(1-$I34)*L$13*$I38*'Op Rav'!$K$11</f>
        <v>0</v>
      </c>
      <c r="M44" s="43">
        <f>(1-$I34)*M$13*$I38*'Op Rav'!$K$11</f>
        <v>0</v>
      </c>
      <c r="N44" s="43">
        <f>(1-$I34)*N$13*$I38*'Op Rav'!$K$11</f>
        <v>0</v>
      </c>
      <c r="O44" s="43">
        <f>(1-$I34)*O$13*$I38*'Op Rav'!$K$11</f>
        <v>0</v>
      </c>
      <c r="P44" s="43">
        <f>(1-$I34)*P$13*$I38*'Op Rav'!$K$11</f>
        <v>0</v>
      </c>
      <c r="Q44" s="43">
        <f>(1-$I34)*Q$13*$I38*'Op Rav'!$K$11</f>
        <v>0</v>
      </c>
      <c r="R44" s="43">
        <f>(1-$I34)*R$13*$I38*'Op Rav'!$K$11</f>
        <v>6.3859936567587718</v>
      </c>
      <c r="S44" s="43">
        <f>(1-$I34)*S$13*$I38*'Op Rav'!$K$11</f>
        <v>0</v>
      </c>
      <c r="T44" s="43">
        <f>(1-$I34)*T$13*$I38*'Op Rav'!$K$11</f>
        <v>0</v>
      </c>
      <c r="U44" s="43">
        <f>(1-$I34)*U$13*$I38*'Op Rav'!$K$11</f>
        <v>0</v>
      </c>
      <c r="V44" s="43">
        <f>(1-$I34)*V$13*$I38*'Op Rav'!$K$11</f>
        <v>0</v>
      </c>
      <c r="W44" s="43">
        <f>(1-$I34)*W$13*$I38*'Op Rav'!$K$11</f>
        <v>0</v>
      </c>
      <c r="X44" s="43">
        <f>(1-$I34)*X$13*$I38*'Op Rav'!$K$11</f>
        <v>0</v>
      </c>
      <c r="Y44" s="43">
        <f>(1-$I34)*Y$13*$I38*'Op Rav'!$K$11</f>
        <v>0</v>
      </c>
      <c r="Z44" s="43">
        <f>(1-$I34)*Z$13*$I38*'Op Rav'!$K$11</f>
        <v>0</v>
      </c>
      <c r="AA44" s="43">
        <f>(1-$I34)*AA$13*$I38*'Op Rav'!$K$11</f>
        <v>0</v>
      </c>
      <c r="AB44" s="43">
        <f>(1-$I34)*AB$13*$I38*'Op Rav'!$K$11</f>
        <v>0</v>
      </c>
      <c r="AC44" s="43">
        <f>(1-$I34)*AC$13*$I38*'Op Rav'!$K$11</f>
        <v>0</v>
      </c>
      <c r="AD44" s="43">
        <f>(1-$I34)*AD$13*$I38*'Op Rav'!$K$11</f>
        <v>0</v>
      </c>
      <c r="AE44" s="43">
        <f>(1-$I34)*AE$13*$I38*'Op Rav'!$K$11</f>
        <v>0</v>
      </c>
      <c r="AF44" s="43">
        <f>(1-$I34)*AF$13*$I38*'Op Rav'!$K$11</f>
        <v>0</v>
      </c>
      <c r="AG44" s="43">
        <f>(1-$I34)*AG$13*$I38*'Op Rav'!$K$11</f>
        <v>0</v>
      </c>
      <c r="AH44" s="43">
        <f>(1-$I34)*AH$13*$I38*'Op Rav'!$K$11</f>
        <v>0</v>
      </c>
      <c r="AI44" s="43">
        <f>(1-$I34)*AI$13*$I38*'Op Rav'!$K$11</f>
        <v>0</v>
      </c>
      <c r="AJ44" s="43">
        <f>(1-$I34)*AJ$13*$I38*'Op Rav'!$K$11</f>
        <v>0</v>
      </c>
      <c r="AK44" s="43">
        <f>(1-$I34)*AK$13*$I38*'Op Rav'!$K$11</f>
        <v>0</v>
      </c>
      <c r="AL44" s="43">
        <f>(1-$I34)*AL$13*$I38*'Op Rav'!$K$11</f>
        <v>0</v>
      </c>
      <c r="AM44" s="43">
        <f>(1-$I34)*AM$13*$I38*'Op Rav'!$K$11</f>
        <v>0</v>
      </c>
      <c r="AN44" s="43">
        <f>(1-$I34)*AN$13*$I38*'Op Rav'!$K$11</f>
        <v>0</v>
      </c>
      <c r="AO44" s="43">
        <f>(1-$I34)*AO$13*$I38*'Op Rav'!$K$11</f>
        <v>0</v>
      </c>
      <c r="AP44" s="43">
        <f>(1-$I34)*AP$13*$I38*'Op Rav'!$K$11</f>
        <v>0</v>
      </c>
      <c r="AQ44" s="43">
        <f>(1-$I34)*AQ$13*$I38*'Op Rav'!$K$11</f>
        <v>0</v>
      </c>
      <c r="AR44" s="43">
        <f>(1-$I34)*AR$13*$I38*'Op Rav'!$K$11</f>
        <v>0</v>
      </c>
      <c r="AS44" s="43">
        <f>(1-$I34)*AS$13*$I38*'Op Rav'!$K$11</f>
        <v>0</v>
      </c>
      <c r="AT44" s="43">
        <f>(1-$I34)*AT$13*$I38*'Op Rav'!$K$11</f>
        <v>0</v>
      </c>
      <c r="AU44" s="43">
        <f>(1-$I34)*AU$13*$I38*'Op Rav'!$K$11</f>
        <v>0</v>
      </c>
      <c r="AV44" s="43">
        <f>(1-$I34)*AV$13*$I38*'Op Rav'!$K$11</f>
        <v>0</v>
      </c>
      <c r="AW44" s="43">
        <f>(1-$I34)*AW$13*$I38*'Op Rav'!$K$11</f>
        <v>0</v>
      </c>
      <c r="AX44" s="43">
        <f>(1-$I34)*AX$13*$I38*'Op Rav'!$K$11</f>
        <v>0</v>
      </c>
    </row>
    <row r="45" spans="1:50" ht="15" customHeight="1">
      <c r="A45"/>
      <c r="B45" s="5"/>
      <c r="C45" s="5"/>
      <c r="D45" s="5"/>
      <c r="E45" s="5" t="s">
        <v>334</v>
      </c>
      <c r="F45" s="5"/>
      <c r="G45" s="5" t="str">
        <f>Inputs!$I$11</f>
        <v>£m 2020 prices</v>
      </c>
      <c r="H45" s="5"/>
      <c r="I45" s="24"/>
      <c r="J45" s="6"/>
      <c r="K45" s="43">
        <f>($I35-$I34)*'Op Rav'!$K$11*$I37*K$11</f>
        <v>0</v>
      </c>
      <c r="L45" s="43">
        <f>($I35-$I34)*'Op Rav'!$K$11*$I37*L$11</f>
        <v>0</v>
      </c>
      <c r="M45" s="43">
        <f>($I35-$I34)*'Op Rav'!$K$11*$I37*M$11</f>
        <v>0</v>
      </c>
      <c r="N45" s="43">
        <f>($I35-$I34)*'Op Rav'!$K$11*$I37*N$11</f>
        <v>0</v>
      </c>
      <c r="O45" s="43">
        <f>($I35-$I34)*'Op Rav'!$K$11*$I37*O$11</f>
        <v>0</v>
      </c>
      <c r="P45" s="43">
        <f>($I35-$I34)*'Op Rav'!$K$11*$I37*P$11</f>
        <v>0</v>
      </c>
      <c r="Q45" s="43">
        <f>($I35-$I34)*'Op Rav'!$K$11*$I37*Q$11</f>
        <v>0</v>
      </c>
      <c r="R45" s="43">
        <f>($I35-$I34)*'Op Rav'!$K$11*$I37*R$11</f>
        <v>0</v>
      </c>
      <c r="S45" s="43">
        <f>($I35-$I34)*'Op Rav'!$K$11*$I37*S$11</f>
        <v>0</v>
      </c>
      <c r="T45" s="43">
        <f>($I35-$I34)*'Op Rav'!$K$11*$I37*T$11</f>
        <v>0</v>
      </c>
      <c r="U45" s="43">
        <f>($I35-$I34)*'Op Rav'!$K$11*$I37*U$11</f>
        <v>0</v>
      </c>
      <c r="V45" s="43">
        <f>($I35-$I34)*'Op Rav'!$K$11*$I37*V$11</f>
        <v>0</v>
      </c>
      <c r="W45" s="43">
        <f>($I35-$I34)*'Op Rav'!$K$11*$I37*W$11</f>
        <v>0.54232703892281442</v>
      </c>
      <c r="X45" s="43">
        <f>($I35-$I34)*'Op Rav'!$K$11*$I37*X$11</f>
        <v>0</v>
      </c>
      <c r="Y45" s="43">
        <f>($I35-$I34)*'Op Rav'!$K$11*$I37*Y$11</f>
        <v>0</v>
      </c>
      <c r="Z45" s="43">
        <f>($I35-$I34)*'Op Rav'!$K$11*$I37*Z$11</f>
        <v>0</v>
      </c>
      <c r="AA45" s="43">
        <f>($I35-$I34)*'Op Rav'!$K$11*$I37*AA$11</f>
        <v>0</v>
      </c>
      <c r="AB45" s="43">
        <f>($I35-$I34)*'Op Rav'!$K$11*$I37*AB$11</f>
        <v>0</v>
      </c>
      <c r="AC45" s="43">
        <f>($I35-$I34)*'Op Rav'!$K$11*$I37*AC$11</f>
        <v>0</v>
      </c>
      <c r="AD45" s="43">
        <f>($I35-$I34)*'Op Rav'!$K$11*$I37*AD$11</f>
        <v>0</v>
      </c>
      <c r="AE45" s="43">
        <f>($I35-$I34)*'Op Rav'!$K$11*$I37*AE$11</f>
        <v>0</v>
      </c>
      <c r="AF45" s="43">
        <f>($I35-$I34)*'Op Rav'!$K$11*$I37*AF$11</f>
        <v>0</v>
      </c>
      <c r="AG45" s="43">
        <f>($I35-$I34)*'Op Rav'!$K$11*$I37*AG$11</f>
        <v>0</v>
      </c>
      <c r="AH45" s="43">
        <f>($I35-$I34)*'Op Rav'!$K$11*$I37*AH$11</f>
        <v>0</v>
      </c>
      <c r="AI45" s="43">
        <f>($I35-$I34)*'Op Rav'!$K$11*$I37*AI$11</f>
        <v>0</v>
      </c>
      <c r="AJ45" s="43">
        <f>($I35-$I34)*'Op Rav'!$K$11*$I37*AJ$11</f>
        <v>0</v>
      </c>
      <c r="AK45" s="43">
        <f>($I35-$I34)*'Op Rav'!$K$11*$I37*AK$11</f>
        <v>0</v>
      </c>
      <c r="AL45" s="43">
        <f>($I35-$I34)*'Op Rav'!$K$11*$I37*AL$11</f>
        <v>0</v>
      </c>
      <c r="AM45" s="43">
        <f>($I35-$I34)*'Op Rav'!$K$11*$I37*AM$11</f>
        <v>0</v>
      </c>
      <c r="AN45" s="43">
        <f>($I35-$I34)*'Op Rav'!$K$11*$I37*AN$11</f>
        <v>0</v>
      </c>
      <c r="AO45" s="43">
        <f>($I35-$I34)*'Op Rav'!$K$11*$I37*AO$11</f>
        <v>0</v>
      </c>
      <c r="AP45" s="43">
        <f>($I35-$I34)*'Op Rav'!$K$11*$I37*AP$11</f>
        <v>0</v>
      </c>
      <c r="AQ45" s="43">
        <f>($I35-$I34)*'Op Rav'!$K$11*$I37*AQ$11</f>
        <v>0</v>
      </c>
      <c r="AR45" s="43">
        <f>($I35-$I34)*'Op Rav'!$K$11*$I37*AR$11</f>
        <v>0</v>
      </c>
      <c r="AS45" s="43">
        <f>($I35-$I34)*'Op Rav'!$K$11*$I37*AS$11</f>
        <v>0</v>
      </c>
      <c r="AT45" s="43">
        <f>($I35-$I34)*'Op Rav'!$K$11*$I37*AT$11</f>
        <v>0</v>
      </c>
      <c r="AU45" s="43">
        <f>($I35-$I34)*'Op Rav'!$K$11*$I37*AU$11</f>
        <v>0</v>
      </c>
      <c r="AV45" s="43">
        <f>($I35-$I34)*'Op Rav'!$K$11*$I37*AV$11</f>
        <v>0</v>
      </c>
      <c r="AW45" s="43">
        <f>($I35-$I34)*'Op Rav'!$K$11*$I37*AW$11</f>
        <v>0</v>
      </c>
      <c r="AX45" s="43">
        <f>($I35-$I34)*'Op Rav'!$K$11*$I37*AX$11</f>
        <v>0</v>
      </c>
    </row>
    <row r="46" spans="1:50" ht="15" customHeight="1">
      <c r="A46"/>
      <c r="B46" s="5"/>
      <c r="C46" s="5"/>
      <c r="D46" s="5"/>
      <c r="E46" s="5" t="s">
        <v>335</v>
      </c>
      <c r="F46" s="5"/>
      <c r="G46" s="5" t="str">
        <f>Inputs!$I$11</f>
        <v>£m 2020 prices</v>
      </c>
      <c r="H46" s="5"/>
      <c r="I46" s="24"/>
      <c r="J46" s="6"/>
      <c r="K46" s="43">
        <f>($I34-$I35)*'Op Rav'!$K$11*$I38*K$11</f>
        <v>0</v>
      </c>
      <c r="L46" s="43">
        <f>($I34-$I35)*'Op Rav'!$K$11*$I38*L$11</f>
        <v>0</v>
      </c>
      <c r="M46" s="43">
        <f>($I34-$I35)*'Op Rav'!$K$11*$I38*M$11</f>
        <v>0</v>
      </c>
      <c r="N46" s="43">
        <f>($I34-$I35)*'Op Rav'!$K$11*$I38*N$11</f>
        <v>0</v>
      </c>
      <c r="O46" s="43">
        <f>($I34-$I35)*'Op Rav'!$K$11*$I38*O$11</f>
        <v>0</v>
      </c>
      <c r="P46" s="43">
        <f>($I34-$I35)*'Op Rav'!$K$11*$I38*P$11</f>
        <v>0</v>
      </c>
      <c r="Q46" s="43">
        <f>($I34-$I35)*'Op Rav'!$K$11*$I38*Q$11</f>
        <v>0</v>
      </c>
      <c r="R46" s="43">
        <f>($I34-$I35)*'Op Rav'!$K$11*$I38*R$11</f>
        <v>0</v>
      </c>
      <c r="S46" s="43">
        <f>($I34-$I35)*'Op Rav'!$K$11*$I38*S$11</f>
        <v>0</v>
      </c>
      <c r="T46" s="43">
        <f>($I34-$I35)*'Op Rav'!$K$11*$I38*T$11</f>
        <v>0</v>
      </c>
      <c r="U46" s="43">
        <f>($I34-$I35)*'Op Rav'!$K$11*$I38*U$11</f>
        <v>0</v>
      </c>
      <c r="V46" s="43">
        <f>($I34-$I35)*'Op Rav'!$K$11*$I38*V$11</f>
        <v>0</v>
      </c>
      <c r="W46" s="43">
        <f>($I34-$I35)*'Op Rav'!$K$11*$I38*W$11</f>
        <v>-1.0846540778456288</v>
      </c>
      <c r="X46" s="43">
        <f>($I34-$I35)*'Op Rav'!$K$11*$I38*X$11</f>
        <v>0</v>
      </c>
      <c r="Y46" s="43">
        <f>($I34-$I35)*'Op Rav'!$K$11*$I38*Y$11</f>
        <v>0</v>
      </c>
      <c r="Z46" s="43">
        <f>($I34-$I35)*'Op Rav'!$K$11*$I38*Z$11</f>
        <v>0</v>
      </c>
      <c r="AA46" s="43">
        <f>($I34-$I35)*'Op Rav'!$K$11*$I38*AA$11</f>
        <v>0</v>
      </c>
      <c r="AB46" s="43">
        <f>($I34-$I35)*'Op Rav'!$K$11*$I38*AB$11</f>
        <v>0</v>
      </c>
      <c r="AC46" s="43">
        <f>($I34-$I35)*'Op Rav'!$K$11*$I38*AC$11</f>
        <v>0</v>
      </c>
      <c r="AD46" s="43">
        <f>($I34-$I35)*'Op Rav'!$K$11*$I38*AD$11</f>
        <v>0</v>
      </c>
      <c r="AE46" s="43">
        <f>($I34-$I35)*'Op Rav'!$K$11*$I38*AE$11</f>
        <v>0</v>
      </c>
      <c r="AF46" s="43">
        <f>($I34-$I35)*'Op Rav'!$K$11*$I38*AF$11</f>
        <v>0</v>
      </c>
      <c r="AG46" s="43">
        <f>($I34-$I35)*'Op Rav'!$K$11*$I38*AG$11</f>
        <v>0</v>
      </c>
      <c r="AH46" s="43">
        <f>($I34-$I35)*'Op Rav'!$K$11*$I38*AH$11</f>
        <v>0</v>
      </c>
      <c r="AI46" s="43">
        <f>($I34-$I35)*'Op Rav'!$K$11*$I38*AI$11</f>
        <v>0</v>
      </c>
      <c r="AJ46" s="43">
        <f>($I34-$I35)*'Op Rav'!$K$11*$I38*AJ$11</f>
        <v>0</v>
      </c>
      <c r="AK46" s="43">
        <f>($I34-$I35)*'Op Rav'!$K$11*$I38*AK$11</f>
        <v>0</v>
      </c>
      <c r="AL46" s="43">
        <f>($I34-$I35)*'Op Rav'!$K$11*$I38*AL$11</f>
        <v>0</v>
      </c>
      <c r="AM46" s="43">
        <f>($I34-$I35)*'Op Rav'!$K$11*$I38*AM$11</f>
        <v>0</v>
      </c>
      <c r="AN46" s="43">
        <f>($I34-$I35)*'Op Rav'!$K$11*$I38*AN$11</f>
        <v>0</v>
      </c>
      <c r="AO46" s="43">
        <f>($I34-$I35)*'Op Rav'!$K$11*$I38*AO$11</f>
        <v>0</v>
      </c>
      <c r="AP46" s="43">
        <f>($I34-$I35)*'Op Rav'!$K$11*$I38*AP$11</f>
        <v>0</v>
      </c>
      <c r="AQ46" s="43">
        <f>($I34-$I35)*'Op Rav'!$K$11*$I38*AQ$11</f>
        <v>0</v>
      </c>
      <c r="AR46" s="43">
        <f>($I34-$I35)*'Op Rav'!$K$11*$I38*AR$11</f>
        <v>0</v>
      </c>
      <c r="AS46" s="43">
        <f>($I34-$I35)*'Op Rav'!$K$11*$I38*AS$11</f>
        <v>0</v>
      </c>
      <c r="AT46" s="43">
        <f>($I34-$I35)*'Op Rav'!$K$11*$I38*AT$11</f>
        <v>0</v>
      </c>
      <c r="AU46" s="43">
        <f>($I34-$I35)*'Op Rav'!$K$11*$I38*AU$11</f>
        <v>0</v>
      </c>
      <c r="AV46" s="43">
        <f>($I34-$I35)*'Op Rav'!$K$11*$I38*AV$11</f>
        <v>0</v>
      </c>
      <c r="AW46" s="43">
        <f>($I34-$I35)*'Op Rav'!$K$11*$I38*AW$11</f>
        <v>0</v>
      </c>
      <c r="AX46" s="43">
        <f>($I34-$I35)*'Op Rav'!$K$11*$I38*AX$11</f>
        <v>0</v>
      </c>
    </row>
    <row r="47" spans="1:50" ht="15" customHeight="1">
      <c r="A47"/>
      <c r="B47" s="5"/>
      <c r="C47" s="5"/>
      <c r="D47" s="5"/>
      <c r="E47" s="5" t="s">
        <v>336</v>
      </c>
      <c r="F47" s="5"/>
      <c r="G47" s="5" t="str">
        <f>Inputs!$I$11</f>
        <v>£m 2020 prices</v>
      </c>
      <c r="H47" s="5"/>
      <c r="I47" s="24"/>
      <c r="J47" s="6"/>
      <c r="K47" s="252">
        <f>SUM(K43:K46)</f>
        <v>0</v>
      </c>
      <c r="L47" s="252">
        <f t="shared" ref="L47:AT47" si="16">SUM(L43:L46)</f>
        <v>0</v>
      </c>
      <c r="M47" s="252">
        <f t="shared" si="16"/>
        <v>0</v>
      </c>
      <c r="N47" s="252">
        <f t="shared" si="16"/>
        <v>0</v>
      </c>
      <c r="O47" s="252">
        <f t="shared" si="16"/>
        <v>0</v>
      </c>
      <c r="P47" s="252">
        <f t="shared" si="16"/>
        <v>0</v>
      </c>
      <c r="Q47" s="252">
        <f t="shared" si="16"/>
        <v>0</v>
      </c>
      <c r="R47" s="252">
        <f>SUM(R43:R46)</f>
        <v>8.4943364072925291</v>
      </c>
      <c r="S47" s="252">
        <f t="shared" si="16"/>
        <v>0</v>
      </c>
      <c r="T47" s="252">
        <f t="shared" si="16"/>
        <v>0</v>
      </c>
      <c r="U47" s="252">
        <f t="shared" si="16"/>
        <v>0</v>
      </c>
      <c r="V47" s="252">
        <f t="shared" si="16"/>
        <v>0</v>
      </c>
      <c r="W47" s="252">
        <f t="shared" si="16"/>
        <v>-0.54232703892281442</v>
      </c>
      <c r="X47" s="252">
        <f t="shared" si="16"/>
        <v>0</v>
      </c>
      <c r="Y47" s="252">
        <f t="shared" si="16"/>
        <v>0</v>
      </c>
      <c r="Z47" s="252">
        <f t="shared" si="16"/>
        <v>0</v>
      </c>
      <c r="AA47" s="252">
        <f t="shared" si="16"/>
        <v>0</v>
      </c>
      <c r="AB47" s="252">
        <f t="shared" si="16"/>
        <v>0</v>
      </c>
      <c r="AC47" s="252">
        <f t="shared" si="16"/>
        <v>0</v>
      </c>
      <c r="AD47" s="252">
        <f t="shared" si="16"/>
        <v>0</v>
      </c>
      <c r="AE47" s="252">
        <f t="shared" si="16"/>
        <v>0</v>
      </c>
      <c r="AF47" s="252">
        <f t="shared" si="16"/>
        <v>0</v>
      </c>
      <c r="AG47" s="252">
        <f t="shared" si="16"/>
        <v>0</v>
      </c>
      <c r="AH47" s="252">
        <f t="shared" si="16"/>
        <v>0</v>
      </c>
      <c r="AI47" s="252">
        <f t="shared" si="16"/>
        <v>0</v>
      </c>
      <c r="AJ47" s="252">
        <f t="shared" si="16"/>
        <v>0</v>
      </c>
      <c r="AK47" s="252">
        <f t="shared" si="16"/>
        <v>0</v>
      </c>
      <c r="AL47" s="252">
        <f t="shared" si="16"/>
        <v>0</v>
      </c>
      <c r="AM47" s="252">
        <f t="shared" si="16"/>
        <v>0</v>
      </c>
      <c r="AN47" s="252">
        <f t="shared" si="16"/>
        <v>0</v>
      </c>
      <c r="AO47" s="252">
        <f t="shared" si="16"/>
        <v>0</v>
      </c>
      <c r="AP47" s="252">
        <f t="shared" si="16"/>
        <v>0</v>
      </c>
      <c r="AQ47" s="252">
        <f t="shared" si="16"/>
        <v>0</v>
      </c>
      <c r="AR47" s="252">
        <f t="shared" si="16"/>
        <v>0</v>
      </c>
      <c r="AS47" s="252">
        <f t="shared" si="16"/>
        <v>0</v>
      </c>
      <c r="AT47" s="252">
        <f t="shared" si="16"/>
        <v>0</v>
      </c>
      <c r="AU47" s="252">
        <f t="shared" ref="AU47:AX47" si="17">SUM(AU43:AU46)</f>
        <v>0</v>
      </c>
      <c r="AV47" s="252">
        <f t="shared" si="17"/>
        <v>0</v>
      </c>
      <c r="AW47" s="252">
        <f t="shared" si="17"/>
        <v>0</v>
      </c>
      <c r="AX47" s="252">
        <f t="shared" si="17"/>
        <v>0</v>
      </c>
    </row>
    <row r="48" spans="1:50" ht="15" customHeight="1">
      <c r="A48"/>
      <c r="B48" s="5"/>
      <c r="C48" s="5"/>
      <c r="D48" s="5"/>
      <c r="E48" s="16" t="s">
        <v>337</v>
      </c>
      <c r="F48" s="5"/>
      <c r="G48" s="5" t="str">
        <f>Inputs!$I$11</f>
        <v>£m 2020 prices</v>
      </c>
      <c r="H48" s="5"/>
      <c r="I48" s="24"/>
      <c r="J48" s="6"/>
      <c r="K48" s="253">
        <f>((1+$I22)^(1-K$9-K$8)-1)*(K42+(K43+K44+K45+K46)/(2+$I22))</f>
        <v>0</v>
      </c>
      <c r="L48" s="253">
        <f t="shared" ref="L48:AX48" si="18">((1+$I22)^(1-L$9-L$8)-1)*(L42+(L43+L44+L45+L46)/(2+$I22))</f>
        <v>0</v>
      </c>
      <c r="M48" s="253">
        <f t="shared" si="18"/>
        <v>0</v>
      </c>
      <c r="N48" s="253">
        <f t="shared" si="18"/>
        <v>0</v>
      </c>
      <c r="O48" s="253">
        <f t="shared" si="18"/>
        <v>0</v>
      </c>
      <c r="P48" s="253">
        <f t="shared" si="18"/>
        <v>0</v>
      </c>
      <c r="Q48" s="253">
        <f t="shared" si="18"/>
        <v>0</v>
      </c>
      <c r="R48" s="253">
        <f t="shared" si="18"/>
        <v>0.21565953258610257</v>
      </c>
      <c r="S48" s="253">
        <f t="shared" si="18"/>
        <v>0.45379078846767701</v>
      </c>
      <c r="T48" s="253">
        <f t="shared" si="18"/>
        <v>0.47743328854684297</v>
      </c>
      <c r="U48" s="253">
        <f t="shared" si="18"/>
        <v>0.50230756288013345</v>
      </c>
      <c r="V48" s="253">
        <f t="shared" si="18"/>
        <v>0.52847778690618852</v>
      </c>
      <c r="W48" s="253">
        <f t="shared" si="18"/>
        <v>4.2082358018199408E-2</v>
      </c>
      <c r="X48" s="253">
        <f t="shared" si="18"/>
        <v>0</v>
      </c>
      <c r="Y48" s="253">
        <f t="shared" si="18"/>
        <v>0</v>
      </c>
      <c r="Z48" s="253">
        <f t="shared" si="18"/>
        <v>0</v>
      </c>
      <c r="AA48" s="253">
        <f t="shared" si="18"/>
        <v>0</v>
      </c>
      <c r="AB48" s="253">
        <f t="shared" si="18"/>
        <v>0</v>
      </c>
      <c r="AC48" s="253">
        <f t="shared" si="18"/>
        <v>0</v>
      </c>
      <c r="AD48" s="253">
        <f t="shared" si="18"/>
        <v>0</v>
      </c>
      <c r="AE48" s="253">
        <f t="shared" si="18"/>
        <v>0</v>
      </c>
      <c r="AF48" s="253">
        <f t="shared" si="18"/>
        <v>0</v>
      </c>
      <c r="AG48" s="253">
        <f t="shared" si="18"/>
        <v>0</v>
      </c>
      <c r="AH48" s="253">
        <f t="shared" si="18"/>
        <v>0</v>
      </c>
      <c r="AI48" s="253">
        <f t="shared" si="18"/>
        <v>0</v>
      </c>
      <c r="AJ48" s="253">
        <f t="shared" si="18"/>
        <v>0</v>
      </c>
      <c r="AK48" s="253">
        <f t="shared" si="18"/>
        <v>0</v>
      </c>
      <c r="AL48" s="253">
        <f t="shared" si="18"/>
        <v>0</v>
      </c>
      <c r="AM48" s="253">
        <f t="shared" si="18"/>
        <v>0</v>
      </c>
      <c r="AN48" s="253">
        <f t="shared" si="18"/>
        <v>0</v>
      </c>
      <c r="AO48" s="253">
        <f t="shared" si="18"/>
        <v>0</v>
      </c>
      <c r="AP48" s="253">
        <f t="shared" si="18"/>
        <v>0</v>
      </c>
      <c r="AQ48" s="253">
        <f t="shared" si="18"/>
        <v>0</v>
      </c>
      <c r="AR48" s="253">
        <f t="shared" si="18"/>
        <v>0</v>
      </c>
      <c r="AS48" s="253">
        <f t="shared" si="18"/>
        <v>0</v>
      </c>
      <c r="AT48" s="253">
        <f t="shared" si="18"/>
        <v>0</v>
      </c>
      <c r="AU48" s="253">
        <f t="shared" si="18"/>
        <v>0</v>
      </c>
      <c r="AV48" s="253">
        <f t="shared" si="18"/>
        <v>0</v>
      </c>
      <c r="AW48" s="253">
        <f t="shared" si="18"/>
        <v>0</v>
      </c>
      <c r="AX48" s="253">
        <f t="shared" si="18"/>
        <v>0</v>
      </c>
    </row>
    <row r="49" spans="1:50" ht="15" customHeight="1">
      <c r="A49"/>
      <c r="B49" s="5"/>
      <c r="C49" s="5"/>
      <c r="D49" s="5"/>
      <c r="E49" s="16" t="s">
        <v>338</v>
      </c>
      <c r="F49" s="5"/>
      <c r="G49" s="5" t="str">
        <f>Inputs!$I$11</f>
        <v>£m 2020 prices</v>
      </c>
      <c r="H49" s="5"/>
      <c r="I49" s="24"/>
      <c r="J49" s="6"/>
      <c r="K49" s="43">
        <f>-SUM(K42,K47,K48)*K$11</f>
        <v>0</v>
      </c>
      <c r="L49" s="43">
        <f t="shared" ref="L49:AX49" si="19">-SUM(L42,L47,L48)*L$11</f>
        <v>0</v>
      </c>
      <c r="M49" s="43">
        <f t="shared" si="19"/>
        <v>0</v>
      </c>
      <c r="N49" s="43">
        <f t="shared" si="19"/>
        <v>0</v>
      </c>
      <c r="O49" s="43">
        <f t="shared" si="19"/>
        <v>0</v>
      </c>
      <c r="P49" s="43">
        <f t="shared" si="19"/>
        <v>0</v>
      </c>
      <c r="Q49" s="43">
        <f t="shared" si="19"/>
        <v>0</v>
      </c>
      <c r="R49" s="43">
        <f t="shared" si="19"/>
        <v>0</v>
      </c>
      <c r="S49" s="43">
        <f t="shared" si="19"/>
        <v>0</v>
      </c>
      <c r="T49" s="43">
        <f t="shared" si="19"/>
        <v>0</v>
      </c>
      <c r="U49" s="43">
        <f t="shared" si="19"/>
        <v>0</v>
      </c>
      <c r="V49" s="43">
        <f t="shared" si="19"/>
        <v>0</v>
      </c>
      <c r="W49" s="43">
        <f t="shared" si="19"/>
        <v>-10.171760685774858</v>
      </c>
      <c r="X49" s="43">
        <f t="shared" si="19"/>
        <v>0</v>
      </c>
      <c r="Y49" s="43">
        <f t="shared" si="19"/>
        <v>0</v>
      </c>
      <c r="Z49" s="43">
        <f t="shared" si="19"/>
        <v>0</v>
      </c>
      <c r="AA49" s="43">
        <f t="shared" si="19"/>
        <v>0</v>
      </c>
      <c r="AB49" s="43">
        <f t="shared" si="19"/>
        <v>0</v>
      </c>
      <c r="AC49" s="43">
        <f t="shared" si="19"/>
        <v>0</v>
      </c>
      <c r="AD49" s="43">
        <f t="shared" si="19"/>
        <v>0</v>
      </c>
      <c r="AE49" s="43">
        <f t="shared" si="19"/>
        <v>0</v>
      </c>
      <c r="AF49" s="43">
        <f t="shared" si="19"/>
        <v>0</v>
      </c>
      <c r="AG49" s="43">
        <f t="shared" si="19"/>
        <v>0</v>
      </c>
      <c r="AH49" s="43">
        <f t="shared" si="19"/>
        <v>0</v>
      </c>
      <c r="AI49" s="43">
        <f t="shared" si="19"/>
        <v>0</v>
      </c>
      <c r="AJ49" s="43">
        <f t="shared" si="19"/>
        <v>0</v>
      </c>
      <c r="AK49" s="43">
        <f t="shared" si="19"/>
        <v>0</v>
      </c>
      <c r="AL49" s="43">
        <f t="shared" si="19"/>
        <v>0</v>
      </c>
      <c r="AM49" s="43">
        <f t="shared" si="19"/>
        <v>0</v>
      </c>
      <c r="AN49" s="43">
        <f t="shared" si="19"/>
        <v>0</v>
      </c>
      <c r="AO49" s="43">
        <f t="shared" si="19"/>
        <v>0</v>
      </c>
      <c r="AP49" s="43">
        <f t="shared" si="19"/>
        <v>0</v>
      </c>
      <c r="AQ49" s="43">
        <f t="shared" si="19"/>
        <v>0</v>
      </c>
      <c r="AR49" s="43">
        <f t="shared" si="19"/>
        <v>0</v>
      </c>
      <c r="AS49" s="43">
        <f t="shared" si="19"/>
        <v>0</v>
      </c>
      <c r="AT49" s="43">
        <f t="shared" si="19"/>
        <v>0</v>
      </c>
      <c r="AU49" s="43">
        <f t="shared" si="19"/>
        <v>0</v>
      </c>
      <c r="AV49" s="43">
        <f t="shared" si="19"/>
        <v>0</v>
      </c>
      <c r="AW49" s="43">
        <f t="shared" si="19"/>
        <v>0</v>
      </c>
      <c r="AX49" s="43">
        <f t="shared" si="19"/>
        <v>0</v>
      </c>
    </row>
    <row r="50" spans="1:50" ht="15" customHeight="1">
      <c r="A50"/>
      <c r="B50" s="5"/>
      <c r="C50" s="5"/>
      <c r="D50" s="5"/>
      <c r="E50" s="5" t="s">
        <v>339</v>
      </c>
      <c r="F50" s="5"/>
      <c r="G50" s="5" t="str">
        <f>Inputs!$I$11</f>
        <v>£m 2020 prices</v>
      </c>
      <c r="H50" s="5"/>
      <c r="I50" s="24"/>
      <c r="J50" s="6"/>
      <c r="K50" s="59">
        <f>SUM(K49,K48,K47,K42)</f>
        <v>0</v>
      </c>
      <c r="L50" s="59">
        <f t="shared" ref="L50:AX50" si="20">SUM(L49,L48,L47,L42)</f>
        <v>0</v>
      </c>
      <c r="M50" s="59">
        <f t="shared" si="20"/>
        <v>0</v>
      </c>
      <c r="N50" s="59">
        <f t="shared" si="20"/>
        <v>0</v>
      </c>
      <c r="O50" s="59">
        <f t="shared" si="20"/>
        <v>0</v>
      </c>
      <c r="P50" s="59">
        <f t="shared" si="20"/>
        <v>0</v>
      </c>
      <c r="Q50" s="59">
        <f t="shared" si="20"/>
        <v>0</v>
      </c>
      <c r="R50" s="59">
        <f t="shared" si="20"/>
        <v>8.7099959398786311</v>
      </c>
      <c r="S50" s="59">
        <f t="shared" si="20"/>
        <v>9.1637867283463077</v>
      </c>
      <c r="T50" s="59">
        <f t="shared" si="20"/>
        <v>9.6412200168931506</v>
      </c>
      <c r="U50" s="59">
        <f t="shared" si="20"/>
        <v>10.143527579773284</v>
      </c>
      <c r="V50" s="59">
        <f t="shared" si="20"/>
        <v>10.672005366679473</v>
      </c>
      <c r="W50" s="59">
        <f t="shared" si="20"/>
        <v>0</v>
      </c>
      <c r="X50" s="59">
        <f t="shared" si="20"/>
        <v>0</v>
      </c>
      <c r="Y50" s="59">
        <f t="shared" si="20"/>
        <v>0</v>
      </c>
      <c r="Z50" s="59">
        <f t="shared" si="20"/>
        <v>0</v>
      </c>
      <c r="AA50" s="59">
        <f t="shared" si="20"/>
        <v>0</v>
      </c>
      <c r="AB50" s="59">
        <f t="shared" si="20"/>
        <v>0</v>
      </c>
      <c r="AC50" s="59">
        <f t="shared" si="20"/>
        <v>0</v>
      </c>
      <c r="AD50" s="59">
        <f t="shared" si="20"/>
        <v>0</v>
      </c>
      <c r="AE50" s="59">
        <f t="shared" si="20"/>
        <v>0</v>
      </c>
      <c r="AF50" s="59">
        <f t="shared" si="20"/>
        <v>0</v>
      </c>
      <c r="AG50" s="59">
        <f t="shared" si="20"/>
        <v>0</v>
      </c>
      <c r="AH50" s="59">
        <f t="shared" si="20"/>
        <v>0</v>
      </c>
      <c r="AI50" s="59">
        <f t="shared" si="20"/>
        <v>0</v>
      </c>
      <c r="AJ50" s="59">
        <f t="shared" si="20"/>
        <v>0</v>
      </c>
      <c r="AK50" s="59">
        <f t="shared" si="20"/>
        <v>0</v>
      </c>
      <c r="AL50" s="59">
        <f t="shared" si="20"/>
        <v>0</v>
      </c>
      <c r="AM50" s="59">
        <f t="shared" si="20"/>
        <v>0</v>
      </c>
      <c r="AN50" s="59">
        <f t="shared" si="20"/>
        <v>0</v>
      </c>
      <c r="AO50" s="59">
        <f t="shared" si="20"/>
        <v>0</v>
      </c>
      <c r="AP50" s="59">
        <f t="shared" si="20"/>
        <v>0</v>
      </c>
      <c r="AQ50" s="59">
        <f t="shared" si="20"/>
        <v>0</v>
      </c>
      <c r="AR50" s="59">
        <f t="shared" si="20"/>
        <v>0</v>
      </c>
      <c r="AS50" s="59">
        <f t="shared" si="20"/>
        <v>0</v>
      </c>
      <c r="AT50" s="59">
        <f t="shared" si="20"/>
        <v>0</v>
      </c>
      <c r="AU50" s="59">
        <f t="shared" si="20"/>
        <v>0</v>
      </c>
      <c r="AV50" s="59">
        <f t="shared" si="20"/>
        <v>0</v>
      </c>
      <c r="AW50" s="59">
        <f t="shared" si="20"/>
        <v>0</v>
      </c>
      <c r="AX50" s="59">
        <f t="shared" si="20"/>
        <v>0</v>
      </c>
    </row>
    <row r="51" spans="1:50" ht="15" customHeight="1">
      <c r="A51"/>
      <c r="B51" s="5"/>
      <c r="C51" s="5"/>
      <c r="D51" s="5"/>
      <c r="E51" s="5"/>
      <c r="F51" s="5"/>
      <c r="G51" s="5"/>
      <c r="H51" s="5"/>
      <c r="I51" s="24"/>
      <c r="J51" s="6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</row>
    <row r="52" spans="1:50" ht="15" customHeight="1">
      <c r="A52" s="220"/>
      <c r="B52" s="267" t="s">
        <v>297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</row>
    <row r="53" spans="1:50" ht="15" customHeight="1">
      <c r="A53" s="220"/>
      <c r="B53" s="5"/>
      <c r="C53" s="5"/>
      <c r="D53" s="5"/>
      <c r="E53" s="5"/>
      <c r="F53" s="5"/>
      <c r="G53" s="5"/>
      <c r="H53" s="5"/>
      <c r="I53" s="24"/>
      <c r="J53" s="6"/>
      <c r="K53" s="6"/>
      <c r="L53" s="6"/>
      <c r="M53" s="6"/>
      <c r="N53" s="6"/>
      <c r="O53" s="6"/>
      <c r="P53" s="6"/>
      <c r="Q53" s="6"/>
      <c r="R53" s="6"/>
      <c r="S53" s="5"/>
      <c r="T53" s="5"/>
      <c r="U53" s="5"/>
      <c r="V53" s="5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</row>
    <row r="54" spans="1:50" ht="15" customHeight="1">
      <c r="A54" s="220"/>
      <c r="B54" s="5"/>
      <c r="C54" s="10" t="s">
        <v>340</v>
      </c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spans="1:50" ht="15" customHeight="1">
      <c r="A55" s="230"/>
      <c r="B55" s="27"/>
      <c r="C55" s="27"/>
      <c r="D55" s="52"/>
      <c r="E55" s="17"/>
      <c r="F55" s="29"/>
      <c r="G55" s="17"/>
      <c r="H55" s="17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</row>
    <row r="56" spans="1:50" ht="15" customHeight="1">
      <c r="A56" s="222"/>
      <c r="B56" s="27"/>
      <c r="C56" s="27"/>
      <c r="D56" s="52"/>
      <c r="E56" s="5" t="s">
        <v>318</v>
      </c>
      <c r="F56" s="29"/>
      <c r="G56" s="4" t="str">
        <f>CONCATENATE(Inputs!$I$9,"m nominal prices")</f>
        <v>£m nominal prices</v>
      </c>
      <c r="H56" s="17"/>
      <c r="I56" s="28"/>
      <c r="J56" s="28"/>
      <c r="K56" s="168">
        <f>'Pre Op RAV'!K54</f>
        <v>0</v>
      </c>
      <c r="L56" s="168">
        <f>'Pre Op RAV'!L54</f>
        <v>0</v>
      </c>
      <c r="M56" s="168">
        <f>'Pre Op RAV'!M54</f>
        <v>0</v>
      </c>
      <c r="N56" s="168">
        <f>'Pre Op RAV'!N54</f>
        <v>0</v>
      </c>
      <c r="O56" s="168">
        <f>'Pre Op RAV'!O54</f>
        <v>0</v>
      </c>
      <c r="P56" s="168">
        <f>'Pre Op RAV'!P54</f>
        <v>0</v>
      </c>
      <c r="Q56" s="168">
        <f>'Pre Op RAV'!Q54</f>
        <v>0</v>
      </c>
      <c r="R56" s="168">
        <f>'Pre Op RAV'!R54</f>
        <v>0</v>
      </c>
      <c r="S56" s="168">
        <f>'Pre Op RAV'!S54</f>
        <v>25.211999316160629</v>
      </c>
      <c r="T56" s="168">
        <f>'Pre Op RAV'!T54</f>
        <v>82.345828849004761</v>
      </c>
      <c r="U56" s="168">
        <f>'Pre Op RAV'!U54</f>
        <v>78.615992514522347</v>
      </c>
      <c r="V56" s="168">
        <f>'Pre Op RAV'!V54</f>
        <v>72.285630952445771</v>
      </c>
      <c r="W56" s="168">
        <f>'Pre Op RAV'!W54</f>
        <v>10.317251498561069</v>
      </c>
      <c r="X56" s="168">
        <f>'Pre Op RAV'!X54</f>
        <v>0</v>
      </c>
      <c r="Y56" s="168">
        <f>'Pre Op RAV'!Y54</f>
        <v>0</v>
      </c>
      <c r="Z56" s="168">
        <f>'Pre Op RAV'!Z54</f>
        <v>0</v>
      </c>
      <c r="AA56" s="168">
        <f>'Pre Op RAV'!AA54</f>
        <v>0</v>
      </c>
      <c r="AB56" s="168">
        <f>'Pre Op RAV'!AB54</f>
        <v>0</v>
      </c>
      <c r="AC56" s="168">
        <f>'Pre Op RAV'!AC54</f>
        <v>0</v>
      </c>
      <c r="AD56" s="168">
        <f>'Pre Op RAV'!AD54</f>
        <v>0</v>
      </c>
      <c r="AE56" s="168">
        <f>'Pre Op RAV'!AE54</f>
        <v>0</v>
      </c>
      <c r="AF56" s="168">
        <f>'Pre Op RAV'!AF54</f>
        <v>0</v>
      </c>
      <c r="AG56" s="168">
        <f>'Pre Op RAV'!AG54</f>
        <v>0</v>
      </c>
      <c r="AH56" s="168">
        <f>'Pre Op RAV'!AH54</f>
        <v>0</v>
      </c>
      <c r="AI56" s="168">
        <f>'Pre Op RAV'!AI54</f>
        <v>0</v>
      </c>
      <c r="AJ56" s="168">
        <f>'Pre Op RAV'!AJ54</f>
        <v>0</v>
      </c>
      <c r="AK56" s="168">
        <f>'Pre Op RAV'!AK54</f>
        <v>0</v>
      </c>
      <c r="AL56" s="168">
        <f>'Pre Op RAV'!AL54</f>
        <v>0</v>
      </c>
      <c r="AM56" s="168">
        <f>'Pre Op RAV'!AM54</f>
        <v>0</v>
      </c>
      <c r="AN56" s="168">
        <f>'Pre Op RAV'!AN54</f>
        <v>0</v>
      </c>
      <c r="AO56" s="168">
        <f>'Pre Op RAV'!AO54</f>
        <v>0</v>
      </c>
      <c r="AP56" s="168">
        <f>'Pre Op RAV'!AP54</f>
        <v>0</v>
      </c>
      <c r="AQ56" s="168">
        <f>'Pre Op RAV'!AQ54</f>
        <v>0</v>
      </c>
      <c r="AR56" s="168">
        <f>'Pre Op RAV'!AR54</f>
        <v>0</v>
      </c>
      <c r="AS56" s="168">
        <f>'Pre Op RAV'!AS54</f>
        <v>0</v>
      </c>
      <c r="AT56" s="168">
        <f>'Pre Op RAV'!AT54</f>
        <v>0</v>
      </c>
      <c r="AU56" s="168">
        <f>'Pre Op RAV'!AU54</f>
        <v>0</v>
      </c>
      <c r="AV56" s="168">
        <f>'Pre Op RAV'!AV54</f>
        <v>0</v>
      </c>
      <c r="AW56" s="168">
        <f>'Pre Op RAV'!AW54</f>
        <v>0</v>
      </c>
      <c r="AX56" s="168">
        <f>'Pre Op RAV'!AX54</f>
        <v>0</v>
      </c>
    </row>
    <row r="57" spans="1:50" ht="15" customHeight="1">
      <c r="A57" s="230"/>
      <c r="B57" s="27"/>
      <c r="C57" s="27"/>
      <c r="D57" s="52"/>
      <c r="E57" s="17"/>
      <c r="F57" s="29"/>
      <c r="G57" s="17"/>
      <c r="H57" s="17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</row>
    <row r="58" spans="1:50" ht="15" customHeight="1">
      <c r="A58" s="230"/>
      <c r="B58" s="27"/>
      <c r="C58" s="27"/>
      <c r="D58" s="52"/>
      <c r="E58" s="4" t="s">
        <v>341</v>
      </c>
      <c r="F58" s="29"/>
      <c r="G58" s="4" t="str">
        <f>CONCATENATE(Inputs!$I$9,"m nominal prices")</f>
        <v>£m nominal prices</v>
      </c>
      <c r="H58" s="17"/>
      <c r="I58" s="28">
        <f>IF(Inputs!I81=1,Inputs!I82,I59*SUM(K56:AX56))</f>
        <v>244.27546350326841</v>
      </c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</row>
    <row r="59" spans="1:50" ht="15" customHeight="1">
      <c r="A59" s="230"/>
      <c r="B59" s="27"/>
      <c r="C59" s="27"/>
      <c r="D59" s="52"/>
      <c r="E59" s="4" t="s">
        <v>342</v>
      </c>
      <c r="F59" s="5"/>
      <c r="G59" s="4" t="s">
        <v>118</v>
      </c>
      <c r="H59" s="17"/>
      <c r="I59" s="16">
        <f>IF(Inputs!I81=2,Inputs!I83,Finance!I58/SUM(Finance!K56:AX56))</f>
        <v>0.90884165427272079</v>
      </c>
      <c r="J59" s="28"/>
      <c r="K59" s="28"/>
      <c r="L59" s="28"/>
      <c r="M59" s="28"/>
      <c r="N59" s="28"/>
      <c r="O59" s="28"/>
      <c r="P59" s="28"/>
      <c r="Q59" s="28"/>
      <c r="R59" s="28"/>
      <c r="S59" s="17"/>
      <c r="T59" s="17"/>
      <c r="U59" s="17"/>
      <c r="V59" s="17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</row>
    <row r="60" spans="1:50" ht="15" customHeight="1">
      <c r="A60" s="230"/>
      <c r="B60" s="27"/>
      <c r="C60" s="27"/>
      <c r="D60" s="52"/>
      <c r="E60" s="17" t="s">
        <v>343</v>
      </c>
      <c r="F60" s="29"/>
      <c r="G60" s="4" t="s">
        <v>118</v>
      </c>
      <c r="H60" s="17"/>
      <c r="I60" s="28"/>
      <c r="J60" s="28"/>
      <c r="K60" s="191">
        <f>IF(Finance!K15&gt;0,INDEX(Inputs!$K$98:$T$98,1,SUM(Finance!$K$15:K15)),0)</f>
        <v>0</v>
      </c>
      <c r="L60" s="191">
        <f>IF(Finance!L15&gt;0,INDEX(Inputs!$K$98:$T$98,1,SUM(Finance!$K$15:L15)),0)</f>
        <v>0</v>
      </c>
      <c r="M60" s="191">
        <f>IF(Finance!M15&gt;0,INDEX(Inputs!$K$98:$T$98,1,SUM(Finance!$K$15:M15)),0)</f>
        <v>0</v>
      </c>
      <c r="N60" s="191">
        <f>IF(Finance!N15&gt;0,INDEX(Inputs!$K$98:$T$98,1,SUM(Finance!$K$15:N15)),0)</f>
        <v>0</v>
      </c>
      <c r="O60" s="191">
        <f>IF(Finance!O15&gt;0,INDEX(Inputs!$K$98:$T$98,1,SUM(Finance!$K$15:O15)),0)</f>
        <v>0</v>
      </c>
      <c r="P60" s="191">
        <f>IF(Finance!P15&gt;0,INDEX(Inputs!$K$98:$T$98,1,SUM(Finance!$K$15:P15)),0)</f>
        <v>0</v>
      </c>
      <c r="Q60" s="191">
        <f>IF(Finance!Q15&gt;0,INDEX(Inputs!$K$98:$T$98,1,SUM(Finance!$K$15:Q15)),0)</f>
        <v>0</v>
      </c>
      <c r="R60" s="191">
        <f>IF(Finance!R15&gt;0,INDEX(Inputs!$K$98:$T$98,1,SUM(Finance!$K$15:R15)),0)</f>
        <v>0</v>
      </c>
      <c r="S60" s="191">
        <f>IF(Finance!S15&gt;0,INDEX(Inputs!$K$98:$T$98,1,SUM(Finance!$K$15:S15)),0)</f>
        <v>0.50574215483891483</v>
      </c>
      <c r="T60" s="191">
        <f>IF(Finance!T15&gt;0,INDEX(Inputs!$K$98:$T$98,1,SUM(Finance!$K$15:T15)),0)</f>
        <v>0.49425784516108517</v>
      </c>
      <c r="U60" s="191">
        <f>IF(Finance!U15&gt;0,INDEX(Inputs!$K$98:$T$98,1,SUM(Finance!$K$15:U15)),0)</f>
        <v>0</v>
      </c>
      <c r="V60" s="191">
        <f>IF(Finance!V15&gt;0,INDEX(Inputs!$K$98:$T$98,1,SUM(Finance!$K$15:V15)),0)</f>
        <v>0</v>
      </c>
      <c r="W60" s="191">
        <f>IF(Finance!W15&gt;0,INDEX(Inputs!$K$98:$T$98,1,SUM(Finance!$K$15:W15)),0)</f>
        <v>0</v>
      </c>
      <c r="X60" s="191">
        <f>IF(Finance!X15&gt;0,INDEX(Inputs!$K$98:$T$98,1,SUM(Finance!$K$15:X15)),0)</f>
        <v>0</v>
      </c>
      <c r="Y60" s="191">
        <f>IF(Finance!Y15&gt;0,INDEX(Inputs!$K$98:$T$98,1,SUM(Finance!$K$15:Y15)),0)</f>
        <v>0</v>
      </c>
      <c r="Z60" s="191">
        <f>IF(Finance!Z15&gt;0,INDEX(Inputs!$K$98:$T$98,1,SUM(Finance!$K$15:Z15)),0)</f>
        <v>0</v>
      </c>
      <c r="AA60" s="191">
        <f>IF(Finance!AA15&gt;0,INDEX(Inputs!$K$98:$T$98,1,SUM(Finance!$K$15:AA15)),0)</f>
        <v>0</v>
      </c>
      <c r="AB60" s="191">
        <f>IF(Finance!AB15&gt;0,INDEX(Inputs!$K$98:$T$98,1,SUM(Finance!$K$15:AB15)),0)</f>
        <v>0</v>
      </c>
      <c r="AC60" s="191">
        <f>IF(Finance!AC15&gt;0,INDEX(Inputs!$K$98:$T$98,1,SUM(Finance!$K$15:AC15)),0)</f>
        <v>0</v>
      </c>
      <c r="AD60" s="191">
        <f>IF(Finance!AD15&gt;0,INDEX(Inputs!$K$98:$T$98,1,SUM(Finance!$K$15:AD15)),0)</f>
        <v>0</v>
      </c>
      <c r="AE60" s="191">
        <f>IF(Finance!AE15&gt;0,INDEX(Inputs!$K$98:$T$98,1,SUM(Finance!$K$15:AE15)),0)</f>
        <v>0</v>
      </c>
      <c r="AF60" s="191">
        <f>IF(Finance!AF15&gt;0,INDEX(Inputs!$K$98:$T$98,1,SUM(Finance!$K$15:AF15)),0)</f>
        <v>0</v>
      </c>
      <c r="AG60" s="191">
        <f>IF(Finance!AG15&gt;0,INDEX(Inputs!$K$98:$T$98,1,SUM(Finance!$K$15:AG15)),0)</f>
        <v>0</v>
      </c>
      <c r="AH60" s="191">
        <f>IF(Finance!AH15&gt;0,INDEX(Inputs!$K$98:$T$98,1,SUM(Finance!$K$15:AH15)),0)</f>
        <v>0</v>
      </c>
      <c r="AI60" s="191">
        <f>IF(Finance!AI15&gt;0,INDEX(Inputs!$K$98:$T$98,1,SUM(Finance!$K$15:AI15)),0)</f>
        <v>0</v>
      </c>
      <c r="AJ60" s="191">
        <f>IF(Finance!AJ15&gt;0,INDEX(Inputs!$K$98:$T$98,1,SUM(Finance!$K$15:AJ15)),0)</f>
        <v>0</v>
      </c>
      <c r="AK60" s="191">
        <f>IF(Finance!AK15&gt;0,INDEX(Inputs!$K$98:$T$98,1,SUM(Finance!$K$15:AK15)),0)</f>
        <v>0</v>
      </c>
      <c r="AL60" s="191">
        <f>IF(Finance!AL15&gt;0,INDEX(Inputs!$K$98:$T$98,1,SUM(Finance!$K$15:AL15)),0)</f>
        <v>0</v>
      </c>
      <c r="AM60" s="191">
        <f>IF(Finance!AM15&gt;0,INDEX(Inputs!$K$98:$T$98,1,SUM(Finance!$K$15:AM15)),0)</f>
        <v>0</v>
      </c>
      <c r="AN60" s="191">
        <f>IF(Finance!AN15&gt;0,INDEX(Inputs!$K$98:$T$98,1,SUM(Finance!$K$15:AN15)),0)</f>
        <v>0</v>
      </c>
      <c r="AO60" s="191">
        <f>IF(Finance!AO15&gt;0,INDEX(Inputs!$K$98:$T$98,1,SUM(Finance!$K$15:AO15)),0)</f>
        <v>0</v>
      </c>
      <c r="AP60" s="191">
        <f>IF(Finance!AP15&gt;0,INDEX(Inputs!$K$98:$T$98,1,SUM(Finance!$K$15:AP15)),0)</f>
        <v>0</v>
      </c>
      <c r="AQ60" s="191">
        <f>IF(Finance!AQ15&gt;0,INDEX(Inputs!$K$98:$T$98,1,SUM(Finance!$K$15:AQ15)),0)</f>
        <v>0</v>
      </c>
      <c r="AR60" s="191">
        <f>IF(Finance!AR15&gt;0,INDEX(Inputs!$K$98:$T$98,1,SUM(Finance!$K$15:AR15)),0)</f>
        <v>0</v>
      </c>
      <c r="AS60" s="191">
        <f>IF(Finance!AS15&gt;0,INDEX(Inputs!$K$98:$T$98,1,SUM(Finance!$K$15:AS15)),0)</f>
        <v>0</v>
      </c>
      <c r="AT60" s="191">
        <f>IF(Finance!AT15&gt;0,INDEX(Inputs!$K$98:$T$98,1,SUM(Finance!$K$15:AT15)),0)</f>
        <v>0</v>
      </c>
      <c r="AU60" s="191">
        <f>IF(Finance!AU15&gt;0,INDEX(Inputs!$K$98:$T$98,1,SUM(Finance!$K$15:AU15)),0)</f>
        <v>0</v>
      </c>
      <c r="AV60" s="191">
        <f>IF(Finance!AV15&gt;0,INDEX(Inputs!$K$98:$T$98,1,SUM(Finance!$K$15:AV15)),0)</f>
        <v>0</v>
      </c>
      <c r="AW60" s="191">
        <f>IF(Finance!AW15&gt;0,INDEX(Inputs!$K$98:$T$98,1,SUM(Finance!$K$15:AW15)),0)</f>
        <v>0</v>
      </c>
      <c r="AX60" s="191">
        <f>IF(Finance!AX15&gt;0,INDEX(Inputs!$K$98:$T$98,1,SUM(Finance!$K$15:AX15)),0)</f>
        <v>0</v>
      </c>
    </row>
    <row r="61" spans="1:50" s="186" customFormat="1" ht="15" customHeight="1">
      <c r="A61" s="230"/>
      <c r="B61" s="27"/>
      <c r="C61" s="27"/>
      <c r="D61" s="52"/>
      <c r="E61" s="17" t="s">
        <v>344</v>
      </c>
      <c r="F61" s="29"/>
      <c r="G61" s="4" t="s">
        <v>118</v>
      </c>
      <c r="H61" s="17"/>
      <c r="I61" s="28"/>
      <c r="J61" s="28"/>
      <c r="K61" s="191">
        <f>SUMIF(Inputs!133:133,Finance!K16,Inputs!134:134)*(K16&lt;&gt;0)</f>
        <v>0</v>
      </c>
      <c r="L61" s="191">
        <f>SUMIF(Inputs!133:133,Finance!L16,Inputs!134:134)*(L16&lt;&gt;0)</f>
        <v>0</v>
      </c>
      <c r="M61" s="191">
        <f>SUMIF(Inputs!133:133,Finance!M16,Inputs!134:134)*(M16&lt;&gt;0)</f>
        <v>0</v>
      </c>
      <c r="N61" s="191">
        <f>SUMIF(Inputs!133:133,Finance!N16,Inputs!134:134)*(N16&lt;&gt;0)</f>
        <v>0</v>
      </c>
      <c r="O61" s="191">
        <f>SUMIF(Inputs!133:133,Finance!O16,Inputs!134:134)*(O16&lt;&gt;0)</f>
        <v>0</v>
      </c>
      <c r="P61" s="191">
        <f>SUMIF(Inputs!133:133,Finance!P16,Inputs!134:134)*(P16&lt;&gt;0)</f>
        <v>0</v>
      </c>
      <c r="Q61" s="191">
        <f>SUMIF(Inputs!133:133,Finance!Q16,Inputs!134:134)*(Q16&lt;&gt;0)</f>
        <v>0</v>
      </c>
      <c r="R61" s="191">
        <f>SUMIF(Inputs!133:133,Finance!R16,Inputs!134:134)*(R16&lt;&gt;0)</f>
        <v>0</v>
      </c>
      <c r="S61" s="191">
        <f>SUMIF(Inputs!133:133,Finance!S16,Inputs!134:134)*(S16&lt;&gt;0)</f>
        <v>0</v>
      </c>
      <c r="T61" s="191">
        <f>SUMIF(Inputs!133:133,Finance!T16,Inputs!134:134)*(T16&lt;&gt;0)</f>
        <v>0</v>
      </c>
      <c r="U61" s="191">
        <f>SUMIF(Inputs!133:133,Finance!U16,Inputs!134:134)*(U16&lt;&gt;0)</f>
        <v>0</v>
      </c>
      <c r="V61" s="191">
        <f>SUMIF(Inputs!133:133,Finance!V16,Inputs!134:134)*(V16&lt;&gt;0)</f>
        <v>0</v>
      </c>
      <c r="W61" s="191">
        <f>SUMIF(Inputs!133:133,Finance!W16,Inputs!134:134)*(W16&lt;&gt;0)</f>
        <v>1.9431121328306773E-2</v>
      </c>
      <c r="X61" s="191">
        <f>SUMIF(Inputs!133:133,Finance!X16,Inputs!134:134)*(X16&lt;&gt;0)</f>
        <v>2.4375989173664295E-2</v>
      </c>
      <c r="Y61" s="191">
        <f>SUMIF(Inputs!133:133,Finance!Y16,Inputs!134:134)*(Y16&lt;&gt;0)</f>
        <v>2.6046951464214492E-2</v>
      </c>
      <c r="Z61" s="191">
        <f>SUMIF(Inputs!133:133,Finance!Z16,Inputs!134:134)*(Z16&lt;&gt;0)</f>
        <v>2.9582447236245708E-2</v>
      </c>
      <c r="AA61" s="191">
        <f>SUMIF(Inputs!133:133,Finance!AA16,Inputs!134:134)*(AA16&lt;&gt;0)</f>
        <v>3.1383612779133763E-2</v>
      </c>
      <c r="AB61" s="191">
        <f>SUMIF(Inputs!133:133,Finance!AB16,Inputs!134:134)*(AB16&lt;&gt;0)</f>
        <v>3.2017818622522634E-2</v>
      </c>
      <c r="AC61" s="191">
        <f>SUMIF(Inputs!133:133,Finance!AC16,Inputs!134:134)*(AC16&lt;&gt;0)</f>
        <v>2.8014349840947063E-2</v>
      </c>
      <c r="AD61" s="191">
        <f>SUMIF(Inputs!133:133,Finance!AD16,Inputs!134:134)*(AD16&lt;&gt;0)</f>
        <v>3.5801376475390639E-2</v>
      </c>
      <c r="AE61" s="191">
        <f>SUMIF(Inputs!133:133,Finance!AE16,Inputs!134:134)*(AE16&lt;&gt;0)</f>
        <v>4.2356185642239044E-2</v>
      </c>
      <c r="AF61" s="191">
        <f>SUMIF(Inputs!133:133,Finance!AF16,Inputs!134:134)*(AF16&lt;&gt;0)</f>
        <v>4.3990570739643263E-2</v>
      </c>
      <c r="AG61" s="191">
        <f>SUMIF(Inputs!133:133,Finance!AG16,Inputs!134:134)*(AG16&lt;&gt;0)</f>
        <v>4.683001111051064E-2</v>
      </c>
      <c r="AH61" s="191">
        <f>SUMIF(Inputs!133:133,Finance!AH16,Inputs!134:134)*(AH16&lt;&gt;0)</f>
        <v>4.6828414199576771E-2</v>
      </c>
      <c r="AI61" s="191">
        <f>SUMIF(Inputs!133:133,Finance!AI16,Inputs!134:134)*(AI16&lt;&gt;0)</f>
        <v>5.2689369291696576E-2</v>
      </c>
      <c r="AJ61" s="191">
        <f>SUMIF(Inputs!133:133,Finance!AJ16,Inputs!134:134)*(AJ16&lt;&gt;0)</f>
        <v>5.2068479294291738E-2</v>
      </c>
      <c r="AK61" s="191">
        <f>SUMIF(Inputs!133:133,Finance!AK16,Inputs!134:134)*(AK16&lt;&gt;0)</f>
        <v>4.5739928343171157E-2</v>
      </c>
      <c r="AL61" s="191">
        <f>SUMIF(Inputs!133:133,Finance!AL16,Inputs!134:134)*(AL16&lt;&gt;0)</f>
        <v>4.5877875113697966E-2</v>
      </c>
      <c r="AM61" s="191">
        <f>SUMIF(Inputs!133:133,Finance!AM16,Inputs!134:134)*(AM16&lt;&gt;0)</f>
        <v>5.616076474181074E-2</v>
      </c>
      <c r="AN61" s="191">
        <f>SUMIF(Inputs!133:133,Finance!AN16,Inputs!134:134)*(AN16&lt;&gt;0)</f>
        <v>5.7879677840293797E-2</v>
      </c>
      <c r="AO61" s="191">
        <f>SUMIF(Inputs!133:133,Finance!AO16,Inputs!134:134)*(AO16&lt;&gt;0)</f>
        <v>6.2078161420472094E-2</v>
      </c>
      <c r="AP61" s="191">
        <f>SUMIF(Inputs!133:133,Finance!AP16,Inputs!134:134)*(AP16&lt;&gt;0)</f>
        <v>6.278318854400268E-2</v>
      </c>
      <c r="AQ61" s="191">
        <f>SUMIF(Inputs!133:133,Finance!AQ16,Inputs!134:134)*(AQ16&lt;&gt;0)</f>
        <v>6.8457160170738288E-2</v>
      </c>
      <c r="AR61" s="191">
        <f>SUMIF(Inputs!133:133,Finance!AR16,Inputs!134:134)*(AR16&lt;&gt;0)</f>
        <v>6.978553203890249E-2</v>
      </c>
      <c r="AS61" s="191">
        <f>SUMIF(Inputs!133:133,Finance!AS16,Inputs!134:134)*(AS16&lt;&gt;0)</f>
        <v>1.9821014588527457E-2</v>
      </c>
      <c r="AT61" s="191">
        <f>SUMIF(Inputs!133:133,Finance!AT16,Inputs!134:134)*(AT16&lt;&gt;0)</f>
        <v>0</v>
      </c>
      <c r="AU61" s="191">
        <f>SUMIF(Inputs!133:133,Finance!AU16,Inputs!134:134)*(AU16&lt;&gt;0)</f>
        <v>0</v>
      </c>
      <c r="AV61" s="191">
        <f>SUMIF(Inputs!133:133,Finance!AV16,Inputs!134:134)*(AV16&lt;&gt;0)</f>
        <v>0</v>
      </c>
      <c r="AW61" s="191">
        <f>SUMIF(Inputs!133:133,Finance!AW16,Inputs!134:134)*(AW16&lt;&gt;0)</f>
        <v>0</v>
      </c>
      <c r="AX61" s="191">
        <f>SUMIF(Inputs!133:133,Finance!AX16,Inputs!134:134)*(AX16&lt;&gt;0)</f>
        <v>0</v>
      </c>
    </row>
    <row r="62" spans="1:50" ht="15" customHeight="1">
      <c r="A62" s="230"/>
      <c r="B62" s="27"/>
      <c r="C62" s="27"/>
      <c r="D62" s="52"/>
      <c r="E62" s="17"/>
      <c r="F62" s="29"/>
      <c r="G62" s="17"/>
      <c r="H62" s="17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17"/>
      <c r="T62" s="17"/>
      <c r="U62" s="17"/>
      <c r="V62" s="17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AV62" s="28"/>
      <c r="AW62" s="28"/>
      <c r="AX62" s="28"/>
    </row>
    <row r="63" spans="1:50" ht="15" customHeight="1">
      <c r="A63" s="230"/>
      <c r="B63" s="5"/>
      <c r="C63" s="5"/>
      <c r="D63" s="5"/>
      <c r="E63" s="5" t="s">
        <v>345</v>
      </c>
      <c r="F63" s="5"/>
      <c r="G63" s="4" t="str">
        <f>CONCATENATE(Inputs!$I$9,"m nominal prices")</f>
        <v>£m nominal prices</v>
      </c>
      <c r="H63" s="5"/>
      <c r="I63" s="24"/>
      <c r="J63" s="6"/>
      <c r="K63" s="105"/>
      <c r="L63" s="91">
        <f>K66</f>
        <v>0</v>
      </c>
      <c r="M63" s="91">
        <f t="shared" ref="M63:AX63" si="21">L66</f>
        <v>0</v>
      </c>
      <c r="N63" s="91">
        <f t="shared" si="21"/>
        <v>0</v>
      </c>
      <c r="O63" s="91">
        <f t="shared" si="21"/>
        <v>0</v>
      </c>
      <c r="P63" s="91">
        <f t="shared" si="21"/>
        <v>0</v>
      </c>
      <c r="Q63" s="91">
        <f t="shared" si="21"/>
        <v>0</v>
      </c>
      <c r="R63" s="91">
        <f t="shared" si="21"/>
        <v>0</v>
      </c>
      <c r="S63" s="91">
        <f t="shared" si="21"/>
        <v>0</v>
      </c>
      <c r="T63" s="91">
        <f t="shared" si="21"/>
        <v>123.54039928641767</v>
      </c>
      <c r="U63" s="91">
        <f t="shared" si="21"/>
        <v>244.27546350326841</v>
      </c>
      <c r="V63" s="91">
        <f t="shared" si="21"/>
        <v>244.27546350326841</v>
      </c>
      <c r="W63" s="91">
        <f t="shared" si="21"/>
        <v>244.27546350326841</v>
      </c>
      <c r="X63" s="91">
        <f t="shared" si="21"/>
        <v>239.52891733440802</v>
      </c>
      <c r="Y63" s="91">
        <f t="shared" si="21"/>
        <v>233.57446128066053</v>
      </c>
      <c r="Z63" s="91">
        <f t="shared" si="21"/>
        <v>227.2118301388924</v>
      </c>
      <c r="AA63" s="91">
        <f t="shared" si="21"/>
        <v>219.98556412869749</v>
      </c>
      <c r="AB63" s="91">
        <f t="shared" si="21"/>
        <v>212.31931757066749</v>
      </c>
      <c r="AC63" s="91">
        <f t="shared" si="21"/>
        <v>204.49815008628721</v>
      </c>
      <c r="AD63" s="91">
        <f t="shared" si="21"/>
        <v>197.65493179414716</v>
      </c>
      <c r="AE63" s="91">
        <f t="shared" si="21"/>
        <v>188.9095339615661</v>
      </c>
      <c r="AF63" s="91">
        <f t="shared" si="21"/>
        <v>178.56295708157768</v>
      </c>
      <c r="AG63" s="91">
        <f t="shared" si="21"/>
        <v>167.81714002437801</v>
      </c>
      <c r="AH63" s="91">
        <f t="shared" si="21"/>
        <v>156.37771735449482</v>
      </c>
      <c r="AI63" s="91">
        <f t="shared" si="21"/>
        <v>144.93868477077018</v>
      </c>
      <c r="AJ63" s="91">
        <f t="shared" si="21"/>
        <v>132.06796466534612</v>
      </c>
      <c r="AK63" s="91">
        <f t="shared" si="21"/>
        <v>119.34891275182268</v>
      </c>
      <c r="AL63" s="91">
        <f t="shared" si="21"/>
        <v>108.17577055518827</v>
      </c>
      <c r="AM63" s="91">
        <f t="shared" si="21"/>
        <v>96.968931347244634</v>
      </c>
      <c r="AN63" s="91">
        <f t="shared" si="21"/>
        <v>83.250234509240798</v>
      </c>
      <c r="AO63" s="91">
        <f t="shared" si="21"/>
        <v>69.111649377383173</v>
      </c>
      <c r="AP63" s="91">
        <f>AO66</f>
        <v>53.947477722966639</v>
      </c>
      <c r="AQ63" s="91">
        <f t="shared" si="21"/>
        <v>38.611085241167295</v>
      </c>
      <c r="AR63" s="91">
        <f t="shared" si="21"/>
        <v>21.888680710342715</v>
      </c>
      <c r="AS63" s="91">
        <f t="shared" si="21"/>
        <v>4.8417875257176206</v>
      </c>
      <c r="AT63" s="91">
        <f t="shared" si="21"/>
        <v>3.1086244689504383E-14</v>
      </c>
      <c r="AU63" s="91">
        <f t="shared" si="21"/>
        <v>3.1086244689504383E-14</v>
      </c>
      <c r="AV63" s="91">
        <f t="shared" si="21"/>
        <v>3.1086244689504383E-14</v>
      </c>
      <c r="AW63" s="91">
        <f t="shared" si="21"/>
        <v>3.1086244689504383E-14</v>
      </c>
      <c r="AX63" s="91">
        <f t="shared" si="21"/>
        <v>3.1086244689504383E-14</v>
      </c>
    </row>
    <row r="64" spans="1:50" ht="15" customHeight="1">
      <c r="A64" s="222"/>
      <c r="B64" s="27"/>
      <c r="C64" s="27"/>
      <c r="D64" s="52"/>
      <c r="E64" s="5" t="s">
        <v>346</v>
      </c>
      <c r="F64" s="29"/>
      <c r="G64" s="4" t="str">
        <f>CONCATENATE(Inputs!$I$9,"m nominal prices")</f>
        <v>£m nominal prices</v>
      </c>
      <c r="H64" s="17"/>
      <c r="I64" s="28"/>
      <c r="J64" s="28"/>
      <c r="K64" s="5">
        <f>K60*$I$58</f>
        <v>0</v>
      </c>
      <c r="L64" s="5">
        <f t="shared" ref="L64:AX64" si="22">L60*$I$58</f>
        <v>0</v>
      </c>
      <c r="M64" s="5">
        <f t="shared" si="22"/>
        <v>0</v>
      </c>
      <c r="N64" s="5">
        <f t="shared" si="22"/>
        <v>0</v>
      </c>
      <c r="O64" s="5">
        <f t="shared" si="22"/>
        <v>0</v>
      </c>
      <c r="P64" s="5">
        <f t="shared" si="22"/>
        <v>0</v>
      </c>
      <c r="Q64" s="5">
        <f t="shared" si="22"/>
        <v>0</v>
      </c>
      <c r="R64" s="5">
        <f t="shared" si="22"/>
        <v>0</v>
      </c>
      <c r="S64" s="5">
        <f t="shared" si="22"/>
        <v>123.54039928641767</v>
      </c>
      <c r="T64" s="5">
        <f t="shared" si="22"/>
        <v>120.73506421685074</v>
      </c>
      <c r="U64" s="5">
        <f t="shared" si="22"/>
        <v>0</v>
      </c>
      <c r="V64" s="5">
        <f t="shared" si="22"/>
        <v>0</v>
      </c>
      <c r="W64" s="5">
        <f t="shared" si="22"/>
        <v>0</v>
      </c>
      <c r="X64" s="5">
        <f t="shared" si="22"/>
        <v>0</v>
      </c>
      <c r="Y64" s="5">
        <f t="shared" si="22"/>
        <v>0</v>
      </c>
      <c r="Z64" s="5">
        <f t="shared" si="22"/>
        <v>0</v>
      </c>
      <c r="AA64" s="5">
        <f t="shared" si="22"/>
        <v>0</v>
      </c>
      <c r="AB64" s="5">
        <f t="shared" si="22"/>
        <v>0</v>
      </c>
      <c r="AC64" s="5">
        <f t="shared" si="22"/>
        <v>0</v>
      </c>
      <c r="AD64" s="5">
        <f t="shared" si="22"/>
        <v>0</v>
      </c>
      <c r="AE64" s="5">
        <f t="shared" si="22"/>
        <v>0</v>
      </c>
      <c r="AF64" s="5">
        <f t="shared" si="22"/>
        <v>0</v>
      </c>
      <c r="AG64" s="5">
        <f t="shared" si="22"/>
        <v>0</v>
      </c>
      <c r="AH64" s="5">
        <f t="shared" si="22"/>
        <v>0</v>
      </c>
      <c r="AI64" s="5">
        <f t="shared" si="22"/>
        <v>0</v>
      </c>
      <c r="AJ64" s="5">
        <f t="shared" si="22"/>
        <v>0</v>
      </c>
      <c r="AK64" s="5">
        <f t="shared" si="22"/>
        <v>0</v>
      </c>
      <c r="AL64" s="5">
        <f t="shared" si="22"/>
        <v>0</v>
      </c>
      <c r="AM64" s="5">
        <f t="shared" si="22"/>
        <v>0</v>
      </c>
      <c r="AN64" s="5">
        <f t="shared" si="22"/>
        <v>0</v>
      </c>
      <c r="AO64" s="5">
        <f t="shared" si="22"/>
        <v>0</v>
      </c>
      <c r="AP64" s="5">
        <f t="shared" si="22"/>
        <v>0</v>
      </c>
      <c r="AQ64" s="5">
        <f t="shared" si="22"/>
        <v>0</v>
      </c>
      <c r="AR64" s="5">
        <f t="shared" si="22"/>
        <v>0</v>
      </c>
      <c r="AS64" s="5">
        <f t="shared" si="22"/>
        <v>0</v>
      </c>
      <c r="AT64" s="5">
        <f t="shared" si="22"/>
        <v>0</v>
      </c>
      <c r="AU64" s="5">
        <f t="shared" si="22"/>
        <v>0</v>
      </c>
      <c r="AV64" s="5">
        <f t="shared" si="22"/>
        <v>0</v>
      </c>
      <c r="AW64" s="5">
        <f t="shared" si="22"/>
        <v>0</v>
      </c>
      <c r="AX64" s="5">
        <f t="shared" si="22"/>
        <v>0</v>
      </c>
    </row>
    <row r="65" spans="1:50" ht="15" customHeight="1">
      <c r="A65" s="222"/>
      <c r="B65" s="27"/>
      <c r="C65" s="27"/>
      <c r="D65" s="52"/>
      <c r="E65" s="5" t="s">
        <v>347</v>
      </c>
      <c r="F65" s="29"/>
      <c r="G65" s="4" t="str">
        <f>CONCATENATE(Inputs!$I$9,"m nominal prices")</f>
        <v>£m nominal prices</v>
      </c>
      <c r="H65" s="17"/>
      <c r="I65" s="28"/>
      <c r="J65" s="28"/>
      <c r="K65" s="5">
        <f>-$I$58*K61</f>
        <v>0</v>
      </c>
      <c r="L65" s="5">
        <f t="shared" ref="L65:AX65" si="23">-$I$58*L61</f>
        <v>0</v>
      </c>
      <c r="M65" s="5">
        <f t="shared" si="23"/>
        <v>0</v>
      </c>
      <c r="N65" s="5">
        <f t="shared" si="23"/>
        <v>0</v>
      </c>
      <c r="O65" s="5">
        <f t="shared" si="23"/>
        <v>0</v>
      </c>
      <c r="P65" s="5">
        <f t="shared" si="23"/>
        <v>0</v>
      </c>
      <c r="Q65" s="5">
        <f t="shared" si="23"/>
        <v>0</v>
      </c>
      <c r="R65" s="5">
        <f t="shared" si="23"/>
        <v>0</v>
      </c>
      <c r="S65" s="5">
        <f t="shared" si="23"/>
        <v>0</v>
      </c>
      <c r="T65" s="5">
        <f t="shared" si="23"/>
        <v>0</v>
      </c>
      <c r="U65" s="5">
        <f t="shared" si="23"/>
        <v>0</v>
      </c>
      <c r="V65" s="5">
        <f>-$I$58*V61</f>
        <v>0</v>
      </c>
      <c r="W65" s="5">
        <f t="shared" si="23"/>
        <v>-4.7465461688603821</v>
      </c>
      <c r="X65" s="5">
        <f t="shared" si="23"/>
        <v>-5.9544560537474984</v>
      </c>
      <c r="Y65" s="5">
        <f t="shared" si="23"/>
        <v>-6.3626311417681309</v>
      </c>
      <c r="Z65" s="5">
        <f t="shared" si="23"/>
        <v>-7.2262660101949017</v>
      </c>
      <c r="AA65" s="5">
        <f t="shared" si="23"/>
        <v>-7.6662465580299974</v>
      </c>
      <c r="AB65" s="5">
        <f t="shared" si="23"/>
        <v>-7.8211674843802959</v>
      </c>
      <c r="AC65" s="5">
        <f t="shared" si="23"/>
        <v>-6.8432182921400573</v>
      </c>
      <c r="AD65" s="5">
        <f t="shared" si="23"/>
        <v>-8.7453978325810589</v>
      </c>
      <c r="AE65" s="5">
        <f t="shared" si="23"/>
        <v>-10.346576879988426</v>
      </c>
      <c r="AF65" s="5">
        <f t="shared" si="23"/>
        <v>-10.745817057199675</v>
      </c>
      <c r="AG65" s="5">
        <f t="shared" si="23"/>
        <v>-11.439422669883196</v>
      </c>
      <c r="AH65" s="5">
        <f t="shared" si="23"/>
        <v>-11.439032583724652</v>
      </c>
      <c r="AI65" s="5">
        <f t="shared" si="23"/>
        <v>-12.870720105424059</v>
      </c>
      <c r="AJ65" s="5">
        <f t="shared" si="23"/>
        <v>-12.719051913523449</v>
      </c>
      <c r="AK65" s="5">
        <f t="shared" si="23"/>
        <v>-11.173142196634419</v>
      </c>
      <c r="AL65" s="5">
        <f t="shared" si="23"/>
        <v>-11.206839207943634</v>
      </c>
      <c r="AM65" s="5">
        <f t="shared" si="23"/>
        <v>-13.718696838003833</v>
      </c>
      <c r="AN65" s="5">
        <f t="shared" si="23"/>
        <v>-14.138585131857621</v>
      </c>
      <c r="AO65" s="5">
        <f t="shared" si="23"/>
        <v>-15.164171654416537</v>
      </c>
      <c r="AP65" s="5">
        <f t="shared" si="23"/>
        <v>-15.336392481799345</v>
      </c>
      <c r="AQ65" s="5">
        <f t="shared" si="23"/>
        <v>-16.72240453082458</v>
      </c>
      <c r="AR65" s="5">
        <f t="shared" si="23"/>
        <v>-17.046893184625095</v>
      </c>
      <c r="AS65" s="5">
        <f t="shared" si="23"/>
        <v>-4.8417875257175895</v>
      </c>
      <c r="AT65" s="5">
        <f t="shared" si="23"/>
        <v>0</v>
      </c>
      <c r="AU65" s="5">
        <f t="shared" si="23"/>
        <v>0</v>
      </c>
      <c r="AV65" s="5">
        <f t="shared" si="23"/>
        <v>0</v>
      </c>
      <c r="AW65" s="5">
        <f t="shared" si="23"/>
        <v>0</v>
      </c>
      <c r="AX65" s="5">
        <f t="shared" si="23"/>
        <v>0</v>
      </c>
    </row>
    <row r="66" spans="1:50" ht="15" customHeight="1">
      <c r="A66" s="222"/>
      <c r="B66" s="5"/>
      <c r="C66" s="5"/>
      <c r="D66" s="5"/>
      <c r="E66" s="16" t="s">
        <v>348</v>
      </c>
      <c r="F66" s="5"/>
      <c r="G66" s="4" t="str">
        <f>CONCATENATE(Inputs!$I$9,"m nominal prices")</f>
        <v>£m nominal prices</v>
      </c>
      <c r="H66" s="5"/>
      <c r="I66" s="6"/>
      <c r="J66" s="6"/>
      <c r="K66" s="59">
        <f>SUM(K63:K65)</f>
        <v>0</v>
      </c>
      <c r="L66" s="59">
        <f t="shared" ref="L66:AX66" si="24">SUM(L63:L65)</f>
        <v>0</v>
      </c>
      <c r="M66" s="59">
        <f t="shared" si="24"/>
        <v>0</v>
      </c>
      <c r="N66" s="59">
        <f t="shared" si="24"/>
        <v>0</v>
      </c>
      <c r="O66" s="59">
        <f t="shared" si="24"/>
        <v>0</v>
      </c>
      <c r="P66" s="59">
        <f t="shared" si="24"/>
        <v>0</v>
      </c>
      <c r="Q66" s="59">
        <f t="shared" si="24"/>
        <v>0</v>
      </c>
      <c r="R66" s="59">
        <f t="shared" si="24"/>
        <v>0</v>
      </c>
      <c r="S66" s="59">
        <f t="shared" si="24"/>
        <v>123.54039928641767</v>
      </c>
      <c r="T66" s="59">
        <f t="shared" si="24"/>
        <v>244.27546350326841</v>
      </c>
      <c r="U66" s="59">
        <f t="shared" si="24"/>
        <v>244.27546350326841</v>
      </c>
      <c r="V66" s="59">
        <f t="shared" si="24"/>
        <v>244.27546350326841</v>
      </c>
      <c r="W66" s="59">
        <f t="shared" si="24"/>
        <v>239.52891733440802</v>
      </c>
      <c r="X66" s="59">
        <f t="shared" si="24"/>
        <v>233.57446128066053</v>
      </c>
      <c r="Y66" s="59">
        <f t="shared" si="24"/>
        <v>227.2118301388924</v>
      </c>
      <c r="Z66" s="59">
        <f t="shared" si="24"/>
        <v>219.98556412869749</v>
      </c>
      <c r="AA66" s="59">
        <f t="shared" si="24"/>
        <v>212.31931757066749</v>
      </c>
      <c r="AB66" s="59">
        <f t="shared" si="24"/>
        <v>204.49815008628721</v>
      </c>
      <c r="AC66" s="59">
        <f t="shared" si="24"/>
        <v>197.65493179414716</v>
      </c>
      <c r="AD66" s="59">
        <f t="shared" si="24"/>
        <v>188.9095339615661</v>
      </c>
      <c r="AE66" s="59">
        <f t="shared" si="24"/>
        <v>178.56295708157768</v>
      </c>
      <c r="AF66" s="59">
        <f t="shared" si="24"/>
        <v>167.81714002437801</v>
      </c>
      <c r="AG66" s="59">
        <f t="shared" si="24"/>
        <v>156.37771735449482</v>
      </c>
      <c r="AH66" s="59">
        <f t="shared" si="24"/>
        <v>144.93868477077018</v>
      </c>
      <c r="AI66" s="59">
        <f t="shared" si="24"/>
        <v>132.06796466534612</v>
      </c>
      <c r="AJ66" s="59">
        <f t="shared" si="24"/>
        <v>119.34891275182268</v>
      </c>
      <c r="AK66" s="59">
        <f t="shared" si="24"/>
        <v>108.17577055518827</v>
      </c>
      <c r="AL66" s="59">
        <f t="shared" si="24"/>
        <v>96.968931347244634</v>
      </c>
      <c r="AM66" s="59">
        <f t="shared" si="24"/>
        <v>83.250234509240798</v>
      </c>
      <c r="AN66" s="59">
        <f t="shared" si="24"/>
        <v>69.111649377383173</v>
      </c>
      <c r="AO66" s="59">
        <f t="shared" si="24"/>
        <v>53.947477722966639</v>
      </c>
      <c r="AP66" s="59">
        <f t="shared" si="24"/>
        <v>38.611085241167295</v>
      </c>
      <c r="AQ66" s="59">
        <f t="shared" si="24"/>
        <v>21.888680710342715</v>
      </c>
      <c r="AR66" s="59">
        <f t="shared" si="24"/>
        <v>4.8417875257176206</v>
      </c>
      <c r="AS66" s="59">
        <f t="shared" si="24"/>
        <v>3.1086244689504383E-14</v>
      </c>
      <c r="AT66" s="59">
        <f t="shared" si="24"/>
        <v>3.1086244689504383E-14</v>
      </c>
      <c r="AU66" s="59">
        <f t="shared" si="24"/>
        <v>3.1086244689504383E-14</v>
      </c>
      <c r="AV66" s="59">
        <f t="shared" si="24"/>
        <v>3.1086244689504383E-14</v>
      </c>
      <c r="AW66" s="59">
        <f t="shared" si="24"/>
        <v>3.1086244689504383E-14</v>
      </c>
      <c r="AX66" s="59">
        <f t="shared" si="24"/>
        <v>3.1086244689504383E-14</v>
      </c>
    </row>
    <row r="67" spans="1:50" ht="15" customHeight="1">
      <c r="A67" s="220"/>
      <c r="B67" s="5"/>
      <c r="C67" s="5"/>
      <c r="D67" s="5"/>
      <c r="E67" s="5"/>
      <c r="F67" s="5"/>
      <c r="G67" s="5"/>
      <c r="H67" s="5"/>
      <c r="I67" s="6"/>
      <c r="J67" s="6"/>
      <c r="K67" s="6"/>
      <c r="L67" s="6"/>
      <c r="M67" s="6"/>
      <c r="N67" s="6"/>
      <c r="O67" s="6"/>
      <c r="P67" s="6"/>
      <c r="Q67" s="6"/>
      <c r="R67" s="6"/>
      <c r="S67" s="5"/>
      <c r="T67" s="5"/>
      <c r="U67" s="5"/>
      <c r="V67" s="5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</row>
    <row r="68" spans="1:50" ht="15" customHeight="1">
      <c r="A68" s="230"/>
      <c r="B68" s="27"/>
      <c r="C68" s="27"/>
      <c r="D68" s="52"/>
      <c r="E68" s="5" t="s">
        <v>349</v>
      </c>
      <c r="F68" s="29"/>
      <c r="G68" s="4" t="str">
        <f>CONCATENATE(Inputs!$I$9,"m nominal prices")</f>
        <v>£m nominal prices</v>
      </c>
      <c r="H68" s="17"/>
      <c r="I68" s="190">
        <f>Inputs!I100*(Inputs!I127=1)</f>
        <v>8.7884366946588557</v>
      </c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AV68" s="28"/>
      <c r="AW68" s="28"/>
      <c r="AX68" s="28"/>
    </row>
    <row r="69" spans="1:50" ht="15" customHeight="1">
      <c r="A69" s="230"/>
      <c r="B69" s="27"/>
      <c r="C69" s="27"/>
      <c r="D69" s="52"/>
      <c r="E69" s="17" t="s">
        <v>211</v>
      </c>
      <c r="F69" s="29"/>
      <c r="G69" s="4" t="str">
        <f>CONCATENATE(Inputs!$I$9,"m nominal prices")</f>
        <v>£m nominal prices</v>
      </c>
      <c r="H69" s="17"/>
      <c r="I69" s="190">
        <f>Inputs!I105</f>
        <v>23.221091736647139</v>
      </c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AV69" s="28"/>
      <c r="AW69" s="28"/>
      <c r="AX69" s="28"/>
    </row>
    <row r="70" spans="1:50" ht="15" customHeight="1">
      <c r="A70" s="230"/>
      <c r="B70" s="27"/>
      <c r="C70" s="27"/>
      <c r="D70" s="52"/>
      <c r="E70" s="17" t="s">
        <v>212</v>
      </c>
      <c r="F70" s="29"/>
      <c r="G70" s="4" t="str">
        <f>CONCATENATE(Inputs!$I$9,"m nominal prices")</f>
        <v>£m nominal prices</v>
      </c>
      <c r="H70" s="17"/>
      <c r="I70" s="190">
        <f>Inputs!I106</f>
        <v>0</v>
      </c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</row>
    <row r="71" spans="1:50" ht="15" customHeight="1">
      <c r="A71" s="230"/>
      <c r="B71" s="27"/>
      <c r="C71" s="27"/>
      <c r="D71" s="52"/>
      <c r="E71" s="17" t="s">
        <v>216</v>
      </c>
      <c r="F71" s="29"/>
      <c r="G71" s="4" t="str">
        <f>CONCATENATE(Inputs!$I$9,"m nominal prices")</f>
        <v>£m nominal prices</v>
      </c>
      <c r="H71" s="17"/>
      <c r="I71" s="190">
        <f>Inputs!I111</f>
        <v>0</v>
      </c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</row>
    <row r="72" spans="1:50" ht="15" customHeight="1">
      <c r="A72" s="230"/>
      <c r="B72" s="27"/>
      <c r="C72" s="27"/>
      <c r="D72" s="52"/>
      <c r="E72" s="17" t="s">
        <v>220</v>
      </c>
      <c r="F72" s="29"/>
      <c r="G72" s="4" t="str">
        <f>CONCATENATE(Inputs!$I$9,"m nominal prices")</f>
        <v>£m nominal prices</v>
      </c>
      <c r="H72" s="17"/>
      <c r="I72" s="190">
        <f>Inputs!I116</f>
        <v>0.46442183473294274</v>
      </c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AV72" s="28"/>
      <c r="AW72" s="28"/>
      <c r="AX72" s="28"/>
    </row>
    <row r="73" spans="1:50" ht="15" customHeight="1">
      <c r="A73" s="230"/>
      <c r="B73" s="27"/>
      <c r="C73" s="27"/>
      <c r="D73" s="52"/>
      <c r="E73" s="17" t="s">
        <v>221</v>
      </c>
      <c r="F73" s="29"/>
      <c r="G73" s="4" t="str">
        <f>CONCATENATE(Inputs!$I$9,"m nominal prices")</f>
        <v>£m nominal prices</v>
      </c>
      <c r="H73" s="17"/>
      <c r="I73" s="190">
        <f>Inputs!I117</f>
        <v>0.19181378568180549</v>
      </c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AV73" s="28"/>
      <c r="AW73" s="28"/>
      <c r="AX73" s="28"/>
    </row>
    <row r="74" spans="1:50" ht="15" customHeight="1">
      <c r="A74" s="230"/>
      <c r="B74" s="27"/>
      <c r="C74" s="27"/>
      <c r="D74" s="52"/>
      <c r="E74" s="17" t="s">
        <v>350</v>
      </c>
      <c r="F74" s="29"/>
      <c r="G74" s="4" t="str">
        <f>CONCATENATE(Inputs!$I$9,"m nominal prices")</f>
        <v>£m nominal prices</v>
      </c>
      <c r="H74" s="17"/>
      <c r="I74" s="190">
        <f>Inputs!I122</f>
        <v>12.5</v>
      </c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AV74" s="28"/>
      <c r="AW74" s="28"/>
      <c r="AX74" s="28"/>
    </row>
    <row r="75" spans="1:50" ht="15" customHeight="1">
      <c r="A75" s="230"/>
      <c r="B75" s="27"/>
      <c r="C75" s="27"/>
      <c r="D75" s="52"/>
      <c r="E75" s="17"/>
      <c r="F75" s="29"/>
      <c r="G75" s="17"/>
      <c r="H75" s="17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</row>
    <row r="76" spans="1:50" ht="15" customHeight="1">
      <c r="A76" s="220"/>
      <c r="B76" s="5"/>
      <c r="C76" s="10" t="s">
        <v>314</v>
      </c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spans="1:50" ht="15" customHeight="1">
      <c r="A77" s="230"/>
      <c r="B77" s="27"/>
      <c r="C77" s="27"/>
      <c r="D77" s="52"/>
      <c r="E77" s="17"/>
      <c r="F77" s="29"/>
      <c r="G77" s="17"/>
      <c r="H77" s="17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AV77" s="28"/>
      <c r="AW77" s="28"/>
      <c r="AX77" s="28"/>
    </row>
    <row r="78" spans="1:50" ht="15" customHeight="1">
      <c r="A78" s="230"/>
      <c r="B78" s="27"/>
      <c r="C78" s="27"/>
      <c r="D78" s="52"/>
      <c r="E78" s="17" t="s">
        <v>351</v>
      </c>
      <c r="F78" s="17"/>
      <c r="G78" s="5" t="s">
        <v>197</v>
      </c>
      <c r="H78" s="17"/>
      <c r="I78" s="80">
        <f>Inputs!I94</f>
        <v>1.4E-2</v>
      </c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AV78" s="28"/>
      <c r="AW78" s="28"/>
      <c r="AX78" s="28"/>
    </row>
    <row r="79" spans="1:50" ht="15" customHeight="1">
      <c r="A79" s="230"/>
      <c r="B79" s="27"/>
      <c r="C79" s="27"/>
      <c r="D79" s="52"/>
      <c r="E79" s="17" t="s">
        <v>352</v>
      </c>
      <c r="F79" s="17"/>
      <c r="G79" s="5" t="s">
        <v>197</v>
      </c>
      <c r="H79" s="17"/>
      <c r="I79" s="80">
        <f>Inputs!I101</f>
        <v>1.4E-2</v>
      </c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</row>
    <row r="80" spans="1:50" ht="15" customHeight="1">
      <c r="A80" s="230"/>
      <c r="B80" s="27"/>
      <c r="C80" s="27"/>
      <c r="D80" s="52"/>
      <c r="E80" s="17" t="s">
        <v>353</v>
      </c>
      <c r="F80" s="17"/>
      <c r="G80" s="5" t="s">
        <v>197</v>
      </c>
      <c r="H80" s="17"/>
      <c r="I80" s="80">
        <f>Inputs!I107</f>
        <v>1.4E-2</v>
      </c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AV80" s="28"/>
      <c r="AW80" s="28"/>
      <c r="AX80" s="28"/>
    </row>
    <row r="81" spans="1:50" ht="15" customHeight="1">
      <c r="A81" s="230"/>
      <c r="B81" s="27"/>
      <c r="C81" s="27"/>
      <c r="D81" s="52"/>
      <c r="E81" s="17" t="s">
        <v>354</v>
      </c>
      <c r="F81" s="17"/>
      <c r="G81" s="5" t="s">
        <v>197</v>
      </c>
      <c r="H81" s="17"/>
      <c r="I81" s="80">
        <f>Inputs!I112</f>
        <v>1.4E-2</v>
      </c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AV81" s="28"/>
      <c r="AW81" s="28"/>
      <c r="AX81" s="28"/>
    </row>
    <row r="82" spans="1:50" ht="15" customHeight="1">
      <c r="A82" s="230"/>
      <c r="B82" s="27"/>
      <c r="C82" s="27"/>
      <c r="D82" s="52"/>
      <c r="E82" s="17" t="s">
        <v>355</v>
      </c>
      <c r="F82" s="17"/>
      <c r="G82" s="5" t="s">
        <v>197</v>
      </c>
      <c r="H82" s="17"/>
      <c r="I82" s="80">
        <f>Inputs!I118</f>
        <v>1.2999999999999999E-2</v>
      </c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AV82" s="28"/>
      <c r="AW82" s="28"/>
      <c r="AX82" s="28"/>
    </row>
    <row r="83" spans="1:50" ht="15" customHeight="1">
      <c r="A83" s="230"/>
      <c r="B83" s="27"/>
      <c r="C83" s="27"/>
      <c r="D83" s="52"/>
      <c r="E83" s="17" t="s">
        <v>356</v>
      </c>
      <c r="F83" s="17"/>
      <c r="G83" s="5" t="s">
        <v>197</v>
      </c>
      <c r="H83" s="17"/>
      <c r="I83" s="80">
        <f>Inputs!I123</f>
        <v>1.4E-2</v>
      </c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AV83" s="28"/>
      <c r="AW83" s="28"/>
      <c r="AX83" s="28"/>
    </row>
    <row r="84" spans="1:50" ht="15" customHeight="1">
      <c r="A84" s="230"/>
      <c r="B84" s="27"/>
      <c r="C84" s="27"/>
      <c r="D84" s="52"/>
      <c r="E84" s="17"/>
      <c r="F84" s="29"/>
      <c r="G84" s="17"/>
      <c r="H84" s="17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AV84" s="28"/>
      <c r="AW84" s="28"/>
      <c r="AX84" s="28"/>
    </row>
    <row r="85" spans="1:50" ht="15" customHeight="1">
      <c r="A85" s="230"/>
      <c r="B85" s="27"/>
      <c r="C85" s="27"/>
      <c r="D85" s="52"/>
      <c r="E85" s="17" t="s">
        <v>196</v>
      </c>
      <c r="F85" s="17"/>
      <c r="G85" s="5" t="s">
        <v>197</v>
      </c>
      <c r="H85" s="17"/>
      <c r="I85" s="80">
        <f>Inputs!I89</f>
        <v>1.3143521893981167E-2</v>
      </c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AV85" s="28"/>
      <c r="AW85" s="28"/>
      <c r="AX85" s="28"/>
    </row>
    <row r="86" spans="1:50" ht="15" customHeight="1">
      <c r="A86" s="230"/>
      <c r="B86" s="27"/>
      <c r="C86" s="27"/>
      <c r="D86" s="52"/>
      <c r="E86" s="17" t="s">
        <v>357</v>
      </c>
      <c r="F86" s="29"/>
      <c r="G86" s="5" t="s">
        <v>197</v>
      </c>
      <c r="H86" s="17"/>
      <c r="I86" s="80">
        <f>Inputs!I92</f>
        <v>1.7704500000000001E-2</v>
      </c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AV86" s="28"/>
      <c r="AW86" s="28"/>
      <c r="AX86" s="28"/>
    </row>
    <row r="87" spans="1:50" ht="15" customHeight="1">
      <c r="A87" s="230"/>
      <c r="B87" s="27"/>
      <c r="C87" s="27"/>
      <c r="D87" s="52"/>
      <c r="E87" s="52" t="s">
        <v>200</v>
      </c>
      <c r="F87" s="209"/>
      <c r="G87" s="187" t="s">
        <v>197</v>
      </c>
      <c r="H87" s="52"/>
      <c r="I87" s="208">
        <f>Inputs!I93</f>
        <v>1.7044999999999999E-3</v>
      </c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AV87" s="28"/>
      <c r="AW87" s="28"/>
      <c r="AX87" s="28"/>
    </row>
    <row r="88" spans="1:50" ht="15" customHeight="1">
      <c r="A88" s="230"/>
      <c r="B88" s="27"/>
      <c r="C88" s="27"/>
      <c r="D88" s="52"/>
      <c r="E88" s="17" t="s">
        <v>358</v>
      </c>
      <c r="F88" s="29"/>
      <c r="G88" s="5" t="s">
        <v>197</v>
      </c>
      <c r="H88" s="17"/>
      <c r="I88" s="80">
        <f>Inputs!I102</f>
        <v>1.6012036458399354E-2</v>
      </c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AV88" s="28"/>
      <c r="AW88" s="28"/>
      <c r="AX88" s="28"/>
    </row>
    <row r="89" spans="1:50" ht="15" customHeight="1">
      <c r="A89" s="230"/>
      <c r="B89" s="27"/>
      <c r="C89" s="27"/>
      <c r="D89" s="52"/>
      <c r="E89" s="17" t="s">
        <v>359</v>
      </c>
      <c r="F89" s="29"/>
      <c r="G89" s="5" t="s">
        <v>197</v>
      </c>
      <c r="H89" s="17"/>
      <c r="I89" s="80">
        <f>Inputs!I108</f>
        <v>1.6038303717231035E-2</v>
      </c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AV89" s="28"/>
      <c r="AW89" s="28"/>
      <c r="AX89" s="28"/>
    </row>
    <row r="90" spans="1:50" ht="15" customHeight="1">
      <c r="A90" s="230"/>
      <c r="B90" s="27"/>
      <c r="C90" s="27"/>
      <c r="D90" s="52"/>
      <c r="E90" s="17" t="s">
        <v>360</v>
      </c>
      <c r="F90" s="29"/>
      <c r="G90" s="5" t="s">
        <v>197</v>
      </c>
      <c r="H90" s="17"/>
      <c r="I90" s="80">
        <f>Inputs!I113</f>
        <v>1.6E-2</v>
      </c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AV90" s="28"/>
      <c r="AW90" s="28"/>
      <c r="AX90" s="28"/>
    </row>
    <row r="91" spans="1:50" ht="15" customHeight="1">
      <c r="A91" s="230"/>
      <c r="B91" s="27"/>
      <c r="C91" s="27"/>
      <c r="D91" s="52"/>
      <c r="E91" s="17" t="s">
        <v>361</v>
      </c>
      <c r="F91" s="29"/>
      <c r="G91" s="5" t="s">
        <v>197</v>
      </c>
      <c r="H91" s="17"/>
      <c r="I91" s="80">
        <f>Inputs!I119</f>
        <v>1.2500000000000001E-2</v>
      </c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</row>
    <row r="92" spans="1:50" ht="15" customHeight="1">
      <c r="A92" s="230"/>
      <c r="B92" s="27"/>
      <c r="C92" s="27"/>
      <c r="D92" s="52"/>
      <c r="E92" s="17" t="s">
        <v>362</v>
      </c>
      <c r="F92" s="29"/>
      <c r="G92" s="5" t="s">
        <v>197</v>
      </c>
      <c r="H92" s="17"/>
      <c r="I92" s="80">
        <f>Inputs!I124</f>
        <v>1.6500000000000001E-2</v>
      </c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AV92" s="28"/>
      <c r="AW92" s="28"/>
      <c r="AX92" s="28"/>
    </row>
    <row r="93" spans="1:50" ht="15" customHeight="1">
      <c r="A93" s="230"/>
      <c r="B93" s="27"/>
      <c r="C93" s="27"/>
      <c r="D93" s="52"/>
      <c r="E93" s="17"/>
      <c r="F93" s="29"/>
      <c r="G93" s="17"/>
      <c r="H93" s="17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AV93" s="28"/>
      <c r="AW93" s="28"/>
      <c r="AX93" s="28"/>
    </row>
    <row r="94" spans="1:50" ht="15" customHeight="1">
      <c r="A94" s="230"/>
      <c r="B94" s="27"/>
      <c r="C94" s="27"/>
      <c r="D94" s="52"/>
      <c r="E94" s="17" t="s">
        <v>363</v>
      </c>
      <c r="F94" s="29"/>
      <c r="G94" s="17" t="s">
        <v>197</v>
      </c>
      <c r="H94" s="17"/>
      <c r="I94" s="28"/>
      <c r="J94" s="28"/>
      <c r="K94" s="189">
        <f>($I$85+$I86)*K$15</f>
        <v>0</v>
      </c>
      <c r="L94" s="189">
        <f t="shared" ref="L94:R94" si="25">($I$85+$I86)*L$15</f>
        <v>0</v>
      </c>
      <c r="M94" s="189">
        <f t="shared" si="25"/>
        <v>0</v>
      </c>
      <c r="N94" s="189">
        <f t="shared" si="25"/>
        <v>0</v>
      </c>
      <c r="O94" s="189">
        <f t="shared" si="25"/>
        <v>0</v>
      </c>
      <c r="P94" s="189">
        <f t="shared" si="25"/>
        <v>0</v>
      </c>
      <c r="Q94" s="189">
        <f t="shared" si="25"/>
        <v>0</v>
      </c>
      <c r="R94" s="189">
        <f t="shared" si="25"/>
        <v>0</v>
      </c>
      <c r="S94" s="189">
        <f>($I$85+$I86)*S$15</f>
        <v>3.084802189398117E-2</v>
      </c>
      <c r="T94" s="189">
        <f t="shared" ref="T94:AX94" si="26">($I$85+$I86)*T$15</f>
        <v>3.084802189398117E-2</v>
      </c>
      <c r="U94" s="189">
        <f t="shared" si="26"/>
        <v>3.084802189398117E-2</v>
      </c>
      <c r="V94" s="189">
        <f t="shared" si="26"/>
        <v>3.084802189398117E-2</v>
      </c>
      <c r="W94" s="189">
        <f t="shared" si="26"/>
        <v>0</v>
      </c>
      <c r="X94" s="189">
        <f t="shared" si="26"/>
        <v>0</v>
      </c>
      <c r="Y94" s="189">
        <f t="shared" si="26"/>
        <v>0</v>
      </c>
      <c r="Z94" s="189">
        <f t="shared" si="26"/>
        <v>0</v>
      </c>
      <c r="AA94" s="189">
        <f t="shared" si="26"/>
        <v>0</v>
      </c>
      <c r="AB94" s="189">
        <f t="shared" si="26"/>
        <v>0</v>
      </c>
      <c r="AC94" s="189">
        <f t="shared" si="26"/>
        <v>0</v>
      </c>
      <c r="AD94" s="189">
        <f t="shared" si="26"/>
        <v>0</v>
      </c>
      <c r="AE94" s="189">
        <f t="shared" si="26"/>
        <v>0</v>
      </c>
      <c r="AF94" s="189">
        <f t="shared" si="26"/>
        <v>0</v>
      </c>
      <c r="AG94" s="189">
        <f t="shared" si="26"/>
        <v>0</v>
      </c>
      <c r="AH94" s="189">
        <f t="shared" si="26"/>
        <v>0</v>
      </c>
      <c r="AI94" s="189">
        <f t="shared" si="26"/>
        <v>0</v>
      </c>
      <c r="AJ94" s="189">
        <f t="shared" si="26"/>
        <v>0</v>
      </c>
      <c r="AK94" s="189">
        <f t="shared" si="26"/>
        <v>0</v>
      </c>
      <c r="AL94" s="189">
        <f t="shared" si="26"/>
        <v>0</v>
      </c>
      <c r="AM94" s="189">
        <f t="shared" si="26"/>
        <v>0</v>
      </c>
      <c r="AN94" s="189">
        <f t="shared" si="26"/>
        <v>0</v>
      </c>
      <c r="AO94" s="189">
        <f t="shared" si="26"/>
        <v>0</v>
      </c>
      <c r="AP94" s="189">
        <f t="shared" si="26"/>
        <v>0</v>
      </c>
      <c r="AQ94" s="189">
        <f t="shared" si="26"/>
        <v>0</v>
      </c>
      <c r="AR94" s="189">
        <f t="shared" si="26"/>
        <v>0</v>
      </c>
      <c r="AS94" s="189">
        <f t="shared" si="26"/>
        <v>0</v>
      </c>
      <c r="AT94" s="189">
        <f t="shared" si="26"/>
        <v>0</v>
      </c>
      <c r="AU94" s="189">
        <f t="shared" si="26"/>
        <v>0</v>
      </c>
      <c r="AV94" s="189">
        <f t="shared" si="26"/>
        <v>0</v>
      </c>
      <c r="AW94" s="189">
        <f t="shared" si="26"/>
        <v>0</v>
      </c>
      <c r="AX94" s="189">
        <f t="shared" si="26"/>
        <v>0</v>
      </c>
    </row>
    <row r="95" spans="1:50" ht="15" customHeight="1">
      <c r="A95" s="230"/>
      <c r="B95" s="27"/>
      <c r="C95" s="27"/>
      <c r="D95" s="52"/>
      <c r="E95" s="17" t="s">
        <v>364</v>
      </c>
      <c r="F95" s="29"/>
      <c r="G95" s="17" t="s">
        <v>197</v>
      </c>
      <c r="H95" s="17"/>
      <c r="I95" s="28"/>
      <c r="J95" s="28"/>
      <c r="K95" s="189">
        <f t="shared" ref="K95:R95" si="27">($I$85+$I88)*K$15</f>
        <v>0</v>
      </c>
      <c r="L95" s="189">
        <f t="shared" si="27"/>
        <v>0</v>
      </c>
      <c r="M95" s="189">
        <f t="shared" si="27"/>
        <v>0</v>
      </c>
      <c r="N95" s="189">
        <f t="shared" si="27"/>
        <v>0</v>
      </c>
      <c r="O95" s="189">
        <f t="shared" si="27"/>
        <v>0</v>
      </c>
      <c r="P95" s="189">
        <f t="shared" si="27"/>
        <v>0</v>
      </c>
      <c r="Q95" s="189">
        <f t="shared" si="27"/>
        <v>0</v>
      </c>
      <c r="R95" s="189">
        <f t="shared" si="27"/>
        <v>0</v>
      </c>
      <c r="S95" s="189">
        <f t="shared" ref="S95:AX95" si="28">($I$85+$I88)*S$15</f>
        <v>2.9155558352380519E-2</v>
      </c>
      <c r="T95" s="189">
        <f t="shared" si="28"/>
        <v>2.9155558352380519E-2</v>
      </c>
      <c r="U95" s="189">
        <f t="shared" si="28"/>
        <v>2.9155558352380519E-2</v>
      </c>
      <c r="V95" s="189">
        <f t="shared" si="28"/>
        <v>2.9155558352380519E-2</v>
      </c>
      <c r="W95" s="189">
        <f t="shared" si="28"/>
        <v>0</v>
      </c>
      <c r="X95" s="189">
        <f t="shared" si="28"/>
        <v>0</v>
      </c>
      <c r="Y95" s="189">
        <f t="shared" si="28"/>
        <v>0</v>
      </c>
      <c r="Z95" s="189">
        <f t="shared" si="28"/>
        <v>0</v>
      </c>
      <c r="AA95" s="189">
        <f t="shared" si="28"/>
        <v>0</v>
      </c>
      <c r="AB95" s="189">
        <f t="shared" si="28"/>
        <v>0</v>
      </c>
      <c r="AC95" s="189">
        <f t="shared" si="28"/>
        <v>0</v>
      </c>
      <c r="AD95" s="189">
        <f t="shared" si="28"/>
        <v>0</v>
      </c>
      <c r="AE95" s="189">
        <f t="shared" si="28"/>
        <v>0</v>
      </c>
      <c r="AF95" s="189">
        <f t="shared" si="28"/>
        <v>0</v>
      </c>
      <c r="AG95" s="189">
        <f t="shared" si="28"/>
        <v>0</v>
      </c>
      <c r="AH95" s="189">
        <f t="shared" si="28"/>
        <v>0</v>
      </c>
      <c r="AI95" s="189">
        <f t="shared" si="28"/>
        <v>0</v>
      </c>
      <c r="AJ95" s="189">
        <f t="shared" si="28"/>
        <v>0</v>
      </c>
      <c r="AK95" s="189">
        <f t="shared" si="28"/>
        <v>0</v>
      </c>
      <c r="AL95" s="189">
        <f t="shared" si="28"/>
        <v>0</v>
      </c>
      <c r="AM95" s="189">
        <f t="shared" si="28"/>
        <v>0</v>
      </c>
      <c r="AN95" s="189">
        <f t="shared" si="28"/>
        <v>0</v>
      </c>
      <c r="AO95" s="189">
        <f t="shared" si="28"/>
        <v>0</v>
      </c>
      <c r="AP95" s="189">
        <f t="shared" si="28"/>
        <v>0</v>
      </c>
      <c r="AQ95" s="189">
        <f t="shared" si="28"/>
        <v>0</v>
      </c>
      <c r="AR95" s="189">
        <f t="shared" si="28"/>
        <v>0</v>
      </c>
      <c r="AS95" s="189">
        <f t="shared" si="28"/>
        <v>0</v>
      </c>
      <c r="AT95" s="189">
        <f t="shared" si="28"/>
        <v>0</v>
      </c>
      <c r="AU95" s="189">
        <f t="shared" si="28"/>
        <v>0</v>
      </c>
      <c r="AV95" s="189">
        <f t="shared" si="28"/>
        <v>0</v>
      </c>
      <c r="AW95" s="189">
        <f t="shared" si="28"/>
        <v>0</v>
      </c>
      <c r="AX95" s="189">
        <f t="shared" si="28"/>
        <v>0</v>
      </c>
    </row>
    <row r="96" spans="1:50" ht="15" customHeight="1">
      <c r="A96" s="230"/>
      <c r="B96" s="27"/>
      <c r="C96" s="27"/>
      <c r="D96" s="52"/>
      <c r="E96" s="17" t="s">
        <v>365</v>
      </c>
      <c r="F96" s="29"/>
      <c r="G96" s="17" t="s">
        <v>197</v>
      </c>
      <c r="H96" s="17"/>
      <c r="I96" s="28"/>
      <c r="J96" s="28"/>
      <c r="K96" s="189">
        <f>($I$85+$I89)*K$15</f>
        <v>0</v>
      </c>
      <c r="L96" s="189">
        <f t="shared" ref="L96:R96" si="29">($I$85+$I89)*L$15</f>
        <v>0</v>
      </c>
      <c r="M96" s="189">
        <f t="shared" si="29"/>
        <v>0</v>
      </c>
      <c r="N96" s="189">
        <f t="shared" si="29"/>
        <v>0</v>
      </c>
      <c r="O96" s="189">
        <f t="shared" si="29"/>
        <v>0</v>
      </c>
      <c r="P96" s="189">
        <f t="shared" si="29"/>
        <v>0</v>
      </c>
      <c r="Q96" s="189">
        <f t="shared" si="29"/>
        <v>0</v>
      </c>
      <c r="R96" s="189">
        <f t="shared" si="29"/>
        <v>0</v>
      </c>
      <c r="S96" s="189">
        <f t="shared" ref="S96:AX96" si="30">($I$85+$I89)*S$15</f>
        <v>2.91818256112122E-2</v>
      </c>
      <c r="T96" s="189">
        <f t="shared" si="30"/>
        <v>2.91818256112122E-2</v>
      </c>
      <c r="U96" s="189">
        <f t="shared" si="30"/>
        <v>2.91818256112122E-2</v>
      </c>
      <c r="V96" s="189">
        <f t="shared" si="30"/>
        <v>2.91818256112122E-2</v>
      </c>
      <c r="W96" s="189">
        <f t="shared" si="30"/>
        <v>0</v>
      </c>
      <c r="X96" s="189">
        <f t="shared" si="30"/>
        <v>0</v>
      </c>
      <c r="Y96" s="189">
        <f t="shared" si="30"/>
        <v>0</v>
      </c>
      <c r="Z96" s="189">
        <f t="shared" si="30"/>
        <v>0</v>
      </c>
      <c r="AA96" s="189">
        <f t="shared" si="30"/>
        <v>0</v>
      </c>
      <c r="AB96" s="189">
        <f t="shared" si="30"/>
        <v>0</v>
      </c>
      <c r="AC96" s="189">
        <f t="shared" si="30"/>
        <v>0</v>
      </c>
      <c r="AD96" s="189">
        <f t="shared" si="30"/>
        <v>0</v>
      </c>
      <c r="AE96" s="189">
        <f t="shared" si="30"/>
        <v>0</v>
      </c>
      <c r="AF96" s="189">
        <f t="shared" si="30"/>
        <v>0</v>
      </c>
      <c r="AG96" s="189">
        <f t="shared" si="30"/>
        <v>0</v>
      </c>
      <c r="AH96" s="189">
        <f t="shared" si="30"/>
        <v>0</v>
      </c>
      <c r="AI96" s="189">
        <f t="shared" si="30"/>
        <v>0</v>
      </c>
      <c r="AJ96" s="189">
        <f t="shared" si="30"/>
        <v>0</v>
      </c>
      <c r="AK96" s="189">
        <f t="shared" si="30"/>
        <v>0</v>
      </c>
      <c r="AL96" s="189">
        <f t="shared" si="30"/>
        <v>0</v>
      </c>
      <c r="AM96" s="189">
        <f t="shared" si="30"/>
        <v>0</v>
      </c>
      <c r="AN96" s="189">
        <f t="shared" si="30"/>
        <v>0</v>
      </c>
      <c r="AO96" s="189">
        <f t="shared" si="30"/>
        <v>0</v>
      </c>
      <c r="AP96" s="189">
        <f t="shared" si="30"/>
        <v>0</v>
      </c>
      <c r="AQ96" s="189">
        <f t="shared" si="30"/>
        <v>0</v>
      </c>
      <c r="AR96" s="189">
        <f t="shared" si="30"/>
        <v>0</v>
      </c>
      <c r="AS96" s="189">
        <f t="shared" si="30"/>
        <v>0</v>
      </c>
      <c r="AT96" s="189">
        <f t="shared" si="30"/>
        <v>0</v>
      </c>
      <c r="AU96" s="189">
        <f t="shared" si="30"/>
        <v>0</v>
      </c>
      <c r="AV96" s="189">
        <f t="shared" si="30"/>
        <v>0</v>
      </c>
      <c r="AW96" s="189">
        <f t="shared" si="30"/>
        <v>0</v>
      </c>
      <c r="AX96" s="189">
        <f t="shared" si="30"/>
        <v>0</v>
      </c>
    </row>
    <row r="97" spans="1:50" ht="15" customHeight="1">
      <c r="A97" s="230"/>
      <c r="B97" s="27"/>
      <c r="C97" s="27"/>
      <c r="D97" s="52"/>
      <c r="E97" s="17" t="s">
        <v>366</v>
      </c>
      <c r="F97" s="29"/>
      <c r="G97" s="17" t="s">
        <v>197</v>
      </c>
      <c r="H97" s="17"/>
      <c r="I97" s="28"/>
      <c r="J97" s="28"/>
      <c r="K97" s="189">
        <f t="shared" ref="K97:R97" si="31">($I$85+$I90)*K$15</f>
        <v>0</v>
      </c>
      <c r="L97" s="189">
        <f t="shared" si="31"/>
        <v>0</v>
      </c>
      <c r="M97" s="189">
        <f t="shared" si="31"/>
        <v>0</v>
      </c>
      <c r="N97" s="189">
        <f t="shared" si="31"/>
        <v>0</v>
      </c>
      <c r="O97" s="189">
        <f t="shared" si="31"/>
        <v>0</v>
      </c>
      <c r="P97" s="189">
        <f t="shared" si="31"/>
        <v>0</v>
      </c>
      <c r="Q97" s="189">
        <f t="shared" si="31"/>
        <v>0</v>
      </c>
      <c r="R97" s="189">
        <f t="shared" si="31"/>
        <v>0</v>
      </c>
      <c r="S97" s="189">
        <f t="shared" ref="S97:AX97" si="32">($I$85+$I90)*S$15</f>
        <v>2.9143521893981165E-2</v>
      </c>
      <c r="T97" s="189">
        <f t="shared" si="32"/>
        <v>2.9143521893981165E-2</v>
      </c>
      <c r="U97" s="189">
        <f t="shared" si="32"/>
        <v>2.9143521893981165E-2</v>
      </c>
      <c r="V97" s="189">
        <f t="shared" si="32"/>
        <v>2.9143521893981165E-2</v>
      </c>
      <c r="W97" s="189">
        <f t="shared" si="32"/>
        <v>0</v>
      </c>
      <c r="X97" s="189">
        <f t="shared" si="32"/>
        <v>0</v>
      </c>
      <c r="Y97" s="189">
        <f t="shared" si="32"/>
        <v>0</v>
      </c>
      <c r="Z97" s="189">
        <f t="shared" si="32"/>
        <v>0</v>
      </c>
      <c r="AA97" s="189">
        <f t="shared" si="32"/>
        <v>0</v>
      </c>
      <c r="AB97" s="189">
        <f t="shared" si="32"/>
        <v>0</v>
      </c>
      <c r="AC97" s="189">
        <f t="shared" si="32"/>
        <v>0</v>
      </c>
      <c r="AD97" s="189">
        <f t="shared" si="32"/>
        <v>0</v>
      </c>
      <c r="AE97" s="189">
        <f t="shared" si="32"/>
        <v>0</v>
      </c>
      <c r="AF97" s="189">
        <f t="shared" si="32"/>
        <v>0</v>
      </c>
      <c r="AG97" s="189">
        <f t="shared" si="32"/>
        <v>0</v>
      </c>
      <c r="AH97" s="189">
        <f t="shared" si="32"/>
        <v>0</v>
      </c>
      <c r="AI97" s="189">
        <f t="shared" si="32"/>
        <v>0</v>
      </c>
      <c r="AJ97" s="189">
        <f t="shared" si="32"/>
        <v>0</v>
      </c>
      <c r="AK97" s="189">
        <f t="shared" si="32"/>
        <v>0</v>
      </c>
      <c r="AL97" s="189">
        <f t="shared" si="32"/>
        <v>0</v>
      </c>
      <c r="AM97" s="189">
        <f t="shared" si="32"/>
        <v>0</v>
      </c>
      <c r="AN97" s="189">
        <f t="shared" si="32"/>
        <v>0</v>
      </c>
      <c r="AO97" s="189">
        <f t="shared" si="32"/>
        <v>0</v>
      </c>
      <c r="AP97" s="189">
        <f t="shared" si="32"/>
        <v>0</v>
      </c>
      <c r="AQ97" s="189">
        <f t="shared" si="32"/>
        <v>0</v>
      </c>
      <c r="AR97" s="189">
        <f t="shared" si="32"/>
        <v>0</v>
      </c>
      <c r="AS97" s="189">
        <f t="shared" si="32"/>
        <v>0</v>
      </c>
      <c r="AT97" s="189">
        <f t="shared" si="32"/>
        <v>0</v>
      </c>
      <c r="AU97" s="189">
        <f t="shared" si="32"/>
        <v>0</v>
      </c>
      <c r="AV97" s="189">
        <f t="shared" si="32"/>
        <v>0</v>
      </c>
      <c r="AW97" s="189">
        <f t="shared" si="32"/>
        <v>0</v>
      </c>
      <c r="AX97" s="189">
        <f t="shared" si="32"/>
        <v>0</v>
      </c>
    </row>
    <row r="98" spans="1:50" ht="15" customHeight="1">
      <c r="A98" s="230"/>
      <c r="B98" s="27"/>
      <c r="C98" s="27"/>
      <c r="D98" s="52"/>
      <c r="E98" s="54" t="s">
        <v>367</v>
      </c>
      <c r="F98" s="29"/>
      <c r="G98" s="17" t="s">
        <v>197</v>
      </c>
      <c r="H98" s="17"/>
      <c r="I98" s="28"/>
      <c r="J98" s="28"/>
      <c r="K98" s="189">
        <f t="shared" ref="K98:R98" si="33">($I$85+$I91)*K$15</f>
        <v>0</v>
      </c>
      <c r="L98" s="189">
        <f t="shared" si="33"/>
        <v>0</v>
      </c>
      <c r="M98" s="189">
        <f t="shared" si="33"/>
        <v>0</v>
      </c>
      <c r="N98" s="189">
        <f t="shared" si="33"/>
        <v>0</v>
      </c>
      <c r="O98" s="189">
        <f t="shared" si="33"/>
        <v>0</v>
      </c>
      <c r="P98" s="189">
        <f t="shared" si="33"/>
        <v>0</v>
      </c>
      <c r="Q98" s="189">
        <f t="shared" si="33"/>
        <v>0</v>
      </c>
      <c r="R98" s="189">
        <f t="shared" si="33"/>
        <v>0</v>
      </c>
      <c r="S98" s="189">
        <f t="shared" ref="S98:AX98" si="34">($I$85+$I91)*S$15</f>
        <v>2.5643521893981169E-2</v>
      </c>
      <c r="T98" s="189">
        <f t="shared" si="34"/>
        <v>2.5643521893981169E-2</v>
      </c>
      <c r="U98" s="189">
        <f t="shared" si="34"/>
        <v>2.5643521893981169E-2</v>
      </c>
      <c r="V98" s="189">
        <f t="shared" si="34"/>
        <v>2.5643521893981169E-2</v>
      </c>
      <c r="W98" s="189">
        <f t="shared" si="34"/>
        <v>0</v>
      </c>
      <c r="X98" s="189">
        <f t="shared" si="34"/>
        <v>0</v>
      </c>
      <c r="Y98" s="189">
        <f t="shared" si="34"/>
        <v>0</v>
      </c>
      <c r="Z98" s="189">
        <f t="shared" si="34"/>
        <v>0</v>
      </c>
      <c r="AA98" s="189">
        <f t="shared" si="34"/>
        <v>0</v>
      </c>
      <c r="AB98" s="189">
        <f t="shared" si="34"/>
        <v>0</v>
      </c>
      <c r="AC98" s="189">
        <f t="shared" si="34"/>
        <v>0</v>
      </c>
      <c r="AD98" s="189">
        <f t="shared" si="34"/>
        <v>0</v>
      </c>
      <c r="AE98" s="189">
        <f t="shared" si="34"/>
        <v>0</v>
      </c>
      <c r="AF98" s="189">
        <f t="shared" si="34"/>
        <v>0</v>
      </c>
      <c r="AG98" s="189">
        <f t="shared" si="34"/>
        <v>0</v>
      </c>
      <c r="AH98" s="189">
        <f t="shared" si="34"/>
        <v>0</v>
      </c>
      <c r="AI98" s="189">
        <f t="shared" si="34"/>
        <v>0</v>
      </c>
      <c r="AJ98" s="189">
        <f t="shared" si="34"/>
        <v>0</v>
      </c>
      <c r="AK98" s="189">
        <f t="shared" si="34"/>
        <v>0</v>
      </c>
      <c r="AL98" s="189">
        <f t="shared" si="34"/>
        <v>0</v>
      </c>
      <c r="AM98" s="189">
        <f t="shared" si="34"/>
        <v>0</v>
      </c>
      <c r="AN98" s="189">
        <f t="shared" si="34"/>
        <v>0</v>
      </c>
      <c r="AO98" s="189">
        <f t="shared" si="34"/>
        <v>0</v>
      </c>
      <c r="AP98" s="189">
        <f t="shared" si="34"/>
        <v>0</v>
      </c>
      <c r="AQ98" s="189">
        <f t="shared" si="34"/>
        <v>0</v>
      </c>
      <c r="AR98" s="189">
        <f t="shared" si="34"/>
        <v>0</v>
      </c>
      <c r="AS98" s="189">
        <f t="shared" si="34"/>
        <v>0</v>
      </c>
      <c r="AT98" s="189">
        <f t="shared" si="34"/>
        <v>0</v>
      </c>
      <c r="AU98" s="189">
        <f t="shared" si="34"/>
        <v>0</v>
      </c>
      <c r="AV98" s="189">
        <f t="shared" si="34"/>
        <v>0</v>
      </c>
      <c r="AW98" s="189">
        <f t="shared" si="34"/>
        <v>0</v>
      </c>
      <c r="AX98" s="189">
        <f t="shared" si="34"/>
        <v>0</v>
      </c>
    </row>
    <row r="99" spans="1:50" ht="15" customHeight="1">
      <c r="A99" s="230"/>
      <c r="B99" s="27"/>
      <c r="C99" s="27"/>
      <c r="D99" s="52"/>
      <c r="E99" s="17" t="s">
        <v>368</v>
      </c>
      <c r="F99" s="29"/>
      <c r="G99" s="17" t="s">
        <v>197</v>
      </c>
      <c r="H99" s="17"/>
      <c r="I99" s="28"/>
      <c r="J99" s="28"/>
      <c r="K99" s="189">
        <f t="shared" ref="K99:R99" si="35">($I$85+$I92)*K$15</f>
        <v>0</v>
      </c>
      <c r="L99" s="189">
        <f t="shared" si="35"/>
        <v>0</v>
      </c>
      <c r="M99" s="189">
        <f t="shared" si="35"/>
        <v>0</v>
      </c>
      <c r="N99" s="189">
        <f t="shared" si="35"/>
        <v>0</v>
      </c>
      <c r="O99" s="189">
        <f t="shared" si="35"/>
        <v>0</v>
      </c>
      <c r="P99" s="189">
        <f t="shared" si="35"/>
        <v>0</v>
      </c>
      <c r="Q99" s="189">
        <f t="shared" si="35"/>
        <v>0</v>
      </c>
      <c r="R99" s="189">
        <f t="shared" si="35"/>
        <v>0</v>
      </c>
      <c r="S99" s="189">
        <f t="shared" ref="S99:AX99" si="36">($I$85+$I92)*S$15</f>
        <v>2.9643521893981166E-2</v>
      </c>
      <c r="T99" s="189">
        <f t="shared" si="36"/>
        <v>2.9643521893981166E-2</v>
      </c>
      <c r="U99" s="189">
        <f t="shared" si="36"/>
        <v>2.9643521893981166E-2</v>
      </c>
      <c r="V99" s="189">
        <f t="shared" si="36"/>
        <v>2.9643521893981166E-2</v>
      </c>
      <c r="W99" s="189">
        <f t="shared" si="36"/>
        <v>0</v>
      </c>
      <c r="X99" s="189">
        <f t="shared" si="36"/>
        <v>0</v>
      </c>
      <c r="Y99" s="189">
        <f t="shared" si="36"/>
        <v>0</v>
      </c>
      <c r="Z99" s="189">
        <f t="shared" si="36"/>
        <v>0</v>
      </c>
      <c r="AA99" s="189">
        <f t="shared" si="36"/>
        <v>0</v>
      </c>
      <c r="AB99" s="189">
        <f t="shared" si="36"/>
        <v>0</v>
      </c>
      <c r="AC99" s="189">
        <f t="shared" si="36"/>
        <v>0</v>
      </c>
      <c r="AD99" s="189">
        <f t="shared" si="36"/>
        <v>0</v>
      </c>
      <c r="AE99" s="189">
        <f t="shared" si="36"/>
        <v>0</v>
      </c>
      <c r="AF99" s="189">
        <f t="shared" si="36"/>
        <v>0</v>
      </c>
      <c r="AG99" s="189">
        <f t="shared" si="36"/>
        <v>0</v>
      </c>
      <c r="AH99" s="189">
        <f t="shared" si="36"/>
        <v>0</v>
      </c>
      <c r="AI99" s="189">
        <f t="shared" si="36"/>
        <v>0</v>
      </c>
      <c r="AJ99" s="189">
        <f t="shared" si="36"/>
        <v>0</v>
      </c>
      <c r="AK99" s="189">
        <f t="shared" si="36"/>
        <v>0</v>
      </c>
      <c r="AL99" s="189">
        <f t="shared" si="36"/>
        <v>0</v>
      </c>
      <c r="AM99" s="189">
        <f t="shared" si="36"/>
        <v>0</v>
      </c>
      <c r="AN99" s="189">
        <f t="shared" si="36"/>
        <v>0</v>
      </c>
      <c r="AO99" s="189">
        <f t="shared" si="36"/>
        <v>0</v>
      </c>
      <c r="AP99" s="189">
        <f t="shared" si="36"/>
        <v>0</v>
      </c>
      <c r="AQ99" s="189">
        <f t="shared" si="36"/>
        <v>0</v>
      </c>
      <c r="AR99" s="189">
        <f t="shared" si="36"/>
        <v>0</v>
      </c>
      <c r="AS99" s="189">
        <f t="shared" si="36"/>
        <v>0</v>
      </c>
      <c r="AT99" s="189">
        <f t="shared" si="36"/>
        <v>0</v>
      </c>
      <c r="AU99" s="189">
        <f t="shared" si="36"/>
        <v>0</v>
      </c>
      <c r="AV99" s="189">
        <f t="shared" si="36"/>
        <v>0</v>
      </c>
      <c r="AW99" s="189">
        <f t="shared" si="36"/>
        <v>0</v>
      </c>
      <c r="AX99" s="189">
        <f t="shared" si="36"/>
        <v>0</v>
      </c>
    </row>
    <row r="100" spans="1:50" ht="15" customHeight="1">
      <c r="A100" s="230"/>
      <c r="B100" s="27"/>
      <c r="C100" s="27"/>
      <c r="D100" s="52"/>
      <c r="E100" s="17"/>
      <c r="F100" s="29"/>
      <c r="G100" s="17"/>
      <c r="H100" s="17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AV100" s="28"/>
      <c r="AW100" s="28"/>
      <c r="AX100" s="28"/>
    </row>
    <row r="101" spans="1:50" ht="15" customHeight="1">
      <c r="A101" s="230"/>
      <c r="B101" s="27"/>
      <c r="C101" s="27"/>
      <c r="D101" s="52"/>
      <c r="E101" s="17" t="s">
        <v>369</v>
      </c>
      <c r="F101" s="5"/>
      <c r="G101" s="16" t="s">
        <v>203</v>
      </c>
      <c r="H101" s="17"/>
      <c r="I101" s="80">
        <f>Inputs!I95</f>
        <v>0.35</v>
      </c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AV101" s="28"/>
      <c r="AW101" s="28"/>
      <c r="AX101" s="28"/>
    </row>
    <row r="102" spans="1:50" ht="15" customHeight="1">
      <c r="A102" s="230"/>
      <c r="B102" s="27"/>
      <c r="C102" s="27"/>
      <c r="D102" s="52"/>
      <c r="E102" s="17" t="s">
        <v>370</v>
      </c>
      <c r="F102" s="5"/>
      <c r="G102" s="16" t="s">
        <v>203</v>
      </c>
      <c r="H102" s="17"/>
      <c r="I102" s="80">
        <f>Inputs!I103</f>
        <v>0.35</v>
      </c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AV102" s="28"/>
      <c r="AW102" s="28"/>
      <c r="AX102" s="28"/>
    </row>
    <row r="103" spans="1:50" ht="15" customHeight="1">
      <c r="A103" s="230"/>
      <c r="B103" s="27"/>
      <c r="C103" s="27"/>
      <c r="D103" s="52"/>
      <c r="E103" s="17" t="s">
        <v>371</v>
      </c>
      <c r="F103" s="5"/>
      <c r="G103" s="16" t="s">
        <v>203</v>
      </c>
      <c r="H103" s="17"/>
      <c r="I103" s="80">
        <f>Inputs!I109</f>
        <v>0.35</v>
      </c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AV103" s="28"/>
      <c r="AW103" s="28"/>
      <c r="AX103" s="28"/>
    </row>
    <row r="104" spans="1:50" ht="15" customHeight="1">
      <c r="A104" s="230"/>
      <c r="B104" s="27"/>
      <c r="C104" s="27"/>
      <c r="D104" s="52"/>
      <c r="E104" s="17" t="s">
        <v>372</v>
      </c>
      <c r="F104" s="5"/>
      <c r="G104" s="16" t="s">
        <v>203</v>
      </c>
      <c r="H104" s="17"/>
      <c r="I104" s="80">
        <f>Inputs!I114</f>
        <v>0.35</v>
      </c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</row>
    <row r="105" spans="1:50" ht="15" customHeight="1">
      <c r="A105" s="230"/>
      <c r="B105" s="27"/>
      <c r="C105" s="27"/>
      <c r="D105" s="52"/>
      <c r="E105" s="17" t="s">
        <v>373</v>
      </c>
      <c r="F105" s="5"/>
      <c r="G105" s="16" t="s">
        <v>203</v>
      </c>
      <c r="H105" s="17"/>
      <c r="I105" s="80">
        <f>Inputs!I120</f>
        <v>0.35</v>
      </c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AV105" s="28"/>
      <c r="AW105" s="28"/>
      <c r="AX105" s="28"/>
    </row>
    <row r="106" spans="1:50" ht="15" customHeight="1">
      <c r="A106" s="230"/>
      <c r="B106" s="27"/>
      <c r="C106" s="27"/>
      <c r="D106" s="52"/>
      <c r="E106" s="17" t="s">
        <v>374</v>
      </c>
      <c r="F106" s="5"/>
      <c r="G106" s="16" t="s">
        <v>203</v>
      </c>
      <c r="H106" s="17"/>
      <c r="I106" s="80">
        <f>Inputs!I125</f>
        <v>0.35</v>
      </c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AV106" s="28"/>
      <c r="AW106" s="28"/>
      <c r="AX106" s="28"/>
    </row>
    <row r="107" spans="1:50" ht="15" customHeight="1">
      <c r="A107" s="230"/>
      <c r="B107" s="27"/>
      <c r="C107" s="27"/>
      <c r="D107" s="52"/>
      <c r="E107" s="17"/>
      <c r="F107" s="29"/>
      <c r="G107" s="17"/>
      <c r="H107" s="17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AV107" s="28"/>
      <c r="AW107" s="28"/>
      <c r="AX107" s="28"/>
    </row>
    <row r="108" spans="1:50" ht="15" customHeight="1">
      <c r="A108" s="230"/>
      <c r="B108" s="27"/>
      <c r="C108" s="27"/>
      <c r="D108" s="52"/>
      <c r="E108" s="5" t="s">
        <v>375</v>
      </c>
      <c r="F108" s="5"/>
      <c r="G108" s="4" t="str">
        <f>CONCATENATE(Inputs!$I$9,"m nominal prices")</f>
        <v>£m nominal prices</v>
      </c>
      <c r="H108" s="17"/>
      <c r="I108" s="28"/>
      <c r="J108" s="28"/>
      <c r="K108" s="5">
        <f>$I$58*$I$78*K14</f>
        <v>0</v>
      </c>
      <c r="L108" s="5">
        <f t="shared" ref="L108:AX108" si="37">$I$58*$I$78*L14</f>
        <v>0</v>
      </c>
      <c r="M108" s="5">
        <f t="shared" si="37"/>
        <v>0</v>
      </c>
      <c r="N108" s="5">
        <f t="shared" si="37"/>
        <v>0</v>
      </c>
      <c r="O108" s="5">
        <f t="shared" si="37"/>
        <v>0</v>
      </c>
      <c r="P108" s="5">
        <f t="shared" si="37"/>
        <v>0</v>
      </c>
      <c r="Q108" s="5">
        <f t="shared" si="37"/>
        <v>0</v>
      </c>
      <c r="R108" s="5">
        <f t="shared" si="37"/>
        <v>0</v>
      </c>
      <c r="S108" s="5">
        <f>$I$58*$I$78*S14</f>
        <v>3.4198564890457579</v>
      </c>
      <c r="T108" s="5">
        <f t="shared" si="37"/>
        <v>0</v>
      </c>
      <c r="U108" s="5">
        <f t="shared" si="37"/>
        <v>0</v>
      </c>
      <c r="V108" s="5">
        <f t="shared" si="37"/>
        <v>0</v>
      </c>
      <c r="W108" s="5">
        <f t="shared" si="37"/>
        <v>0</v>
      </c>
      <c r="X108" s="5">
        <f t="shared" si="37"/>
        <v>0</v>
      </c>
      <c r="Y108" s="5">
        <f t="shared" si="37"/>
        <v>0</v>
      </c>
      <c r="Z108" s="5">
        <f t="shared" si="37"/>
        <v>0</v>
      </c>
      <c r="AA108" s="5">
        <f t="shared" si="37"/>
        <v>0</v>
      </c>
      <c r="AB108" s="5">
        <f t="shared" si="37"/>
        <v>0</v>
      </c>
      <c r="AC108" s="5">
        <f t="shared" si="37"/>
        <v>0</v>
      </c>
      <c r="AD108" s="5">
        <f t="shared" si="37"/>
        <v>0</v>
      </c>
      <c r="AE108" s="5">
        <f t="shared" si="37"/>
        <v>0</v>
      </c>
      <c r="AF108" s="5">
        <f t="shared" si="37"/>
        <v>0</v>
      </c>
      <c r="AG108" s="5">
        <f t="shared" si="37"/>
        <v>0</v>
      </c>
      <c r="AH108" s="5">
        <f t="shared" si="37"/>
        <v>0</v>
      </c>
      <c r="AI108" s="5">
        <f t="shared" si="37"/>
        <v>0</v>
      </c>
      <c r="AJ108" s="5">
        <f t="shared" si="37"/>
        <v>0</v>
      </c>
      <c r="AK108" s="5">
        <f t="shared" si="37"/>
        <v>0</v>
      </c>
      <c r="AL108" s="5">
        <f t="shared" si="37"/>
        <v>0</v>
      </c>
      <c r="AM108" s="5">
        <f t="shared" si="37"/>
        <v>0</v>
      </c>
      <c r="AN108" s="5">
        <f t="shared" si="37"/>
        <v>0</v>
      </c>
      <c r="AO108" s="5">
        <f t="shared" si="37"/>
        <v>0</v>
      </c>
      <c r="AP108" s="5">
        <f t="shared" si="37"/>
        <v>0</v>
      </c>
      <c r="AQ108" s="5">
        <f t="shared" si="37"/>
        <v>0</v>
      </c>
      <c r="AR108" s="5">
        <f t="shared" si="37"/>
        <v>0</v>
      </c>
      <c r="AS108" s="5">
        <f t="shared" si="37"/>
        <v>0</v>
      </c>
      <c r="AT108" s="5">
        <f t="shared" si="37"/>
        <v>0</v>
      </c>
      <c r="AU108" s="5">
        <f t="shared" si="37"/>
        <v>0</v>
      </c>
      <c r="AV108" s="5">
        <f t="shared" si="37"/>
        <v>0</v>
      </c>
      <c r="AW108" s="5">
        <f t="shared" si="37"/>
        <v>0</v>
      </c>
      <c r="AX108" s="5">
        <f t="shared" si="37"/>
        <v>0</v>
      </c>
    </row>
    <row r="109" spans="1:50" ht="15" customHeight="1">
      <c r="A109" s="230"/>
      <c r="B109" s="27"/>
      <c r="C109" s="27"/>
      <c r="D109" s="52"/>
      <c r="E109" s="5" t="s">
        <v>376</v>
      </c>
      <c r="F109" s="5"/>
      <c r="G109" s="4" t="str">
        <f>CONCATENATE(Inputs!$I$9,"m nominal prices")</f>
        <v>£m nominal prices</v>
      </c>
      <c r="H109" s="17"/>
      <c r="I109" s="28"/>
      <c r="J109" s="28"/>
      <c r="K109" s="5">
        <f>($I$68*$I$79+$I$69*$I$80+$I$71*$I$81+$I$72*$I$82+$I$74*$I$83)*K14</f>
        <v>0</v>
      </c>
      <c r="L109" s="5">
        <f>($I$68*$I$79+$I$69*$I$80+$I$71*$I$81+$I$72*$I$82+$I$74*$I$83)*L14</f>
        <v>0</v>
      </c>
      <c r="M109" s="5">
        <f t="shared" ref="M109:AX109" si="38">($I$68*$I$79+$I$69*$I$80+$I$71*$I$81+$I$72*$I$82+$I$74*$I$83)*M14</f>
        <v>0</v>
      </c>
      <c r="N109" s="5">
        <f t="shared" si="38"/>
        <v>0</v>
      </c>
      <c r="O109" s="5">
        <f t="shared" si="38"/>
        <v>0</v>
      </c>
      <c r="P109" s="5">
        <f t="shared" si="38"/>
        <v>0</v>
      </c>
      <c r="Q109" s="5">
        <f t="shared" si="38"/>
        <v>0</v>
      </c>
      <c r="R109" s="5">
        <f>($I$68*$I$79+$I$69*$I$80+$I$71*$I$81+$I$72*$I$82+$I$74*$I$83)*R14</f>
        <v>0</v>
      </c>
      <c r="S109" s="5">
        <f>($I$68*$I$79+$I$69*$I$80+$I$71*$I$81+$I$72*$I$82+$I$74*$I$83)*S14</f>
        <v>0.62917088188981218</v>
      </c>
      <c r="T109" s="5">
        <f t="shared" si="38"/>
        <v>0</v>
      </c>
      <c r="U109" s="5">
        <f t="shared" si="38"/>
        <v>0</v>
      </c>
      <c r="V109" s="5">
        <f t="shared" si="38"/>
        <v>0</v>
      </c>
      <c r="W109" s="5">
        <f t="shared" si="38"/>
        <v>0</v>
      </c>
      <c r="X109" s="5">
        <f t="shared" si="38"/>
        <v>0</v>
      </c>
      <c r="Y109" s="5">
        <f t="shared" si="38"/>
        <v>0</v>
      </c>
      <c r="Z109" s="5">
        <f t="shared" si="38"/>
        <v>0</v>
      </c>
      <c r="AA109" s="5">
        <f t="shared" si="38"/>
        <v>0</v>
      </c>
      <c r="AB109" s="5">
        <f t="shared" si="38"/>
        <v>0</v>
      </c>
      <c r="AC109" s="5">
        <f t="shared" si="38"/>
        <v>0</v>
      </c>
      <c r="AD109" s="5">
        <f t="shared" si="38"/>
        <v>0</v>
      </c>
      <c r="AE109" s="5">
        <f t="shared" si="38"/>
        <v>0</v>
      </c>
      <c r="AF109" s="5">
        <f t="shared" si="38"/>
        <v>0</v>
      </c>
      <c r="AG109" s="5">
        <f t="shared" si="38"/>
        <v>0</v>
      </c>
      <c r="AH109" s="5">
        <f t="shared" si="38"/>
        <v>0</v>
      </c>
      <c r="AI109" s="5">
        <f t="shared" si="38"/>
        <v>0</v>
      </c>
      <c r="AJ109" s="5">
        <f t="shared" si="38"/>
        <v>0</v>
      </c>
      <c r="AK109" s="5">
        <f t="shared" si="38"/>
        <v>0</v>
      </c>
      <c r="AL109" s="5">
        <f t="shared" si="38"/>
        <v>0</v>
      </c>
      <c r="AM109" s="5">
        <f t="shared" si="38"/>
        <v>0</v>
      </c>
      <c r="AN109" s="5">
        <f t="shared" si="38"/>
        <v>0</v>
      </c>
      <c r="AO109" s="5">
        <f t="shared" si="38"/>
        <v>0</v>
      </c>
      <c r="AP109" s="5">
        <f t="shared" si="38"/>
        <v>0</v>
      </c>
      <c r="AQ109" s="5">
        <f t="shared" si="38"/>
        <v>0</v>
      </c>
      <c r="AR109" s="5">
        <f t="shared" si="38"/>
        <v>0</v>
      </c>
      <c r="AS109" s="5">
        <f t="shared" si="38"/>
        <v>0</v>
      </c>
      <c r="AT109" s="5">
        <f t="shared" si="38"/>
        <v>0</v>
      </c>
      <c r="AU109" s="5">
        <f t="shared" si="38"/>
        <v>0</v>
      </c>
      <c r="AV109" s="5">
        <f t="shared" si="38"/>
        <v>0</v>
      </c>
      <c r="AW109" s="5">
        <f t="shared" si="38"/>
        <v>0</v>
      </c>
      <c r="AX109" s="5">
        <f t="shared" si="38"/>
        <v>0</v>
      </c>
    </row>
    <row r="110" spans="1:50" ht="15" customHeight="1">
      <c r="A110" s="230"/>
      <c r="B110" s="27"/>
      <c r="C110" s="27"/>
      <c r="D110" s="52"/>
      <c r="E110" s="5" t="s">
        <v>377</v>
      </c>
      <c r="F110" s="5"/>
      <c r="G110" s="4" t="str">
        <f>CONCATENATE(Inputs!$I$9,"m nominal prices")</f>
        <v>£m nominal prices</v>
      </c>
      <c r="H110" s="17"/>
      <c r="I110" s="28"/>
      <c r="J110" s="28"/>
      <c r="K110" s="5">
        <f>SUM(K63:K64)*K94*K15</f>
        <v>0</v>
      </c>
      <c r="L110" s="5">
        <f t="shared" ref="L110:AX110" si="39">SUM(L63:L64)*L94*L15</f>
        <v>0</v>
      </c>
      <c r="M110" s="5">
        <f t="shared" si="39"/>
        <v>0</v>
      </c>
      <c r="N110" s="5">
        <f t="shared" si="39"/>
        <v>0</v>
      </c>
      <c r="O110" s="5">
        <f t="shared" si="39"/>
        <v>0</v>
      </c>
      <c r="P110" s="5">
        <f t="shared" si="39"/>
        <v>0</v>
      </c>
      <c r="Q110" s="5">
        <f t="shared" si="39"/>
        <v>0</v>
      </c>
      <c r="R110" s="5">
        <f>SUM(R63:R64)*R94*R15</f>
        <v>0</v>
      </c>
      <c r="S110" s="5">
        <f>SUM(S63:S64)*S94*S15</f>
        <v>3.8109769419785877</v>
      </c>
      <c r="T110" s="5">
        <f t="shared" si="39"/>
        <v>7.5354148463112223</v>
      </c>
      <c r="U110" s="5">
        <f t="shared" si="39"/>
        <v>7.5354148463112223</v>
      </c>
      <c r="V110" s="5">
        <f t="shared" si="39"/>
        <v>7.5354148463112223</v>
      </c>
      <c r="W110" s="5">
        <f t="shared" si="39"/>
        <v>0</v>
      </c>
      <c r="X110" s="5">
        <f t="shared" si="39"/>
        <v>0</v>
      </c>
      <c r="Y110" s="5">
        <f t="shared" si="39"/>
        <v>0</v>
      </c>
      <c r="Z110" s="5">
        <f t="shared" si="39"/>
        <v>0</v>
      </c>
      <c r="AA110" s="5">
        <f t="shared" si="39"/>
        <v>0</v>
      </c>
      <c r="AB110" s="5">
        <f t="shared" si="39"/>
        <v>0</v>
      </c>
      <c r="AC110" s="5">
        <f t="shared" si="39"/>
        <v>0</v>
      </c>
      <c r="AD110" s="5">
        <f t="shared" si="39"/>
        <v>0</v>
      </c>
      <c r="AE110" s="5">
        <f t="shared" si="39"/>
        <v>0</v>
      </c>
      <c r="AF110" s="5">
        <f t="shared" si="39"/>
        <v>0</v>
      </c>
      <c r="AG110" s="5">
        <f t="shared" si="39"/>
        <v>0</v>
      </c>
      <c r="AH110" s="5">
        <f t="shared" si="39"/>
        <v>0</v>
      </c>
      <c r="AI110" s="5">
        <f t="shared" si="39"/>
        <v>0</v>
      </c>
      <c r="AJ110" s="5">
        <f t="shared" si="39"/>
        <v>0</v>
      </c>
      <c r="AK110" s="5">
        <f t="shared" si="39"/>
        <v>0</v>
      </c>
      <c r="AL110" s="5">
        <f t="shared" si="39"/>
        <v>0</v>
      </c>
      <c r="AM110" s="5">
        <f t="shared" si="39"/>
        <v>0</v>
      </c>
      <c r="AN110" s="5">
        <f t="shared" si="39"/>
        <v>0</v>
      </c>
      <c r="AO110" s="5">
        <f t="shared" si="39"/>
        <v>0</v>
      </c>
      <c r="AP110" s="5">
        <f t="shared" si="39"/>
        <v>0</v>
      </c>
      <c r="AQ110" s="5">
        <f t="shared" si="39"/>
        <v>0</v>
      </c>
      <c r="AR110" s="5">
        <f t="shared" si="39"/>
        <v>0</v>
      </c>
      <c r="AS110" s="5">
        <f t="shared" si="39"/>
        <v>0</v>
      </c>
      <c r="AT110" s="5">
        <f t="shared" si="39"/>
        <v>0</v>
      </c>
      <c r="AU110" s="5">
        <f t="shared" si="39"/>
        <v>0</v>
      </c>
      <c r="AV110" s="5">
        <f t="shared" si="39"/>
        <v>0</v>
      </c>
      <c r="AW110" s="5">
        <f t="shared" si="39"/>
        <v>0</v>
      </c>
      <c r="AX110" s="5">
        <f t="shared" si="39"/>
        <v>0</v>
      </c>
    </row>
    <row r="111" spans="1:50" ht="15" customHeight="1">
      <c r="A111" s="230"/>
      <c r="B111" s="27"/>
      <c r="C111" s="27"/>
      <c r="D111" s="52"/>
      <c r="E111" s="5" t="s">
        <v>378</v>
      </c>
      <c r="F111" s="5"/>
      <c r="G111" s="4" t="str">
        <f>CONCATENATE(Inputs!$I$9,"m nominal prices")</f>
        <v>£m nominal prices</v>
      </c>
      <c r="H111" s="17"/>
      <c r="I111" s="28"/>
      <c r="J111" s="28"/>
      <c r="K111" s="5">
        <f>$I$73*K98*K15</f>
        <v>0</v>
      </c>
      <c r="L111" s="5">
        <f t="shared" ref="L111:AX111" si="40">$I$73*L98*L15</f>
        <v>0</v>
      </c>
      <c r="M111" s="5">
        <f t="shared" si="40"/>
        <v>0</v>
      </c>
      <c r="N111" s="5">
        <f t="shared" si="40"/>
        <v>0</v>
      </c>
      <c r="O111" s="5">
        <f t="shared" si="40"/>
        <v>0</v>
      </c>
      <c r="P111" s="5">
        <f t="shared" si="40"/>
        <v>0</v>
      </c>
      <c r="Q111" s="5">
        <f t="shared" si="40"/>
        <v>0</v>
      </c>
      <c r="R111" s="5">
        <f t="shared" si="40"/>
        <v>0</v>
      </c>
      <c r="S111" s="5">
        <f t="shared" si="40"/>
        <v>4.9187810126987905E-3</v>
      </c>
      <c r="T111" s="5">
        <f t="shared" si="40"/>
        <v>4.9187810126987905E-3</v>
      </c>
      <c r="U111" s="5">
        <f t="shared" si="40"/>
        <v>4.9187810126987905E-3</v>
      </c>
      <c r="V111" s="5">
        <f t="shared" si="40"/>
        <v>4.9187810126987905E-3</v>
      </c>
      <c r="W111" s="5">
        <f t="shared" si="40"/>
        <v>0</v>
      </c>
      <c r="X111" s="5">
        <f t="shared" si="40"/>
        <v>0</v>
      </c>
      <c r="Y111" s="5">
        <f t="shared" si="40"/>
        <v>0</v>
      </c>
      <c r="Z111" s="5">
        <f t="shared" si="40"/>
        <v>0</v>
      </c>
      <c r="AA111" s="5">
        <f t="shared" si="40"/>
        <v>0</v>
      </c>
      <c r="AB111" s="5">
        <f t="shared" si="40"/>
        <v>0</v>
      </c>
      <c r="AC111" s="5">
        <f t="shared" si="40"/>
        <v>0</v>
      </c>
      <c r="AD111" s="5">
        <f t="shared" si="40"/>
        <v>0</v>
      </c>
      <c r="AE111" s="5">
        <f t="shared" si="40"/>
        <v>0</v>
      </c>
      <c r="AF111" s="5">
        <f t="shared" si="40"/>
        <v>0</v>
      </c>
      <c r="AG111" s="5">
        <f t="shared" si="40"/>
        <v>0</v>
      </c>
      <c r="AH111" s="5">
        <f t="shared" si="40"/>
        <v>0</v>
      </c>
      <c r="AI111" s="5">
        <f t="shared" si="40"/>
        <v>0</v>
      </c>
      <c r="AJ111" s="5">
        <f t="shared" si="40"/>
        <v>0</v>
      </c>
      <c r="AK111" s="5">
        <f t="shared" si="40"/>
        <v>0</v>
      </c>
      <c r="AL111" s="5">
        <f t="shared" si="40"/>
        <v>0</v>
      </c>
      <c r="AM111" s="5">
        <f t="shared" si="40"/>
        <v>0</v>
      </c>
      <c r="AN111" s="5">
        <f t="shared" si="40"/>
        <v>0</v>
      </c>
      <c r="AO111" s="5">
        <f t="shared" si="40"/>
        <v>0</v>
      </c>
      <c r="AP111" s="5">
        <f t="shared" si="40"/>
        <v>0</v>
      </c>
      <c r="AQ111" s="5">
        <f t="shared" si="40"/>
        <v>0</v>
      </c>
      <c r="AR111" s="5">
        <f t="shared" si="40"/>
        <v>0</v>
      </c>
      <c r="AS111" s="5">
        <f t="shared" si="40"/>
        <v>0</v>
      </c>
      <c r="AT111" s="5">
        <f t="shared" si="40"/>
        <v>0</v>
      </c>
      <c r="AU111" s="5">
        <f t="shared" si="40"/>
        <v>0</v>
      </c>
      <c r="AV111" s="5">
        <f t="shared" si="40"/>
        <v>0</v>
      </c>
      <c r="AW111" s="5">
        <f t="shared" si="40"/>
        <v>0</v>
      </c>
      <c r="AX111" s="5">
        <f t="shared" si="40"/>
        <v>0</v>
      </c>
    </row>
    <row r="112" spans="1:50" ht="15" customHeight="1">
      <c r="A112" s="230"/>
      <c r="B112" s="27"/>
      <c r="C112" s="27"/>
      <c r="D112" s="52"/>
      <c r="E112" s="5" t="s">
        <v>379</v>
      </c>
      <c r="F112" s="5"/>
      <c r="G112" s="4" t="str">
        <f>CONCATENATE(Inputs!$I$9,"m nominal prices")</f>
        <v>£m nominal prices</v>
      </c>
      <c r="H112" s="17"/>
      <c r="I112" s="28"/>
      <c r="J112" s="28"/>
      <c r="K112" s="5">
        <f t="shared" ref="K112:AX112" si="41">($I$58-SUM(K63:K64))*(K94-$I$85-$I$87)*$I$101*K15</f>
        <v>0</v>
      </c>
      <c r="L112" s="5">
        <f>($I$58-SUM(L63:L64))*(L94-$I$85-$I$87)*$I$101*L15</f>
        <v>0</v>
      </c>
      <c r="M112" s="5">
        <f t="shared" si="41"/>
        <v>0</v>
      </c>
      <c r="N112" s="5">
        <f t="shared" si="41"/>
        <v>0</v>
      </c>
      <c r="O112" s="5">
        <f t="shared" si="41"/>
        <v>0</v>
      </c>
      <c r="P112" s="5">
        <f t="shared" si="41"/>
        <v>0</v>
      </c>
      <c r="Q112" s="5">
        <f t="shared" si="41"/>
        <v>0</v>
      </c>
      <c r="R112" s="5">
        <f t="shared" si="41"/>
        <v>0</v>
      </c>
      <c r="S112" s="5">
        <f>($I$58-SUM(S63:S64))*(S94-$I$85-$I$87)*$I$101*S15</f>
        <v>0.67611635961436434</v>
      </c>
      <c r="T112" s="5">
        <f t="shared" si="41"/>
        <v>0</v>
      </c>
      <c r="U112" s="5">
        <f t="shared" si="41"/>
        <v>0</v>
      </c>
      <c r="V112" s="5">
        <f t="shared" si="41"/>
        <v>0</v>
      </c>
      <c r="W112" s="5">
        <f t="shared" si="41"/>
        <v>0</v>
      </c>
      <c r="X112" s="5">
        <f t="shared" si="41"/>
        <v>0</v>
      </c>
      <c r="Y112" s="5">
        <f t="shared" si="41"/>
        <v>0</v>
      </c>
      <c r="Z112" s="5">
        <f t="shared" si="41"/>
        <v>0</v>
      </c>
      <c r="AA112" s="5">
        <f t="shared" si="41"/>
        <v>0</v>
      </c>
      <c r="AB112" s="5">
        <f t="shared" si="41"/>
        <v>0</v>
      </c>
      <c r="AC112" s="5">
        <f t="shared" si="41"/>
        <v>0</v>
      </c>
      <c r="AD112" s="5">
        <f t="shared" si="41"/>
        <v>0</v>
      </c>
      <c r="AE112" s="5">
        <f t="shared" si="41"/>
        <v>0</v>
      </c>
      <c r="AF112" s="5">
        <f t="shared" si="41"/>
        <v>0</v>
      </c>
      <c r="AG112" s="5">
        <f t="shared" si="41"/>
        <v>0</v>
      </c>
      <c r="AH112" s="5">
        <f t="shared" si="41"/>
        <v>0</v>
      </c>
      <c r="AI112" s="5">
        <f t="shared" si="41"/>
        <v>0</v>
      </c>
      <c r="AJ112" s="5">
        <f t="shared" si="41"/>
        <v>0</v>
      </c>
      <c r="AK112" s="5">
        <f t="shared" si="41"/>
        <v>0</v>
      </c>
      <c r="AL112" s="5">
        <f t="shared" si="41"/>
        <v>0</v>
      </c>
      <c r="AM112" s="5">
        <f t="shared" si="41"/>
        <v>0</v>
      </c>
      <c r="AN112" s="5">
        <f t="shared" si="41"/>
        <v>0</v>
      </c>
      <c r="AO112" s="5">
        <f t="shared" si="41"/>
        <v>0</v>
      </c>
      <c r="AP112" s="5">
        <f t="shared" si="41"/>
        <v>0</v>
      </c>
      <c r="AQ112" s="5">
        <f t="shared" si="41"/>
        <v>0</v>
      </c>
      <c r="AR112" s="5">
        <f t="shared" si="41"/>
        <v>0</v>
      </c>
      <c r="AS112" s="5">
        <f t="shared" si="41"/>
        <v>0</v>
      </c>
      <c r="AT112" s="5">
        <f t="shared" si="41"/>
        <v>0</v>
      </c>
      <c r="AU112" s="5">
        <f t="shared" si="41"/>
        <v>0</v>
      </c>
      <c r="AV112" s="5">
        <f t="shared" si="41"/>
        <v>0</v>
      </c>
      <c r="AW112" s="5">
        <f t="shared" si="41"/>
        <v>0</v>
      </c>
      <c r="AX112" s="5">
        <f t="shared" si="41"/>
        <v>0</v>
      </c>
    </row>
    <row r="113" spans="1:50" ht="15" customHeight="1">
      <c r="A113" s="230"/>
      <c r="B113" s="27"/>
      <c r="C113" s="27"/>
      <c r="D113" s="52"/>
      <c r="E113" s="5" t="s">
        <v>380</v>
      </c>
      <c r="F113" s="5"/>
      <c r="G113" s="4" t="str">
        <f>CONCATENATE(Inputs!$I$9,"m nominal prices")</f>
        <v>£m nominal prices</v>
      </c>
      <c r="H113" s="17"/>
      <c r="I113" s="28"/>
      <c r="J113" s="28"/>
      <c r="K113" s="5">
        <f>($I$68*(K95-$I$85)*$I$102+$I$69*(K96-$I$85)*$I$103+$I$71*(K97-$I$85)*$I$104+($I$72-$I$73)*(K98-$I$85)*$I$105+$I$74*(K99-$I$85)*$I$106)*K15</f>
        <v>0</v>
      </c>
      <c r="L113" s="5">
        <f>($I$68*(L95-$I$85)*$I$102+$I$69*(L96-$I$85)*$I$103+$I$71*(L97-$I$85)*$I$104+($I$72-$I$73)*(L98-$I$85)*$I$105+$I$74*(L99-$I$85)*$I$106)*L15</f>
        <v>0</v>
      </c>
      <c r="M113" s="5">
        <f t="shared" ref="M113:AX113" si="42">($I$68*(M95-$I$85)*$I$102+$I$69*(M96-$I$85)*$I$103+$I$71*(M97-$I$85)*$I$104+($I$72-$I$73)*(M98-$I$85)*$I$105+$I$74*(M99-$I$85)*$I$106)*M15</f>
        <v>0</v>
      </c>
      <c r="N113" s="5">
        <f t="shared" si="42"/>
        <v>0</v>
      </c>
      <c r="O113" s="5">
        <f t="shared" si="42"/>
        <v>0</v>
      </c>
      <c r="P113" s="5">
        <f t="shared" si="42"/>
        <v>0</v>
      </c>
      <c r="Q113" s="5">
        <f t="shared" si="42"/>
        <v>0</v>
      </c>
      <c r="R113" s="5">
        <f t="shared" si="42"/>
        <v>0</v>
      </c>
      <c r="S113" s="5">
        <f>($I$68*(S95-$I$85)*$I$102+$I$69*(S96-$I$85)*$I$103+$I$71*(S97-$I$85)*$I$104+($I$72-$I$73)*(S98-$I$85)*$I$105+$I$74*(S99-$I$85)*$I$106)*S15</f>
        <v>0.25298185195443373</v>
      </c>
      <c r="T113" s="5">
        <f t="shared" si="42"/>
        <v>0.25298185195443373</v>
      </c>
      <c r="U113" s="5">
        <f>($I$68*(U95-$I$85)*$I$102+$I$69*(U96-$I$85)*$I$103+$I$71*(U97-$I$85)*$I$104+($I$72-$I$73)*(U98-$I$85)*$I$105+$I$74*(U99-$I$85)*$I$106)*U15</f>
        <v>0.25298185195443373</v>
      </c>
      <c r="V113" s="5">
        <f>($I$68*(V95-$I$85)*$I$102+$I$69*(V96-$I$85)*$I$103+$I$71*(V97-$I$85)*$I$104+($I$72-$I$73)*(V98-$I$85)*$I$105+$I$74*(V99-$I$85)*$I$106)*V15</f>
        <v>0.25298185195443373</v>
      </c>
      <c r="W113" s="5">
        <f t="shared" si="42"/>
        <v>0</v>
      </c>
      <c r="X113" s="5">
        <f t="shared" si="42"/>
        <v>0</v>
      </c>
      <c r="Y113" s="5">
        <f t="shared" si="42"/>
        <v>0</v>
      </c>
      <c r="Z113" s="5">
        <f t="shared" si="42"/>
        <v>0</v>
      </c>
      <c r="AA113" s="5">
        <f t="shared" si="42"/>
        <v>0</v>
      </c>
      <c r="AB113" s="5">
        <f t="shared" si="42"/>
        <v>0</v>
      </c>
      <c r="AC113" s="5">
        <f t="shared" si="42"/>
        <v>0</v>
      </c>
      <c r="AD113" s="5">
        <f t="shared" si="42"/>
        <v>0</v>
      </c>
      <c r="AE113" s="5">
        <f t="shared" si="42"/>
        <v>0</v>
      </c>
      <c r="AF113" s="5">
        <f t="shared" si="42"/>
        <v>0</v>
      </c>
      <c r="AG113" s="5">
        <f t="shared" si="42"/>
        <v>0</v>
      </c>
      <c r="AH113" s="5">
        <f t="shared" si="42"/>
        <v>0</v>
      </c>
      <c r="AI113" s="5">
        <f t="shared" si="42"/>
        <v>0</v>
      </c>
      <c r="AJ113" s="5">
        <f t="shared" si="42"/>
        <v>0</v>
      </c>
      <c r="AK113" s="5">
        <f t="shared" si="42"/>
        <v>0</v>
      </c>
      <c r="AL113" s="5">
        <f t="shared" si="42"/>
        <v>0</v>
      </c>
      <c r="AM113" s="5">
        <f t="shared" si="42"/>
        <v>0</v>
      </c>
      <c r="AN113" s="5">
        <f t="shared" si="42"/>
        <v>0</v>
      </c>
      <c r="AO113" s="5">
        <f t="shared" si="42"/>
        <v>0</v>
      </c>
      <c r="AP113" s="5">
        <f t="shared" si="42"/>
        <v>0</v>
      </c>
      <c r="AQ113" s="5">
        <f t="shared" si="42"/>
        <v>0</v>
      </c>
      <c r="AR113" s="5">
        <f t="shared" si="42"/>
        <v>0</v>
      </c>
      <c r="AS113" s="5">
        <f t="shared" si="42"/>
        <v>0</v>
      </c>
      <c r="AT113" s="5">
        <f t="shared" si="42"/>
        <v>0</v>
      </c>
      <c r="AU113" s="5">
        <f t="shared" si="42"/>
        <v>0</v>
      </c>
      <c r="AV113" s="5">
        <f t="shared" si="42"/>
        <v>0</v>
      </c>
      <c r="AW113" s="5">
        <f t="shared" si="42"/>
        <v>0</v>
      </c>
      <c r="AX113" s="5">
        <f t="shared" si="42"/>
        <v>0</v>
      </c>
    </row>
    <row r="114" spans="1:50" ht="15" customHeight="1">
      <c r="A114" s="222"/>
      <c r="B114" s="5"/>
      <c r="C114" s="5"/>
      <c r="D114" s="5"/>
      <c r="E114" s="16" t="s">
        <v>314</v>
      </c>
      <c r="F114" s="5"/>
      <c r="G114" s="4" t="str">
        <f>CONCATENATE(Inputs!$I$9,"m nominal prices")</f>
        <v>£m nominal prices</v>
      </c>
      <c r="H114" s="5"/>
      <c r="I114" s="6"/>
      <c r="J114" s="6"/>
      <c r="K114" s="188">
        <f>SUM(K108:K113)</f>
        <v>0</v>
      </c>
      <c r="L114" s="188">
        <f t="shared" ref="L114:AX114" si="43">SUM(L108:L113)</f>
        <v>0</v>
      </c>
      <c r="M114" s="188">
        <f t="shared" si="43"/>
        <v>0</v>
      </c>
      <c r="N114" s="188">
        <f t="shared" si="43"/>
        <v>0</v>
      </c>
      <c r="O114" s="188">
        <f t="shared" si="43"/>
        <v>0</v>
      </c>
      <c r="P114" s="188">
        <f t="shared" si="43"/>
        <v>0</v>
      </c>
      <c r="Q114" s="188">
        <f t="shared" si="43"/>
        <v>0</v>
      </c>
      <c r="R114" s="188">
        <f t="shared" si="43"/>
        <v>0</v>
      </c>
      <c r="S114" s="188">
        <f>SUM(S108:S113)</f>
        <v>8.7940213054956544</v>
      </c>
      <c r="T114" s="188">
        <f t="shared" si="43"/>
        <v>7.7933154792783546</v>
      </c>
      <c r="U114" s="188">
        <f t="shared" si="43"/>
        <v>7.7933154792783546</v>
      </c>
      <c r="V114" s="188">
        <f t="shared" si="43"/>
        <v>7.7933154792783546</v>
      </c>
      <c r="W114" s="188">
        <f t="shared" si="43"/>
        <v>0</v>
      </c>
      <c r="X114" s="188">
        <f t="shared" si="43"/>
        <v>0</v>
      </c>
      <c r="Y114" s="188">
        <f t="shared" si="43"/>
        <v>0</v>
      </c>
      <c r="Z114" s="188">
        <f t="shared" si="43"/>
        <v>0</v>
      </c>
      <c r="AA114" s="188">
        <f t="shared" si="43"/>
        <v>0</v>
      </c>
      <c r="AB114" s="188">
        <f t="shared" si="43"/>
        <v>0</v>
      </c>
      <c r="AC114" s="188">
        <f t="shared" si="43"/>
        <v>0</v>
      </c>
      <c r="AD114" s="188">
        <f t="shared" si="43"/>
        <v>0</v>
      </c>
      <c r="AE114" s="188">
        <f t="shared" si="43"/>
        <v>0</v>
      </c>
      <c r="AF114" s="188">
        <f t="shared" si="43"/>
        <v>0</v>
      </c>
      <c r="AG114" s="188">
        <f t="shared" si="43"/>
        <v>0</v>
      </c>
      <c r="AH114" s="188">
        <f t="shared" si="43"/>
        <v>0</v>
      </c>
      <c r="AI114" s="188">
        <f t="shared" si="43"/>
        <v>0</v>
      </c>
      <c r="AJ114" s="188">
        <f t="shared" si="43"/>
        <v>0</v>
      </c>
      <c r="AK114" s="188">
        <f t="shared" si="43"/>
        <v>0</v>
      </c>
      <c r="AL114" s="188">
        <f t="shared" si="43"/>
        <v>0</v>
      </c>
      <c r="AM114" s="188">
        <f t="shared" si="43"/>
        <v>0</v>
      </c>
      <c r="AN114" s="188">
        <f t="shared" si="43"/>
        <v>0</v>
      </c>
      <c r="AO114" s="188">
        <f t="shared" si="43"/>
        <v>0</v>
      </c>
      <c r="AP114" s="188">
        <f t="shared" si="43"/>
        <v>0</v>
      </c>
      <c r="AQ114" s="188">
        <f t="shared" si="43"/>
        <v>0</v>
      </c>
      <c r="AR114" s="188">
        <f t="shared" si="43"/>
        <v>0</v>
      </c>
      <c r="AS114" s="188">
        <f t="shared" si="43"/>
        <v>0</v>
      </c>
      <c r="AT114" s="188">
        <f t="shared" si="43"/>
        <v>0</v>
      </c>
      <c r="AU114" s="188">
        <f t="shared" si="43"/>
        <v>0</v>
      </c>
      <c r="AV114" s="188">
        <f t="shared" si="43"/>
        <v>0</v>
      </c>
      <c r="AW114" s="188">
        <f t="shared" si="43"/>
        <v>0</v>
      </c>
      <c r="AX114" s="188">
        <f t="shared" si="43"/>
        <v>0</v>
      </c>
    </row>
    <row r="115" spans="1:50" ht="15" customHeight="1">
      <c r="A115" s="220"/>
      <c r="B115" s="5"/>
      <c r="C115" s="5"/>
      <c r="D115" s="5"/>
      <c r="E115" s="5"/>
      <c r="F115" s="5"/>
      <c r="G115" s="5"/>
      <c r="H115" s="5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5"/>
      <c r="T115" s="5"/>
      <c r="U115" s="5"/>
      <c r="V115" s="5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</row>
    <row r="116" spans="1:50" ht="15" customHeight="1">
      <c r="A116" s="220"/>
      <c r="B116" s="5"/>
      <c r="C116" s="10" t="s">
        <v>381</v>
      </c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spans="1:50" ht="15" customHeight="1">
      <c r="A117" s="230"/>
      <c r="B117" s="27"/>
      <c r="C117" s="27"/>
      <c r="D117" s="52"/>
      <c r="E117" s="17"/>
      <c r="F117" s="29"/>
      <c r="G117" s="17"/>
      <c r="H117" s="17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AV117" s="28"/>
      <c r="AW117" s="28"/>
      <c r="AX117" s="28"/>
    </row>
    <row r="118" spans="1:50" ht="15" customHeight="1">
      <c r="A118" s="230"/>
      <c r="B118" s="27"/>
      <c r="C118" s="27"/>
      <c r="D118" s="52"/>
      <c r="E118" s="17" t="s">
        <v>198</v>
      </c>
      <c r="F118" s="17"/>
      <c r="G118" s="5" t="s">
        <v>197</v>
      </c>
      <c r="H118" s="17"/>
      <c r="I118" s="80">
        <f>Inputs!I90</f>
        <v>1.3010779504157978E-2</v>
      </c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AV118" s="28"/>
      <c r="AW118" s="28"/>
      <c r="AX118" s="28"/>
    </row>
    <row r="119" spans="1:50" ht="15" customHeight="1">
      <c r="A119" s="230"/>
      <c r="B119" s="27"/>
      <c r="C119" s="27"/>
      <c r="D119" s="52"/>
      <c r="E119" s="4" t="s">
        <v>382</v>
      </c>
      <c r="F119" s="29"/>
      <c r="G119" s="5" t="s">
        <v>197</v>
      </c>
      <c r="H119" s="17"/>
      <c r="I119" s="28"/>
      <c r="J119" s="28"/>
      <c r="K119" s="191">
        <f>SUMIF(Inputs!$133:$133,Finance!K$16,Inputs!136:136)</f>
        <v>1.62045E-2</v>
      </c>
      <c r="L119" s="191">
        <f>SUMIF(Inputs!$133:$133,Finance!L$16,Inputs!136:136)</f>
        <v>1.62045E-2</v>
      </c>
      <c r="M119" s="191">
        <f>SUMIF(Inputs!$133:$133,Finance!M$16,Inputs!136:136)</f>
        <v>1.62045E-2</v>
      </c>
      <c r="N119" s="191">
        <f>SUMIF(Inputs!$133:$133,Finance!N$16,Inputs!136:136)</f>
        <v>1.62045E-2</v>
      </c>
      <c r="O119" s="191">
        <f>SUMIF(Inputs!$133:$133,Finance!O$16,Inputs!136:136)</f>
        <v>1.62045E-2</v>
      </c>
      <c r="P119" s="191">
        <f>SUMIF(Inputs!$133:$133,Finance!P$16,Inputs!136:136)</f>
        <v>1.62045E-2</v>
      </c>
      <c r="Q119" s="191">
        <f>SUMIF(Inputs!$133:$133,Finance!Q$16,Inputs!136:136)</f>
        <v>1.62045E-2</v>
      </c>
      <c r="R119" s="191">
        <f>SUMIF(Inputs!$133:$133,Finance!R$16,Inputs!136:136)</f>
        <v>1.62045E-2</v>
      </c>
      <c r="S119" s="191">
        <f>SUMIF(Inputs!$133:$133,Finance!S$16,Inputs!136:136)</f>
        <v>1.62045E-2</v>
      </c>
      <c r="T119" s="191">
        <f>SUMIF(Inputs!$133:$133,Finance!T$16,Inputs!136:136)</f>
        <v>1.62045E-2</v>
      </c>
      <c r="U119" s="191">
        <f>SUMIF(Inputs!$133:$133,Finance!U$16,Inputs!136:136)</f>
        <v>1.62045E-2</v>
      </c>
      <c r="V119" s="191">
        <f>SUMIF(Inputs!$133:$133,Finance!V$16,Inputs!136:136)</f>
        <v>1.62045E-2</v>
      </c>
      <c r="W119" s="191">
        <f>SUMIF(Inputs!$133:$133,Finance!W$16,Inputs!136:136)</f>
        <v>1.62045E-2</v>
      </c>
      <c r="X119" s="191">
        <f>SUMIF(Inputs!$133:$133,Finance!X$16,Inputs!136:136)</f>
        <v>1.62045E-2</v>
      </c>
      <c r="Y119" s="191">
        <f>SUMIF(Inputs!$133:$133,Finance!Y$16,Inputs!136:136)</f>
        <v>1.62045E-2</v>
      </c>
      <c r="Z119" s="191">
        <f>SUMIF(Inputs!$133:$133,Finance!Z$16,Inputs!136:136)</f>
        <v>1.62045E-2</v>
      </c>
      <c r="AA119" s="191">
        <f>SUMIF(Inputs!$133:$133,Finance!AA$16,Inputs!136:136)</f>
        <v>1.6289199453551912E-2</v>
      </c>
      <c r="AB119" s="191">
        <f>SUMIF(Inputs!$133:$133,Finance!AB$16,Inputs!136:136)</f>
        <v>1.7204500000000001E-2</v>
      </c>
      <c r="AC119" s="191">
        <f>SUMIF(Inputs!$133:$133,Finance!AC$16,Inputs!136:136)</f>
        <v>1.7204500000000001E-2</v>
      </c>
      <c r="AD119" s="191">
        <f>SUMIF(Inputs!$133:$133,Finance!AD$16,Inputs!136:136)</f>
        <v>1.7204500000000001E-2</v>
      </c>
      <c r="AE119" s="191">
        <f>SUMIF(Inputs!$133:$133,Finance!AE$16,Inputs!136:136)</f>
        <v>1.7204500000000001E-2</v>
      </c>
      <c r="AF119" s="191">
        <f>SUMIF(Inputs!$133:$133,Finance!AF$16,Inputs!136:136)</f>
        <v>1.7289199453551913E-2</v>
      </c>
      <c r="AG119" s="191">
        <f>SUMIF(Inputs!$133:$133,Finance!AG$16,Inputs!136:136)</f>
        <v>1.8204500000000002E-2</v>
      </c>
      <c r="AH119" s="191">
        <f>SUMIF(Inputs!$133:$133,Finance!AH$16,Inputs!136:136)</f>
        <v>1.8204500000000002E-2</v>
      </c>
      <c r="AI119" s="191">
        <f>SUMIF(Inputs!$133:$133,Finance!AI$16,Inputs!136:136)</f>
        <v>1.8204500000000002E-2</v>
      </c>
      <c r="AJ119" s="191">
        <f>SUMIF(Inputs!$133:$133,Finance!AJ$16,Inputs!136:136)</f>
        <v>1.8204500000000002E-2</v>
      </c>
      <c r="AK119" s="191">
        <f>SUMIF(Inputs!$133:$133,Finance!AK$16,Inputs!136:136)</f>
        <v>1.8289199453551914E-2</v>
      </c>
      <c r="AL119" s="191">
        <f>SUMIF(Inputs!$133:$133,Finance!AL$16,Inputs!136:136)</f>
        <v>1.9204500000000003E-2</v>
      </c>
      <c r="AM119" s="191">
        <f>SUMIF(Inputs!$133:$133,Finance!AM$16,Inputs!136:136)</f>
        <v>1.9204500000000003E-2</v>
      </c>
      <c r="AN119" s="191">
        <f>SUMIF(Inputs!$133:$133,Finance!AN$16,Inputs!136:136)</f>
        <v>1.9204500000000003E-2</v>
      </c>
      <c r="AO119" s="191">
        <f>SUMIF(Inputs!$133:$133,Finance!AO$16,Inputs!136:136)</f>
        <v>1.9204500000000003E-2</v>
      </c>
      <c r="AP119" s="191">
        <f>SUMIF(Inputs!$133:$133,Finance!AP$16,Inputs!136:136)</f>
        <v>1.9289199453551915E-2</v>
      </c>
      <c r="AQ119" s="191">
        <f>SUMIF(Inputs!$133:$133,Finance!AQ$16,Inputs!136:136)</f>
        <v>2.02045E-2</v>
      </c>
      <c r="AR119" s="191">
        <f>SUMIF(Inputs!$133:$133,Finance!AR$16,Inputs!136:136)</f>
        <v>2.02045E-2</v>
      </c>
      <c r="AS119" s="191">
        <f>SUMIF(Inputs!$133:$133,Finance!AS$16,Inputs!136:136)</f>
        <v>2.02045E-2</v>
      </c>
      <c r="AT119" s="191">
        <f>SUMIF(Inputs!$133:$133,Finance!AT$16,Inputs!136:136)</f>
        <v>1.62045E-2</v>
      </c>
      <c r="AU119" s="191">
        <f>SUMIF(Inputs!$133:$133,Finance!AU$16,Inputs!136:136)</f>
        <v>1.62045E-2</v>
      </c>
      <c r="AV119" s="191">
        <f>SUMIF(Inputs!$133:$133,Finance!AV$16,Inputs!136:136)</f>
        <v>1.62045E-2</v>
      </c>
      <c r="AW119" s="191">
        <f>SUMIF(Inputs!$133:$133,Finance!AW$16,Inputs!136:136)</f>
        <v>1.62045E-2</v>
      </c>
      <c r="AX119" s="191">
        <f>SUMIF(Inputs!$133:$133,Finance!AX$16,Inputs!136:136)</f>
        <v>1.62045E-2</v>
      </c>
    </row>
    <row r="120" spans="1:50" ht="15" customHeight="1">
      <c r="A120" s="230"/>
      <c r="B120" s="27"/>
      <c r="C120" s="27"/>
      <c r="D120" s="52"/>
      <c r="E120" s="4" t="s">
        <v>383</v>
      </c>
      <c r="F120" s="29"/>
      <c r="G120" s="5" t="s">
        <v>197</v>
      </c>
      <c r="H120" s="17"/>
      <c r="I120" s="28"/>
      <c r="J120" s="28"/>
      <c r="K120" s="191">
        <f>SUMIF(Inputs!$133:$133,Finance!K$16,Inputs!137:137)</f>
        <v>1.451203645839935E-2</v>
      </c>
      <c r="L120" s="191">
        <f>SUMIF(Inputs!$133:$133,Finance!L$16,Inputs!137:137)</f>
        <v>1.451203645839935E-2</v>
      </c>
      <c r="M120" s="191">
        <f>SUMIF(Inputs!$133:$133,Finance!M$16,Inputs!137:137)</f>
        <v>1.451203645839935E-2</v>
      </c>
      <c r="N120" s="191">
        <f>SUMIF(Inputs!$133:$133,Finance!N$16,Inputs!137:137)</f>
        <v>1.451203645839935E-2</v>
      </c>
      <c r="O120" s="191">
        <f>SUMIF(Inputs!$133:$133,Finance!O$16,Inputs!137:137)</f>
        <v>1.451203645839935E-2</v>
      </c>
      <c r="P120" s="191">
        <f>SUMIF(Inputs!$133:$133,Finance!P$16,Inputs!137:137)</f>
        <v>1.451203645839935E-2</v>
      </c>
      <c r="Q120" s="191">
        <f>SUMIF(Inputs!$133:$133,Finance!Q$16,Inputs!137:137)</f>
        <v>1.451203645839935E-2</v>
      </c>
      <c r="R120" s="191">
        <f>SUMIF(Inputs!$133:$133,Finance!R$16,Inputs!137:137)</f>
        <v>1.451203645839935E-2</v>
      </c>
      <c r="S120" s="191">
        <f>SUMIF(Inputs!$133:$133,Finance!S$16,Inputs!137:137)</f>
        <v>1.451203645839935E-2</v>
      </c>
      <c r="T120" s="191">
        <f>SUMIF(Inputs!$133:$133,Finance!T$16,Inputs!137:137)</f>
        <v>1.451203645839935E-2</v>
      </c>
      <c r="U120" s="191">
        <f>SUMIF(Inputs!$133:$133,Finance!U$16,Inputs!137:137)</f>
        <v>1.451203645839935E-2</v>
      </c>
      <c r="V120" s="191">
        <f>SUMIF(Inputs!$133:$133,Finance!V$16,Inputs!137:137)</f>
        <v>1.451203645839935E-2</v>
      </c>
      <c r="W120" s="191">
        <f>SUMIF(Inputs!$133:$133,Finance!W$16,Inputs!137:137)</f>
        <v>1.451203645839935E-2</v>
      </c>
      <c r="X120" s="191">
        <f>SUMIF(Inputs!$133:$133,Finance!X$16,Inputs!137:137)</f>
        <v>1.451203645839935E-2</v>
      </c>
      <c r="Y120" s="191">
        <f>SUMIF(Inputs!$133:$133,Finance!Y$16,Inputs!137:137)</f>
        <v>1.451203645839935E-2</v>
      </c>
      <c r="Z120" s="191">
        <f>SUMIF(Inputs!$133:$133,Finance!Z$16,Inputs!137:137)</f>
        <v>1.451203645839935E-2</v>
      </c>
      <c r="AA120" s="191">
        <f>SUMIF(Inputs!$133:$133,Finance!AA$16,Inputs!137:137)</f>
        <v>1.4596735911951262E-2</v>
      </c>
      <c r="AB120" s="191">
        <f>SUMIF(Inputs!$133:$133,Finance!AB$16,Inputs!137:137)</f>
        <v>1.551203645839935E-2</v>
      </c>
      <c r="AC120" s="191">
        <f>SUMIF(Inputs!$133:$133,Finance!AC$16,Inputs!137:137)</f>
        <v>1.551203645839935E-2</v>
      </c>
      <c r="AD120" s="191">
        <f>SUMIF(Inputs!$133:$133,Finance!AD$16,Inputs!137:137)</f>
        <v>1.551203645839935E-2</v>
      </c>
      <c r="AE120" s="191">
        <f>SUMIF(Inputs!$133:$133,Finance!AE$16,Inputs!137:137)</f>
        <v>1.551203645839935E-2</v>
      </c>
      <c r="AF120" s="191">
        <f>SUMIF(Inputs!$133:$133,Finance!AF$16,Inputs!137:137)</f>
        <v>1.5596735911951261E-2</v>
      </c>
      <c r="AG120" s="191">
        <f>SUMIF(Inputs!$133:$133,Finance!AG$16,Inputs!137:137)</f>
        <v>1.651203645839935E-2</v>
      </c>
      <c r="AH120" s="191">
        <f>SUMIF(Inputs!$133:$133,Finance!AH$16,Inputs!137:137)</f>
        <v>1.651203645839935E-2</v>
      </c>
      <c r="AI120" s="191">
        <f>SUMIF(Inputs!$133:$133,Finance!AI$16,Inputs!137:137)</f>
        <v>1.651203645839935E-2</v>
      </c>
      <c r="AJ120" s="191">
        <f>SUMIF(Inputs!$133:$133,Finance!AJ$16,Inputs!137:137)</f>
        <v>1.651203645839935E-2</v>
      </c>
      <c r="AK120" s="191">
        <f>SUMIF(Inputs!$133:$133,Finance!AK$16,Inputs!137:137)</f>
        <v>1.6596735911951262E-2</v>
      </c>
      <c r="AL120" s="191">
        <f>SUMIF(Inputs!$133:$133,Finance!AL$16,Inputs!137:137)</f>
        <v>1.7512036458399348E-2</v>
      </c>
      <c r="AM120" s="191">
        <f>SUMIF(Inputs!$133:$133,Finance!AM$16,Inputs!137:137)</f>
        <v>1.7512036458399348E-2</v>
      </c>
      <c r="AN120" s="191">
        <f>SUMIF(Inputs!$133:$133,Finance!AN$16,Inputs!137:137)</f>
        <v>1.7512036458399348E-2</v>
      </c>
      <c r="AO120" s="191">
        <f>SUMIF(Inputs!$133:$133,Finance!AO$16,Inputs!137:137)</f>
        <v>1.7512036458399348E-2</v>
      </c>
      <c r="AP120" s="191">
        <f>SUMIF(Inputs!$133:$133,Finance!AP$16,Inputs!137:137)</f>
        <v>1.7596735911951263E-2</v>
      </c>
      <c r="AQ120" s="191">
        <f>SUMIF(Inputs!$133:$133,Finance!AQ$16,Inputs!137:137)</f>
        <v>1.8512036458399349E-2</v>
      </c>
      <c r="AR120" s="191">
        <f>SUMIF(Inputs!$133:$133,Finance!AR$16,Inputs!137:137)</f>
        <v>1.8512036458399349E-2</v>
      </c>
      <c r="AS120" s="191">
        <f>SUMIF(Inputs!$133:$133,Finance!AS$16,Inputs!137:137)</f>
        <v>1.8512036458399349E-2</v>
      </c>
      <c r="AT120" s="191">
        <f>SUMIF(Inputs!$133:$133,Finance!AT$16,Inputs!137:137)</f>
        <v>1.451203645839935E-2</v>
      </c>
      <c r="AU120" s="191">
        <f>SUMIF(Inputs!$133:$133,Finance!AU$16,Inputs!137:137)</f>
        <v>1.451203645839935E-2</v>
      </c>
      <c r="AV120" s="191">
        <f>SUMIF(Inputs!$133:$133,Finance!AV$16,Inputs!137:137)</f>
        <v>1.451203645839935E-2</v>
      </c>
      <c r="AW120" s="191">
        <f>SUMIF(Inputs!$133:$133,Finance!AW$16,Inputs!137:137)</f>
        <v>1.451203645839935E-2</v>
      </c>
      <c r="AX120" s="191">
        <f>SUMIF(Inputs!$133:$133,Finance!AX$16,Inputs!137:137)</f>
        <v>1.451203645839935E-2</v>
      </c>
    </row>
    <row r="121" spans="1:50" ht="15" customHeight="1">
      <c r="A121" s="230"/>
      <c r="B121" s="27"/>
      <c r="C121" s="27"/>
      <c r="D121" s="52"/>
      <c r="E121" s="4" t="s">
        <v>384</v>
      </c>
      <c r="F121" s="29"/>
      <c r="G121" s="5" t="s">
        <v>197</v>
      </c>
      <c r="H121" s="17"/>
      <c r="I121" s="28"/>
      <c r="J121" s="28"/>
      <c r="K121" s="191">
        <f>SUMIF(Inputs!$133:$133,Finance!K$16,Inputs!138:138)</f>
        <v>1.4538303717231034E-2</v>
      </c>
      <c r="L121" s="191">
        <f>SUMIF(Inputs!$133:$133,Finance!L$16,Inputs!138:138)</f>
        <v>1.4538303717231034E-2</v>
      </c>
      <c r="M121" s="191">
        <f>SUMIF(Inputs!$133:$133,Finance!M$16,Inputs!138:138)</f>
        <v>1.4538303717231034E-2</v>
      </c>
      <c r="N121" s="191">
        <f>SUMIF(Inputs!$133:$133,Finance!N$16,Inputs!138:138)</f>
        <v>1.4538303717231034E-2</v>
      </c>
      <c r="O121" s="191">
        <f>SUMIF(Inputs!$133:$133,Finance!O$16,Inputs!138:138)</f>
        <v>1.4538303717231034E-2</v>
      </c>
      <c r="P121" s="191">
        <f>SUMIF(Inputs!$133:$133,Finance!P$16,Inputs!138:138)</f>
        <v>1.4538303717231034E-2</v>
      </c>
      <c r="Q121" s="191">
        <f>SUMIF(Inputs!$133:$133,Finance!Q$16,Inputs!138:138)</f>
        <v>1.4538303717231034E-2</v>
      </c>
      <c r="R121" s="191">
        <f>SUMIF(Inputs!$133:$133,Finance!R$16,Inputs!138:138)</f>
        <v>1.4538303717231034E-2</v>
      </c>
      <c r="S121" s="191">
        <f>SUMIF(Inputs!$133:$133,Finance!S$16,Inputs!138:138)</f>
        <v>1.4538303717231034E-2</v>
      </c>
      <c r="T121" s="191">
        <f>SUMIF(Inputs!$133:$133,Finance!T$16,Inputs!138:138)</f>
        <v>1.4538303717231034E-2</v>
      </c>
      <c r="U121" s="191">
        <f>SUMIF(Inputs!$133:$133,Finance!U$16,Inputs!138:138)</f>
        <v>1.4538303717231034E-2</v>
      </c>
      <c r="V121" s="191">
        <f>SUMIF(Inputs!$133:$133,Finance!V$16,Inputs!138:138)</f>
        <v>1.4538303717231034E-2</v>
      </c>
      <c r="W121" s="191">
        <f>SUMIF(Inputs!$133:$133,Finance!W$16,Inputs!138:138)</f>
        <v>1.4538303717231034E-2</v>
      </c>
      <c r="X121" s="191">
        <f>SUMIF(Inputs!$133:$133,Finance!X$16,Inputs!138:138)</f>
        <v>1.4538303717231034E-2</v>
      </c>
      <c r="Y121" s="191">
        <f>SUMIF(Inputs!$133:$133,Finance!Y$16,Inputs!138:138)</f>
        <v>1.4538303717231034E-2</v>
      </c>
      <c r="Z121" s="191">
        <f>SUMIF(Inputs!$133:$133,Finance!Z$16,Inputs!138:138)</f>
        <v>1.4538303717231034E-2</v>
      </c>
      <c r="AA121" s="191">
        <f>SUMIF(Inputs!$133:$133,Finance!AA$16,Inputs!138:138)</f>
        <v>1.4623003170782946E-2</v>
      </c>
      <c r="AB121" s="191">
        <f>SUMIF(Inputs!$133:$133,Finance!AB$16,Inputs!138:138)</f>
        <v>1.5538303717231033E-2</v>
      </c>
      <c r="AC121" s="191">
        <f>SUMIF(Inputs!$133:$133,Finance!AC$16,Inputs!138:138)</f>
        <v>1.5538303717231033E-2</v>
      </c>
      <c r="AD121" s="191">
        <f>SUMIF(Inputs!$133:$133,Finance!AD$16,Inputs!138:138)</f>
        <v>1.5538303717231033E-2</v>
      </c>
      <c r="AE121" s="191">
        <f>SUMIF(Inputs!$133:$133,Finance!AE$16,Inputs!138:138)</f>
        <v>1.5538303717231033E-2</v>
      </c>
      <c r="AF121" s="191">
        <f>SUMIF(Inputs!$133:$133,Finance!AF$16,Inputs!138:138)</f>
        <v>1.5623003170782947E-2</v>
      </c>
      <c r="AG121" s="191">
        <f>SUMIF(Inputs!$133:$133,Finance!AG$16,Inputs!138:138)</f>
        <v>1.6538303717231036E-2</v>
      </c>
      <c r="AH121" s="191">
        <f>SUMIF(Inputs!$133:$133,Finance!AH$16,Inputs!138:138)</f>
        <v>1.6538303717231036E-2</v>
      </c>
      <c r="AI121" s="191">
        <f>SUMIF(Inputs!$133:$133,Finance!AI$16,Inputs!138:138)</f>
        <v>1.6538303717231036E-2</v>
      </c>
      <c r="AJ121" s="191">
        <f>SUMIF(Inputs!$133:$133,Finance!AJ$16,Inputs!138:138)</f>
        <v>1.6538303717231036E-2</v>
      </c>
      <c r="AK121" s="191">
        <f>SUMIF(Inputs!$133:$133,Finance!AK$16,Inputs!138:138)</f>
        <v>1.6623003170782948E-2</v>
      </c>
      <c r="AL121" s="191">
        <f>SUMIF(Inputs!$133:$133,Finance!AL$16,Inputs!138:138)</f>
        <v>1.7538303717231033E-2</v>
      </c>
      <c r="AM121" s="191">
        <f>SUMIF(Inputs!$133:$133,Finance!AM$16,Inputs!138:138)</f>
        <v>1.7538303717231033E-2</v>
      </c>
      <c r="AN121" s="191">
        <f>SUMIF(Inputs!$133:$133,Finance!AN$16,Inputs!138:138)</f>
        <v>1.7538303717231033E-2</v>
      </c>
      <c r="AO121" s="191">
        <f>SUMIF(Inputs!$133:$133,Finance!AO$16,Inputs!138:138)</f>
        <v>1.7538303717231033E-2</v>
      </c>
      <c r="AP121" s="191">
        <f>SUMIF(Inputs!$133:$133,Finance!AP$16,Inputs!138:138)</f>
        <v>1.7623003170782945E-2</v>
      </c>
      <c r="AQ121" s="191">
        <f>SUMIF(Inputs!$133:$133,Finance!AQ$16,Inputs!138:138)</f>
        <v>1.8538303717231034E-2</v>
      </c>
      <c r="AR121" s="191">
        <f>SUMIF(Inputs!$133:$133,Finance!AR$16,Inputs!138:138)</f>
        <v>1.8538303717231034E-2</v>
      </c>
      <c r="AS121" s="191">
        <f>SUMIF(Inputs!$133:$133,Finance!AS$16,Inputs!138:138)</f>
        <v>1.8538303717231034E-2</v>
      </c>
      <c r="AT121" s="191">
        <f>SUMIF(Inputs!$133:$133,Finance!AT$16,Inputs!138:138)</f>
        <v>1.4538303717231034E-2</v>
      </c>
      <c r="AU121" s="191">
        <f>SUMIF(Inputs!$133:$133,Finance!AU$16,Inputs!138:138)</f>
        <v>1.4538303717231034E-2</v>
      </c>
      <c r="AV121" s="191">
        <f>SUMIF(Inputs!$133:$133,Finance!AV$16,Inputs!138:138)</f>
        <v>1.4538303717231034E-2</v>
      </c>
      <c r="AW121" s="191">
        <f>SUMIF(Inputs!$133:$133,Finance!AW$16,Inputs!138:138)</f>
        <v>1.4538303717231034E-2</v>
      </c>
      <c r="AX121" s="191">
        <f>SUMIF(Inputs!$133:$133,Finance!AX$16,Inputs!138:138)</f>
        <v>1.4538303717231034E-2</v>
      </c>
    </row>
    <row r="122" spans="1:50" ht="15" customHeight="1">
      <c r="A122" s="230"/>
      <c r="B122" s="27"/>
      <c r="C122" s="27"/>
      <c r="D122" s="52"/>
      <c r="E122" s="4" t="s">
        <v>385</v>
      </c>
      <c r="F122" s="29"/>
      <c r="G122" s="5" t="s">
        <v>197</v>
      </c>
      <c r="H122" s="17"/>
      <c r="I122" s="28"/>
      <c r="J122" s="28"/>
      <c r="K122" s="191">
        <f>SUMIF(Inputs!$133:$133,Finance!K$16,Inputs!139:139)</f>
        <v>0</v>
      </c>
      <c r="L122" s="191">
        <f>SUMIF(Inputs!$133:$133,Finance!L$16,Inputs!139:139)</f>
        <v>0</v>
      </c>
      <c r="M122" s="191">
        <f>SUMIF(Inputs!$133:$133,Finance!M$16,Inputs!139:139)</f>
        <v>0</v>
      </c>
      <c r="N122" s="191">
        <f>SUMIF(Inputs!$133:$133,Finance!N$16,Inputs!139:139)</f>
        <v>0</v>
      </c>
      <c r="O122" s="191">
        <f>SUMIF(Inputs!$133:$133,Finance!O$16,Inputs!139:139)</f>
        <v>0</v>
      </c>
      <c r="P122" s="191">
        <f>SUMIF(Inputs!$133:$133,Finance!P$16,Inputs!139:139)</f>
        <v>0</v>
      </c>
      <c r="Q122" s="191">
        <f>SUMIF(Inputs!$133:$133,Finance!Q$16,Inputs!139:139)</f>
        <v>0</v>
      </c>
      <c r="R122" s="191">
        <f>SUMIF(Inputs!$133:$133,Finance!R$16,Inputs!139:139)</f>
        <v>0</v>
      </c>
      <c r="S122" s="191">
        <f>SUMIF(Inputs!$133:$133,Finance!S$16,Inputs!139:139)</f>
        <v>0</v>
      </c>
      <c r="T122" s="191">
        <f>SUMIF(Inputs!$133:$133,Finance!T$16,Inputs!139:139)</f>
        <v>0</v>
      </c>
      <c r="U122" s="191">
        <f>SUMIF(Inputs!$133:$133,Finance!U$16,Inputs!139:139)</f>
        <v>0</v>
      </c>
      <c r="V122" s="191">
        <f>SUMIF(Inputs!$133:$133,Finance!V$16,Inputs!139:139)</f>
        <v>0</v>
      </c>
      <c r="W122" s="191">
        <f>SUMIF(Inputs!$133:$133,Finance!W$16,Inputs!139:139)</f>
        <v>0</v>
      </c>
      <c r="X122" s="191">
        <f>SUMIF(Inputs!$133:$133,Finance!X$16,Inputs!139:139)</f>
        <v>0</v>
      </c>
      <c r="Y122" s="191">
        <f>SUMIF(Inputs!$133:$133,Finance!Y$16,Inputs!139:139)</f>
        <v>0</v>
      </c>
      <c r="Z122" s="191">
        <f>SUMIF(Inputs!$133:$133,Finance!Z$16,Inputs!139:139)</f>
        <v>0</v>
      </c>
      <c r="AA122" s="191">
        <f>SUMIF(Inputs!$133:$133,Finance!AA$16,Inputs!139:139)</f>
        <v>0</v>
      </c>
      <c r="AB122" s="191">
        <f>SUMIF(Inputs!$133:$133,Finance!AB$16,Inputs!139:139)</f>
        <v>0</v>
      </c>
      <c r="AC122" s="191">
        <f>SUMIF(Inputs!$133:$133,Finance!AC$16,Inputs!139:139)</f>
        <v>0</v>
      </c>
      <c r="AD122" s="191">
        <f>SUMIF(Inputs!$133:$133,Finance!AD$16,Inputs!139:139)</f>
        <v>0</v>
      </c>
      <c r="AE122" s="191">
        <f>SUMIF(Inputs!$133:$133,Finance!AE$16,Inputs!139:139)</f>
        <v>0</v>
      </c>
      <c r="AF122" s="191">
        <f>SUMIF(Inputs!$133:$133,Finance!AF$16,Inputs!139:139)</f>
        <v>0</v>
      </c>
      <c r="AG122" s="191">
        <f>SUMIF(Inputs!$133:$133,Finance!AG$16,Inputs!139:139)</f>
        <v>0</v>
      </c>
      <c r="AH122" s="191">
        <f>SUMIF(Inputs!$133:$133,Finance!AH$16,Inputs!139:139)</f>
        <v>0</v>
      </c>
      <c r="AI122" s="191">
        <f>SUMIF(Inputs!$133:$133,Finance!AI$16,Inputs!139:139)</f>
        <v>0</v>
      </c>
      <c r="AJ122" s="191">
        <f>SUMIF(Inputs!$133:$133,Finance!AJ$16,Inputs!139:139)</f>
        <v>0</v>
      </c>
      <c r="AK122" s="191">
        <f>SUMIF(Inputs!$133:$133,Finance!AK$16,Inputs!139:139)</f>
        <v>0</v>
      </c>
      <c r="AL122" s="191">
        <f>SUMIF(Inputs!$133:$133,Finance!AL$16,Inputs!139:139)</f>
        <v>0</v>
      </c>
      <c r="AM122" s="191">
        <f>SUMIF(Inputs!$133:$133,Finance!AM$16,Inputs!139:139)</f>
        <v>0</v>
      </c>
      <c r="AN122" s="191">
        <f>SUMIF(Inputs!$133:$133,Finance!AN$16,Inputs!139:139)</f>
        <v>0</v>
      </c>
      <c r="AO122" s="191">
        <f>SUMIF(Inputs!$133:$133,Finance!AO$16,Inputs!139:139)</f>
        <v>0</v>
      </c>
      <c r="AP122" s="191">
        <f>SUMIF(Inputs!$133:$133,Finance!AP$16,Inputs!139:139)</f>
        <v>0</v>
      </c>
      <c r="AQ122" s="191">
        <f>SUMIF(Inputs!$133:$133,Finance!AQ$16,Inputs!139:139)</f>
        <v>0</v>
      </c>
      <c r="AR122" s="191">
        <f>SUMIF(Inputs!$133:$133,Finance!AR$16,Inputs!139:139)</f>
        <v>0</v>
      </c>
      <c r="AS122" s="191">
        <f>SUMIF(Inputs!$133:$133,Finance!AS$16,Inputs!139:139)</f>
        <v>0</v>
      </c>
      <c r="AT122" s="191">
        <f>SUMIF(Inputs!$133:$133,Finance!AT$16,Inputs!139:139)</f>
        <v>0</v>
      </c>
      <c r="AU122" s="191">
        <f>SUMIF(Inputs!$133:$133,Finance!AU$16,Inputs!139:139)</f>
        <v>0</v>
      </c>
      <c r="AV122" s="191">
        <f>SUMIF(Inputs!$133:$133,Finance!AV$16,Inputs!139:139)</f>
        <v>0</v>
      </c>
      <c r="AW122" s="191">
        <f>SUMIF(Inputs!$133:$133,Finance!AW$16,Inputs!139:139)</f>
        <v>0</v>
      </c>
      <c r="AX122" s="191">
        <f>SUMIF(Inputs!$133:$133,Finance!AX$16,Inputs!139:139)</f>
        <v>0</v>
      </c>
    </row>
    <row r="123" spans="1:50" ht="15" customHeight="1">
      <c r="A123" s="230"/>
      <c r="B123" s="27"/>
      <c r="C123" s="27"/>
      <c r="D123" s="52"/>
      <c r="E123" s="4" t="s">
        <v>386</v>
      </c>
      <c r="F123" s="29"/>
      <c r="G123" s="5" t="s">
        <v>197</v>
      </c>
      <c r="H123" s="17"/>
      <c r="I123" s="28"/>
      <c r="J123" s="28"/>
      <c r="K123" s="191">
        <f>SUMIF(Inputs!$133:$133,Finance!K$16,Inputs!141:141)</f>
        <v>1.4999999999999999E-2</v>
      </c>
      <c r="L123" s="191">
        <f>SUMIF(Inputs!$133:$133,Finance!L$16,Inputs!141:141)</f>
        <v>1.4999999999999999E-2</v>
      </c>
      <c r="M123" s="191">
        <f>SUMIF(Inputs!$133:$133,Finance!M$16,Inputs!141:141)</f>
        <v>1.4999999999999999E-2</v>
      </c>
      <c r="N123" s="191">
        <f>SUMIF(Inputs!$133:$133,Finance!N$16,Inputs!141:141)</f>
        <v>1.4999999999999999E-2</v>
      </c>
      <c r="O123" s="191">
        <f>SUMIF(Inputs!$133:$133,Finance!O$16,Inputs!141:141)</f>
        <v>1.4999999999999999E-2</v>
      </c>
      <c r="P123" s="191">
        <f>SUMIF(Inputs!$133:$133,Finance!P$16,Inputs!141:141)</f>
        <v>1.4999999999999999E-2</v>
      </c>
      <c r="Q123" s="191">
        <f>SUMIF(Inputs!$133:$133,Finance!Q$16,Inputs!141:141)</f>
        <v>1.4999999999999999E-2</v>
      </c>
      <c r="R123" s="191">
        <f>SUMIF(Inputs!$133:$133,Finance!R$16,Inputs!141:141)</f>
        <v>1.4999999999999999E-2</v>
      </c>
      <c r="S123" s="191">
        <f>SUMIF(Inputs!$133:$133,Finance!S$16,Inputs!141:141)</f>
        <v>1.4999999999999999E-2</v>
      </c>
      <c r="T123" s="191">
        <f>SUMIF(Inputs!$133:$133,Finance!T$16,Inputs!141:141)</f>
        <v>1.4999999999999999E-2</v>
      </c>
      <c r="U123" s="191">
        <f>SUMIF(Inputs!$133:$133,Finance!U$16,Inputs!141:141)</f>
        <v>1.4999999999999999E-2</v>
      </c>
      <c r="V123" s="191">
        <f>SUMIF(Inputs!$133:$133,Finance!V$16,Inputs!141:141)</f>
        <v>1.4999999999999999E-2</v>
      </c>
      <c r="W123" s="191">
        <f>SUMIF(Inputs!$133:$133,Finance!W$16,Inputs!141:141)</f>
        <v>1.4999999999999999E-2</v>
      </c>
      <c r="X123" s="191">
        <f>SUMIF(Inputs!$133:$133,Finance!X$16,Inputs!141:141)</f>
        <v>1.4999999999999999E-2</v>
      </c>
      <c r="Y123" s="191">
        <f>SUMIF(Inputs!$133:$133,Finance!Y$16,Inputs!141:141)</f>
        <v>1.4999999999999999E-2</v>
      </c>
      <c r="Z123" s="191">
        <f>SUMIF(Inputs!$133:$133,Finance!Z$16,Inputs!141:141)</f>
        <v>1.4999999999999999E-2</v>
      </c>
      <c r="AA123" s="191">
        <f>SUMIF(Inputs!$133:$133,Finance!AA$16,Inputs!141:141)</f>
        <v>1.5084699453551911E-2</v>
      </c>
      <c r="AB123" s="191">
        <f>SUMIF(Inputs!$133:$133,Finance!AB$16,Inputs!141:141)</f>
        <v>1.6E-2</v>
      </c>
      <c r="AC123" s="191">
        <f>SUMIF(Inputs!$133:$133,Finance!AC$16,Inputs!141:141)</f>
        <v>1.6E-2</v>
      </c>
      <c r="AD123" s="191">
        <f>SUMIF(Inputs!$133:$133,Finance!AD$16,Inputs!141:141)</f>
        <v>1.6E-2</v>
      </c>
      <c r="AE123" s="191">
        <f>SUMIF(Inputs!$133:$133,Finance!AE$16,Inputs!141:141)</f>
        <v>1.6E-2</v>
      </c>
      <c r="AF123" s="191">
        <f>SUMIF(Inputs!$133:$133,Finance!AF$16,Inputs!141:141)</f>
        <v>1.6084699453551912E-2</v>
      </c>
      <c r="AG123" s="191">
        <f>SUMIF(Inputs!$133:$133,Finance!AG$16,Inputs!141:141)</f>
        <v>1.7000000000000001E-2</v>
      </c>
      <c r="AH123" s="191">
        <f>SUMIF(Inputs!$133:$133,Finance!AH$16,Inputs!141:141)</f>
        <v>1.7000000000000001E-2</v>
      </c>
      <c r="AI123" s="191">
        <f>SUMIF(Inputs!$133:$133,Finance!AI$16,Inputs!141:141)</f>
        <v>1.7000000000000001E-2</v>
      </c>
      <c r="AJ123" s="191">
        <f>SUMIF(Inputs!$133:$133,Finance!AJ$16,Inputs!141:141)</f>
        <v>1.7000000000000001E-2</v>
      </c>
      <c r="AK123" s="191">
        <f>SUMIF(Inputs!$133:$133,Finance!AK$16,Inputs!141:141)</f>
        <v>1.7084699453551913E-2</v>
      </c>
      <c r="AL123" s="191">
        <f>SUMIF(Inputs!$133:$133,Finance!AL$16,Inputs!141:141)</f>
        <v>1.7999999999999999E-2</v>
      </c>
      <c r="AM123" s="191">
        <f>SUMIF(Inputs!$133:$133,Finance!AM$16,Inputs!141:141)</f>
        <v>1.7999999999999999E-2</v>
      </c>
      <c r="AN123" s="191">
        <f>SUMIF(Inputs!$133:$133,Finance!AN$16,Inputs!141:141)</f>
        <v>1.7999999999999999E-2</v>
      </c>
      <c r="AO123" s="191">
        <f>SUMIF(Inputs!$133:$133,Finance!AO$16,Inputs!141:141)</f>
        <v>1.7999999999999999E-2</v>
      </c>
      <c r="AP123" s="191">
        <f>SUMIF(Inputs!$133:$133,Finance!AP$16,Inputs!141:141)</f>
        <v>1.8084699453551914E-2</v>
      </c>
      <c r="AQ123" s="191">
        <f>SUMIF(Inputs!$133:$133,Finance!AQ$16,Inputs!141:141)</f>
        <v>1.9E-2</v>
      </c>
      <c r="AR123" s="191">
        <f>SUMIF(Inputs!$133:$133,Finance!AR$16,Inputs!141:141)</f>
        <v>1.9E-2</v>
      </c>
      <c r="AS123" s="191">
        <f>SUMIF(Inputs!$133:$133,Finance!AS$16,Inputs!141:141)</f>
        <v>1.9E-2</v>
      </c>
      <c r="AT123" s="191">
        <f>SUMIF(Inputs!$133:$133,Finance!AT$16,Inputs!141:141)</f>
        <v>1.4999999999999999E-2</v>
      </c>
      <c r="AU123" s="191">
        <f>SUMIF(Inputs!$133:$133,Finance!AU$16,Inputs!141:141)</f>
        <v>1.4999999999999999E-2</v>
      </c>
      <c r="AV123" s="191">
        <f>SUMIF(Inputs!$133:$133,Finance!AV$16,Inputs!141:141)</f>
        <v>1.4999999999999999E-2</v>
      </c>
      <c r="AW123" s="191">
        <f>SUMIF(Inputs!$133:$133,Finance!AW$16,Inputs!141:141)</f>
        <v>1.4999999999999999E-2</v>
      </c>
      <c r="AX123" s="191">
        <f>SUMIF(Inputs!$133:$133,Finance!AX$16,Inputs!141:141)</f>
        <v>1.4999999999999999E-2</v>
      </c>
    </row>
    <row r="124" spans="1:50" ht="15" customHeight="1">
      <c r="A124" s="230"/>
      <c r="B124" s="27"/>
      <c r="C124" s="27"/>
      <c r="D124" s="52"/>
      <c r="E124" s="17"/>
      <c r="F124" s="29"/>
      <c r="G124" s="17"/>
      <c r="H124" s="17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AV124" s="28"/>
      <c r="AW124" s="28"/>
      <c r="AX124" s="28"/>
    </row>
    <row r="125" spans="1:50" ht="15" customHeight="1">
      <c r="A125" s="230"/>
      <c r="B125" s="27"/>
      <c r="C125" s="27"/>
      <c r="D125" s="52"/>
      <c r="E125" s="17" t="s">
        <v>363</v>
      </c>
      <c r="F125" s="29"/>
      <c r="G125" s="17" t="s">
        <v>197</v>
      </c>
      <c r="H125" s="17"/>
      <c r="I125" s="28"/>
      <c r="J125" s="28"/>
      <c r="K125" s="189">
        <f>($I$118+K119)*(K$16&lt;&gt;0)</f>
        <v>0</v>
      </c>
      <c r="L125" s="189">
        <f t="shared" ref="L125:AX125" si="44">($I$118+L119)*(L$16&lt;&gt;0)</f>
        <v>0</v>
      </c>
      <c r="M125" s="189">
        <f t="shared" si="44"/>
        <v>0</v>
      </c>
      <c r="N125" s="189">
        <f t="shared" si="44"/>
        <v>0</v>
      </c>
      <c r="O125" s="189">
        <f t="shared" si="44"/>
        <v>0</v>
      </c>
      <c r="P125" s="189">
        <f t="shared" si="44"/>
        <v>0</v>
      </c>
      <c r="Q125" s="189">
        <f t="shared" si="44"/>
        <v>0</v>
      </c>
      <c r="R125" s="189">
        <f t="shared" si="44"/>
        <v>0</v>
      </c>
      <c r="S125" s="189">
        <f t="shared" si="44"/>
        <v>0</v>
      </c>
      <c r="T125" s="189">
        <f t="shared" si="44"/>
        <v>0</v>
      </c>
      <c r="U125" s="189">
        <f t="shared" si="44"/>
        <v>0</v>
      </c>
      <c r="V125" s="189">
        <f t="shared" si="44"/>
        <v>0</v>
      </c>
      <c r="W125" s="189">
        <f t="shared" si="44"/>
        <v>2.9215279504157976E-2</v>
      </c>
      <c r="X125" s="189">
        <f t="shared" si="44"/>
        <v>2.9215279504157976E-2</v>
      </c>
      <c r="Y125" s="189">
        <f t="shared" si="44"/>
        <v>2.9215279504157976E-2</v>
      </c>
      <c r="Z125" s="189">
        <f t="shared" si="44"/>
        <v>2.9215279504157976E-2</v>
      </c>
      <c r="AA125" s="189">
        <f t="shared" si="44"/>
        <v>2.9299978957709888E-2</v>
      </c>
      <c r="AB125" s="189">
        <f t="shared" si="44"/>
        <v>3.0215279504157977E-2</v>
      </c>
      <c r="AC125" s="189">
        <f t="shared" si="44"/>
        <v>3.0215279504157977E-2</v>
      </c>
      <c r="AD125" s="189">
        <f t="shared" si="44"/>
        <v>3.0215279504157977E-2</v>
      </c>
      <c r="AE125" s="189">
        <f t="shared" si="44"/>
        <v>3.0215279504157977E-2</v>
      </c>
      <c r="AF125" s="189">
        <f t="shared" si="44"/>
        <v>3.0299978957709889E-2</v>
      </c>
      <c r="AG125" s="189">
        <f t="shared" si="44"/>
        <v>3.1215279504157978E-2</v>
      </c>
      <c r="AH125" s="189">
        <f t="shared" si="44"/>
        <v>3.1215279504157978E-2</v>
      </c>
      <c r="AI125" s="189">
        <f t="shared" si="44"/>
        <v>3.1215279504157978E-2</v>
      </c>
      <c r="AJ125" s="189">
        <f t="shared" si="44"/>
        <v>3.1215279504157978E-2</v>
      </c>
      <c r="AK125" s="189">
        <f t="shared" si="44"/>
        <v>3.129997895770989E-2</v>
      </c>
      <c r="AL125" s="189">
        <f t="shared" si="44"/>
        <v>3.2215279504157979E-2</v>
      </c>
      <c r="AM125" s="189">
        <f t="shared" si="44"/>
        <v>3.2215279504157979E-2</v>
      </c>
      <c r="AN125" s="189">
        <f t="shared" si="44"/>
        <v>3.2215279504157979E-2</v>
      </c>
      <c r="AO125" s="189">
        <f t="shared" si="44"/>
        <v>3.2215279504157979E-2</v>
      </c>
      <c r="AP125" s="189">
        <f t="shared" si="44"/>
        <v>3.2299978957709891E-2</v>
      </c>
      <c r="AQ125" s="189">
        <f t="shared" si="44"/>
        <v>3.321527950415798E-2</v>
      </c>
      <c r="AR125" s="189">
        <f t="shared" si="44"/>
        <v>3.321527950415798E-2</v>
      </c>
      <c r="AS125" s="189">
        <f t="shared" si="44"/>
        <v>3.321527950415798E-2</v>
      </c>
      <c r="AT125" s="189">
        <f t="shared" si="44"/>
        <v>0</v>
      </c>
      <c r="AU125" s="189">
        <f t="shared" si="44"/>
        <v>0</v>
      </c>
      <c r="AV125" s="189">
        <f t="shared" si="44"/>
        <v>0</v>
      </c>
      <c r="AW125" s="189">
        <f t="shared" si="44"/>
        <v>0</v>
      </c>
      <c r="AX125" s="189">
        <f t="shared" si="44"/>
        <v>0</v>
      </c>
    </row>
    <row r="126" spans="1:50" ht="15" customHeight="1">
      <c r="A126" s="230"/>
      <c r="B126" s="27"/>
      <c r="C126" s="27"/>
      <c r="D126" s="52"/>
      <c r="E126" s="17" t="s">
        <v>364</v>
      </c>
      <c r="F126" s="29"/>
      <c r="G126" s="17" t="s">
        <v>197</v>
      </c>
      <c r="H126" s="17"/>
      <c r="I126" s="28"/>
      <c r="J126" s="28"/>
      <c r="K126" s="189">
        <f t="shared" ref="K126:AX126" si="45">($I$118+K120)*(K$16&lt;&gt;0)</f>
        <v>0</v>
      </c>
      <c r="L126" s="189">
        <f t="shared" si="45"/>
        <v>0</v>
      </c>
      <c r="M126" s="189">
        <f t="shared" si="45"/>
        <v>0</v>
      </c>
      <c r="N126" s="189">
        <f t="shared" si="45"/>
        <v>0</v>
      </c>
      <c r="O126" s="189">
        <f t="shared" si="45"/>
        <v>0</v>
      </c>
      <c r="P126" s="189">
        <f t="shared" si="45"/>
        <v>0</v>
      </c>
      <c r="Q126" s="189">
        <f t="shared" si="45"/>
        <v>0</v>
      </c>
      <c r="R126" s="189">
        <f t="shared" si="45"/>
        <v>0</v>
      </c>
      <c r="S126" s="189">
        <f t="shared" si="45"/>
        <v>0</v>
      </c>
      <c r="T126" s="189">
        <f t="shared" si="45"/>
        <v>0</v>
      </c>
      <c r="U126" s="189">
        <f t="shared" si="45"/>
        <v>0</v>
      </c>
      <c r="V126" s="189">
        <f t="shared" si="45"/>
        <v>0</v>
      </c>
      <c r="W126" s="189">
        <f t="shared" si="45"/>
        <v>2.7522815962557328E-2</v>
      </c>
      <c r="X126" s="189">
        <f t="shared" si="45"/>
        <v>2.7522815962557328E-2</v>
      </c>
      <c r="Y126" s="189">
        <f t="shared" si="45"/>
        <v>2.7522815962557328E-2</v>
      </c>
      <c r="Z126" s="189">
        <f t="shared" si="45"/>
        <v>2.7522815962557328E-2</v>
      </c>
      <c r="AA126" s="189">
        <f t="shared" si="45"/>
        <v>2.760751541610924E-2</v>
      </c>
      <c r="AB126" s="189">
        <f t="shared" si="45"/>
        <v>2.8522815962557325E-2</v>
      </c>
      <c r="AC126" s="189">
        <f t="shared" si="45"/>
        <v>2.8522815962557325E-2</v>
      </c>
      <c r="AD126" s="189">
        <f t="shared" si="45"/>
        <v>2.8522815962557325E-2</v>
      </c>
      <c r="AE126" s="189">
        <f t="shared" si="45"/>
        <v>2.8522815962557325E-2</v>
      </c>
      <c r="AF126" s="189">
        <f t="shared" si="45"/>
        <v>2.8607515416109237E-2</v>
      </c>
      <c r="AG126" s="189">
        <f t="shared" si="45"/>
        <v>2.9522815962557326E-2</v>
      </c>
      <c r="AH126" s="189">
        <f t="shared" si="45"/>
        <v>2.9522815962557326E-2</v>
      </c>
      <c r="AI126" s="189">
        <f t="shared" si="45"/>
        <v>2.9522815962557326E-2</v>
      </c>
      <c r="AJ126" s="189">
        <f t="shared" si="45"/>
        <v>2.9522815962557326E-2</v>
      </c>
      <c r="AK126" s="189">
        <f t="shared" si="45"/>
        <v>2.9607515416109238E-2</v>
      </c>
      <c r="AL126" s="189">
        <f t="shared" si="45"/>
        <v>3.0522815962557327E-2</v>
      </c>
      <c r="AM126" s="189">
        <f t="shared" si="45"/>
        <v>3.0522815962557327E-2</v>
      </c>
      <c r="AN126" s="189">
        <f t="shared" si="45"/>
        <v>3.0522815962557327E-2</v>
      </c>
      <c r="AO126" s="189">
        <f t="shared" si="45"/>
        <v>3.0522815962557327E-2</v>
      </c>
      <c r="AP126" s="189">
        <f t="shared" si="45"/>
        <v>3.0607515416109239E-2</v>
      </c>
      <c r="AQ126" s="189">
        <f t="shared" si="45"/>
        <v>3.1522815962557328E-2</v>
      </c>
      <c r="AR126" s="189">
        <f t="shared" si="45"/>
        <v>3.1522815962557328E-2</v>
      </c>
      <c r="AS126" s="189">
        <f t="shared" si="45"/>
        <v>3.1522815962557328E-2</v>
      </c>
      <c r="AT126" s="189">
        <f t="shared" si="45"/>
        <v>0</v>
      </c>
      <c r="AU126" s="189">
        <f t="shared" si="45"/>
        <v>0</v>
      </c>
      <c r="AV126" s="189">
        <f t="shared" si="45"/>
        <v>0</v>
      </c>
      <c r="AW126" s="189">
        <f t="shared" si="45"/>
        <v>0</v>
      </c>
      <c r="AX126" s="189">
        <f t="shared" si="45"/>
        <v>0</v>
      </c>
    </row>
    <row r="127" spans="1:50" ht="15" customHeight="1">
      <c r="A127" s="230"/>
      <c r="B127" s="27"/>
      <c r="C127" s="27"/>
      <c r="D127" s="52"/>
      <c r="E127" s="17" t="s">
        <v>365</v>
      </c>
      <c r="F127" s="29"/>
      <c r="G127" s="17" t="s">
        <v>197</v>
      </c>
      <c r="H127" s="17"/>
      <c r="I127" s="28"/>
      <c r="J127" s="28"/>
      <c r="K127" s="189">
        <f t="shared" ref="K127:AX127" si="46">($I$118+K121)*(K$16&lt;&gt;0)</f>
        <v>0</v>
      </c>
      <c r="L127" s="189">
        <f t="shared" si="46"/>
        <v>0</v>
      </c>
      <c r="M127" s="189">
        <f t="shared" si="46"/>
        <v>0</v>
      </c>
      <c r="N127" s="189">
        <f t="shared" si="46"/>
        <v>0</v>
      </c>
      <c r="O127" s="189">
        <f t="shared" si="46"/>
        <v>0</v>
      </c>
      <c r="P127" s="189">
        <f t="shared" si="46"/>
        <v>0</v>
      </c>
      <c r="Q127" s="189">
        <f t="shared" si="46"/>
        <v>0</v>
      </c>
      <c r="R127" s="189">
        <f t="shared" si="46"/>
        <v>0</v>
      </c>
      <c r="S127" s="189">
        <f t="shared" si="46"/>
        <v>0</v>
      </c>
      <c r="T127" s="189">
        <f t="shared" si="46"/>
        <v>0</v>
      </c>
      <c r="U127" s="189">
        <f t="shared" si="46"/>
        <v>0</v>
      </c>
      <c r="V127" s="189">
        <f t="shared" si="46"/>
        <v>0</v>
      </c>
      <c r="W127" s="189">
        <f t="shared" si="46"/>
        <v>2.7549083221389013E-2</v>
      </c>
      <c r="X127" s="189">
        <f t="shared" si="46"/>
        <v>2.7549083221389013E-2</v>
      </c>
      <c r="Y127" s="189">
        <f t="shared" si="46"/>
        <v>2.7549083221389013E-2</v>
      </c>
      <c r="Z127" s="189">
        <f t="shared" si="46"/>
        <v>2.7549083221389013E-2</v>
      </c>
      <c r="AA127" s="189">
        <f t="shared" si="46"/>
        <v>2.7633782674940925E-2</v>
      </c>
      <c r="AB127" s="189">
        <f t="shared" si="46"/>
        <v>2.8549083221389011E-2</v>
      </c>
      <c r="AC127" s="189">
        <f t="shared" si="46"/>
        <v>2.8549083221389011E-2</v>
      </c>
      <c r="AD127" s="189">
        <f t="shared" si="46"/>
        <v>2.8549083221389011E-2</v>
      </c>
      <c r="AE127" s="189">
        <f t="shared" si="46"/>
        <v>2.8549083221389011E-2</v>
      </c>
      <c r="AF127" s="189">
        <f t="shared" si="46"/>
        <v>2.8633782674940926E-2</v>
      </c>
      <c r="AG127" s="189">
        <f t="shared" si="46"/>
        <v>2.9549083221389015E-2</v>
      </c>
      <c r="AH127" s="189">
        <f t="shared" si="46"/>
        <v>2.9549083221389015E-2</v>
      </c>
      <c r="AI127" s="189">
        <f t="shared" si="46"/>
        <v>2.9549083221389015E-2</v>
      </c>
      <c r="AJ127" s="189">
        <f t="shared" si="46"/>
        <v>2.9549083221389015E-2</v>
      </c>
      <c r="AK127" s="189">
        <f t="shared" si="46"/>
        <v>2.9633782674940927E-2</v>
      </c>
      <c r="AL127" s="189">
        <f t="shared" si="46"/>
        <v>3.0549083221389009E-2</v>
      </c>
      <c r="AM127" s="189">
        <f t="shared" si="46"/>
        <v>3.0549083221389009E-2</v>
      </c>
      <c r="AN127" s="189">
        <f t="shared" si="46"/>
        <v>3.0549083221389009E-2</v>
      </c>
      <c r="AO127" s="189">
        <f t="shared" si="46"/>
        <v>3.0549083221389009E-2</v>
      </c>
      <c r="AP127" s="189">
        <f t="shared" si="46"/>
        <v>3.0633782674940921E-2</v>
      </c>
      <c r="AQ127" s="189">
        <f t="shared" si="46"/>
        <v>3.154908322138901E-2</v>
      </c>
      <c r="AR127" s="189">
        <f t="shared" si="46"/>
        <v>3.154908322138901E-2</v>
      </c>
      <c r="AS127" s="189">
        <f t="shared" si="46"/>
        <v>3.154908322138901E-2</v>
      </c>
      <c r="AT127" s="189">
        <f t="shared" si="46"/>
        <v>0</v>
      </c>
      <c r="AU127" s="189">
        <f t="shared" si="46"/>
        <v>0</v>
      </c>
      <c r="AV127" s="189">
        <f t="shared" si="46"/>
        <v>0</v>
      </c>
      <c r="AW127" s="189">
        <f t="shared" si="46"/>
        <v>0</v>
      </c>
      <c r="AX127" s="189">
        <f t="shared" si="46"/>
        <v>0</v>
      </c>
    </row>
    <row r="128" spans="1:50" ht="15" customHeight="1">
      <c r="A128" s="230"/>
      <c r="B128" s="27"/>
      <c r="C128" s="27"/>
      <c r="D128" s="52"/>
      <c r="E128" s="17" t="s">
        <v>366</v>
      </c>
      <c r="F128" s="29"/>
      <c r="G128" s="17" t="s">
        <v>197</v>
      </c>
      <c r="H128" s="17"/>
      <c r="I128" s="28"/>
      <c r="J128" s="28"/>
      <c r="K128" s="189">
        <f t="shared" ref="K128:AX128" si="47">($I$118+K122)*(K$16&lt;&gt;0)</f>
        <v>0</v>
      </c>
      <c r="L128" s="189">
        <f t="shared" si="47"/>
        <v>0</v>
      </c>
      <c r="M128" s="189">
        <f t="shared" si="47"/>
        <v>0</v>
      </c>
      <c r="N128" s="189">
        <f t="shared" si="47"/>
        <v>0</v>
      </c>
      <c r="O128" s="189">
        <f t="shared" si="47"/>
        <v>0</v>
      </c>
      <c r="P128" s="189">
        <f t="shared" si="47"/>
        <v>0</v>
      </c>
      <c r="Q128" s="189">
        <f t="shared" si="47"/>
        <v>0</v>
      </c>
      <c r="R128" s="189">
        <f t="shared" si="47"/>
        <v>0</v>
      </c>
      <c r="S128" s="189">
        <f t="shared" si="47"/>
        <v>0</v>
      </c>
      <c r="T128" s="189">
        <f t="shared" si="47"/>
        <v>0</v>
      </c>
      <c r="U128" s="189">
        <f t="shared" si="47"/>
        <v>0</v>
      </c>
      <c r="V128" s="189">
        <f t="shared" si="47"/>
        <v>0</v>
      </c>
      <c r="W128" s="189">
        <f t="shared" si="47"/>
        <v>1.3010779504157978E-2</v>
      </c>
      <c r="X128" s="189">
        <f t="shared" si="47"/>
        <v>1.3010779504157978E-2</v>
      </c>
      <c r="Y128" s="189">
        <f t="shared" si="47"/>
        <v>1.3010779504157978E-2</v>
      </c>
      <c r="Z128" s="189">
        <f t="shared" si="47"/>
        <v>1.3010779504157978E-2</v>
      </c>
      <c r="AA128" s="189">
        <f t="shared" si="47"/>
        <v>1.3010779504157978E-2</v>
      </c>
      <c r="AB128" s="189">
        <f t="shared" si="47"/>
        <v>1.3010779504157978E-2</v>
      </c>
      <c r="AC128" s="189">
        <f t="shared" si="47"/>
        <v>1.3010779504157978E-2</v>
      </c>
      <c r="AD128" s="189">
        <f t="shared" si="47"/>
        <v>1.3010779504157978E-2</v>
      </c>
      <c r="AE128" s="189">
        <f t="shared" si="47"/>
        <v>1.3010779504157978E-2</v>
      </c>
      <c r="AF128" s="189">
        <f t="shared" si="47"/>
        <v>1.3010779504157978E-2</v>
      </c>
      <c r="AG128" s="189">
        <f t="shared" si="47"/>
        <v>1.3010779504157978E-2</v>
      </c>
      <c r="AH128" s="189">
        <f t="shared" si="47"/>
        <v>1.3010779504157978E-2</v>
      </c>
      <c r="AI128" s="189">
        <f t="shared" si="47"/>
        <v>1.3010779504157978E-2</v>
      </c>
      <c r="AJ128" s="189">
        <f t="shared" si="47"/>
        <v>1.3010779504157978E-2</v>
      </c>
      <c r="AK128" s="189">
        <f t="shared" si="47"/>
        <v>1.3010779504157978E-2</v>
      </c>
      <c r="AL128" s="189">
        <f t="shared" si="47"/>
        <v>1.3010779504157978E-2</v>
      </c>
      <c r="AM128" s="189">
        <f t="shared" si="47"/>
        <v>1.3010779504157978E-2</v>
      </c>
      <c r="AN128" s="189">
        <f t="shared" si="47"/>
        <v>1.3010779504157978E-2</v>
      </c>
      <c r="AO128" s="189">
        <f t="shared" si="47"/>
        <v>1.3010779504157978E-2</v>
      </c>
      <c r="AP128" s="189">
        <f t="shared" si="47"/>
        <v>1.3010779504157978E-2</v>
      </c>
      <c r="AQ128" s="189">
        <f t="shared" si="47"/>
        <v>1.3010779504157978E-2</v>
      </c>
      <c r="AR128" s="189">
        <f t="shared" si="47"/>
        <v>1.3010779504157978E-2</v>
      </c>
      <c r="AS128" s="189">
        <f t="shared" si="47"/>
        <v>1.3010779504157978E-2</v>
      </c>
      <c r="AT128" s="189">
        <f t="shared" si="47"/>
        <v>0</v>
      </c>
      <c r="AU128" s="189">
        <f t="shared" si="47"/>
        <v>0</v>
      </c>
      <c r="AV128" s="189">
        <f t="shared" si="47"/>
        <v>0</v>
      </c>
      <c r="AW128" s="189">
        <f t="shared" si="47"/>
        <v>0</v>
      </c>
      <c r="AX128" s="189">
        <f t="shared" si="47"/>
        <v>0</v>
      </c>
    </row>
    <row r="129" spans="1:50" ht="15" customHeight="1">
      <c r="A129" s="230"/>
      <c r="B129" s="27"/>
      <c r="C129" s="27"/>
      <c r="D129" s="52"/>
      <c r="E129" s="17" t="s">
        <v>368</v>
      </c>
      <c r="F129" s="29"/>
      <c r="G129" s="17" t="s">
        <v>197</v>
      </c>
      <c r="H129" s="17"/>
      <c r="I129" s="28"/>
      <c r="J129" s="28"/>
      <c r="K129" s="189">
        <f t="shared" ref="K129:AX129" si="48">($I$118+K123)*(K$16&lt;&gt;0)</f>
        <v>0</v>
      </c>
      <c r="L129" s="189">
        <f t="shared" si="48"/>
        <v>0</v>
      </c>
      <c r="M129" s="189">
        <f t="shared" si="48"/>
        <v>0</v>
      </c>
      <c r="N129" s="189">
        <f t="shared" si="48"/>
        <v>0</v>
      </c>
      <c r="O129" s="189">
        <f t="shared" si="48"/>
        <v>0</v>
      </c>
      <c r="P129" s="189">
        <f t="shared" si="48"/>
        <v>0</v>
      </c>
      <c r="Q129" s="189">
        <f t="shared" si="48"/>
        <v>0</v>
      </c>
      <c r="R129" s="189">
        <f t="shared" si="48"/>
        <v>0</v>
      </c>
      <c r="S129" s="189">
        <f t="shared" si="48"/>
        <v>0</v>
      </c>
      <c r="T129" s="189">
        <f t="shared" si="48"/>
        <v>0</v>
      </c>
      <c r="U129" s="189">
        <f t="shared" si="48"/>
        <v>0</v>
      </c>
      <c r="V129" s="189">
        <f t="shared" si="48"/>
        <v>0</v>
      </c>
      <c r="W129" s="189">
        <f t="shared" si="48"/>
        <v>2.8010779504157979E-2</v>
      </c>
      <c r="X129" s="189">
        <f t="shared" si="48"/>
        <v>2.8010779504157979E-2</v>
      </c>
      <c r="Y129" s="189">
        <f t="shared" si="48"/>
        <v>2.8010779504157979E-2</v>
      </c>
      <c r="Z129" s="189">
        <f t="shared" si="48"/>
        <v>2.8010779504157979E-2</v>
      </c>
      <c r="AA129" s="189">
        <f t="shared" si="48"/>
        <v>2.8095478957709891E-2</v>
      </c>
      <c r="AB129" s="189">
        <f t="shared" si="48"/>
        <v>2.901077950415798E-2</v>
      </c>
      <c r="AC129" s="189">
        <f t="shared" si="48"/>
        <v>2.901077950415798E-2</v>
      </c>
      <c r="AD129" s="189">
        <f t="shared" si="48"/>
        <v>2.901077950415798E-2</v>
      </c>
      <c r="AE129" s="189">
        <f t="shared" si="48"/>
        <v>2.901077950415798E-2</v>
      </c>
      <c r="AF129" s="189">
        <f t="shared" si="48"/>
        <v>2.9095478957709892E-2</v>
      </c>
      <c r="AG129" s="189">
        <f t="shared" si="48"/>
        <v>3.0010779504157981E-2</v>
      </c>
      <c r="AH129" s="189">
        <f t="shared" si="48"/>
        <v>3.0010779504157981E-2</v>
      </c>
      <c r="AI129" s="189">
        <f t="shared" si="48"/>
        <v>3.0010779504157981E-2</v>
      </c>
      <c r="AJ129" s="189">
        <f t="shared" si="48"/>
        <v>3.0010779504157981E-2</v>
      </c>
      <c r="AK129" s="189">
        <f t="shared" si="48"/>
        <v>3.0095478957709892E-2</v>
      </c>
      <c r="AL129" s="189">
        <f t="shared" si="48"/>
        <v>3.1010779504157975E-2</v>
      </c>
      <c r="AM129" s="189">
        <f t="shared" si="48"/>
        <v>3.1010779504157975E-2</v>
      </c>
      <c r="AN129" s="189">
        <f t="shared" si="48"/>
        <v>3.1010779504157975E-2</v>
      </c>
      <c r="AO129" s="189">
        <f t="shared" si="48"/>
        <v>3.1010779504157975E-2</v>
      </c>
      <c r="AP129" s="189">
        <f t="shared" si="48"/>
        <v>3.1095478957709893E-2</v>
      </c>
      <c r="AQ129" s="189">
        <f t="shared" si="48"/>
        <v>3.2010779504157975E-2</v>
      </c>
      <c r="AR129" s="189">
        <f t="shared" si="48"/>
        <v>3.2010779504157975E-2</v>
      </c>
      <c r="AS129" s="189">
        <f t="shared" si="48"/>
        <v>3.2010779504157975E-2</v>
      </c>
      <c r="AT129" s="189">
        <f t="shared" si="48"/>
        <v>0</v>
      </c>
      <c r="AU129" s="189">
        <f t="shared" si="48"/>
        <v>0</v>
      </c>
      <c r="AV129" s="189">
        <f t="shared" si="48"/>
        <v>0</v>
      </c>
      <c r="AW129" s="189">
        <f t="shared" si="48"/>
        <v>0</v>
      </c>
      <c r="AX129" s="189">
        <f t="shared" si="48"/>
        <v>0</v>
      </c>
    </row>
    <row r="130" spans="1:50" ht="15" customHeight="1">
      <c r="A130" s="230"/>
      <c r="B130" s="27"/>
      <c r="C130" s="27"/>
      <c r="D130" s="52"/>
      <c r="E130" s="54"/>
      <c r="F130" s="29"/>
      <c r="G130" s="17"/>
      <c r="H130" s="17"/>
      <c r="I130" s="28"/>
      <c r="J130" s="28"/>
      <c r="K130" s="189"/>
      <c r="L130" s="189"/>
      <c r="M130" s="189"/>
      <c r="N130" s="189"/>
      <c r="O130" s="189"/>
      <c r="P130" s="189"/>
      <c r="Q130" s="189"/>
      <c r="R130" s="189"/>
      <c r="S130" s="189"/>
      <c r="T130" s="189"/>
      <c r="U130" s="189"/>
      <c r="V130" s="189"/>
      <c r="W130" s="189"/>
      <c r="X130" s="189"/>
      <c r="Y130" s="189"/>
      <c r="Z130" s="189"/>
      <c r="AA130" s="189"/>
      <c r="AB130" s="189"/>
      <c r="AC130" s="189"/>
      <c r="AD130" s="189"/>
      <c r="AE130" s="189"/>
      <c r="AF130" s="189"/>
      <c r="AG130" s="189"/>
      <c r="AH130" s="189"/>
      <c r="AI130" s="189"/>
      <c r="AJ130" s="189"/>
      <c r="AK130" s="189"/>
      <c r="AL130" s="189"/>
      <c r="AM130" s="189"/>
      <c r="AN130" s="189"/>
      <c r="AO130" s="189"/>
      <c r="AP130" s="189"/>
      <c r="AQ130" s="189"/>
      <c r="AR130" s="189"/>
      <c r="AS130" s="189"/>
      <c r="AT130" s="189"/>
      <c r="AU130" s="189"/>
      <c r="AV130" s="189"/>
      <c r="AW130" s="189"/>
      <c r="AX130" s="189"/>
    </row>
    <row r="131" spans="1:50" ht="15" customHeight="1">
      <c r="A131" s="230"/>
      <c r="B131" s="27"/>
      <c r="C131" s="27"/>
      <c r="D131" s="52"/>
      <c r="E131" s="17" t="s">
        <v>369</v>
      </c>
      <c r="F131" s="5"/>
      <c r="G131" s="16" t="s">
        <v>203</v>
      </c>
      <c r="H131" s="17"/>
      <c r="I131" s="80">
        <f>Inputs!I95</f>
        <v>0.35</v>
      </c>
      <c r="J131" s="28"/>
      <c r="K131" s="189"/>
      <c r="L131" s="189"/>
      <c r="M131" s="189"/>
      <c r="N131" s="189"/>
      <c r="O131" s="189"/>
      <c r="P131" s="189"/>
      <c r="Q131" s="189"/>
      <c r="R131" s="189"/>
      <c r="S131" s="189"/>
      <c r="T131" s="189"/>
      <c r="U131" s="189"/>
      <c r="V131" s="189"/>
      <c r="W131" s="189"/>
      <c r="X131" s="189"/>
      <c r="Y131" s="189"/>
      <c r="Z131" s="189"/>
      <c r="AA131" s="189"/>
      <c r="AB131" s="189"/>
      <c r="AC131" s="189"/>
      <c r="AD131" s="189"/>
      <c r="AE131" s="189"/>
      <c r="AF131" s="189"/>
      <c r="AG131" s="189"/>
      <c r="AH131" s="189"/>
      <c r="AI131" s="189"/>
      <c r="AJ131" s="189"/>
      <c r="AK131" s="189"/>
      <c r="AL131" s="189"/>
      <c r="AM131" s="189"/>
      <c r="AN131" s="189"/>
      <c r="AO131" s="189"/>
      <c r="AP131" s="189"/>
      <c r="AQ131" s="189"/>
      <c r="AR131" s="189"/>
      <c r="AS131" s="189"/>
      <c r="AT131" s="189"/>
      <c r="AU131" s="189"/>
      <c r="AV131" s="189"/>
      <c r="AW131" s="189"/>
      <c r="AX131" s="189"/>
    </row>
    <row r="132" spans="1:50" ht="15" customHeight="1">
      <c r="A132" s="230"/>
      <c r="B132" s="27"/>
      <c r="C132" s="27"/>
      <c r="D132" s="52"/>
      <c r="E132" s="17" t="s">
        <v>370</v>
      </c>
      <c r="F132" s="5"/>
      <c r="G132" s="16" t="s">
        <v>203</v>
      </c>
      <c r="H132" s="17"/>
      <c r="I132" s="80">
        <f>Inputs!I103</f>
        <v>0.35</v>
      </c>
      <c r="J132" s="28"/>
      <c r="K132" s="189"/>
      <c r="L132" s="189"/>
      <c r="M132" s="189"/>
      <c r="N132" s="189"/>
      <c r="O132" s="189"/>
      <c r="P132" s="189"/>
      <c r="Q132" s="189"/>
      <c r="R132" s="189"/>
      <c r="S132" s="189"/>
      <c r="T132" s="189"/>
      <c r="U132" s="189"/>
      <c r="V132" s="189"/>
      <c r="W132" s="189"/>
      <c r="X132" s="189"/>
      <c r="Y132" s="189"/>
      <c r="Z132" s="189"/>
      <c r="AA132" s="189"/>
      <c r="AB132" s="189"/>
      <c r="AC132" s="189"/>
      <c r="AD132" s="189"/>
      <c r="AE132" s="189"/>
      <c r="AF132" s="189"/>
      <c r="AG132" s="189"/>
      <c r="AH132" s="189"/>
      <c r="AI132" s="189"/>
      <c r="AJ132" s="189"/>
      <c r="AK132" s="189"/>
      <c r="AL132" s="189"/>
      <c r="AM132" s="189"/>
      <c r="AN132" s="189"/>
      <c r="AO132" s="189"/>
      <c r="AP132" s="189"/>
      <c r="AQ132" s="189"/>
      <c r="AR132" s="189"/>
      <c r="AS132" s="189"/>
      <c r="AT132" s="189"/>
      <c r="AU132" s="189"/>
      <c r="AV132" s="189"/>
      <c r="AW132" s="189"/>
      <c r="AX132" s="189"/>
    </row>
    <row r="133" spans="1:50" ht="15" customHeight="1">
      <c r="A133" s="230"/>
      <c r="B133" s="27"/>
      <c r="C133" s="27"/>
      <c r="D133" s="52"/>
      <c r="E133" s="17" t="s">
        <v>371</v>
      </c>
      <c r="F133" s="5"/>
      <c r="G133" s="16" t="s">
        <v>203</v>
      </c>
      <c r="H133" s="17"/>
      <c r="I133" s="80">
        <f>Inputs!I109</f>
        <v>0.35</v>
      </c>
      <c r="J133" s="28"/>
      <c r="K133" s="189"/>
      <c r="L133" s="189"/>
      <c r="M133" s="189"/>
      <c r="N133" s="189"/>
      <c r="O133" s="189"/>
      <c r="P133" s="189"/>
      <c r="Q133" s="189"/>
      <c r="R133" s="189"/>
      <c r="S133" s="189"/>
      <c r="T133" s="189"/>
      <c r="U133" s="189"/>
      <c r="V133" s="189"/>
      <c r="W133" s="189"/>
      <c r="X133" s="189"/>
      <c r="Y133" s="189"/>
      <c r="Z133" s="189"/>
      <c r="AA133" s="189"/>
      <c r="AB133" s="189"/>
      <c r="AC133" s="189"/>
      <c r="AD133" s="189"/>
      <c r="AE133" s="189"/>
      <c r="AF133" s="189"/>
      <c r="AG133" s="189"/>
      <c r="AH133" s="189"/>
      <c r="AI133" s="189"/>
      <c r="AJ133" s="189"/>
      <c r="AK133" s="189"/>
      <c r="AL133" s="189"/>
      <c r="AM133" s="189"/>
      <c r="AN133" s="189"/>
      <c r="AO133" s="189"/>
      <c r="AP133" s="189"/>
      <c r="AQ133" s="189"/>
      <c r="AR133" s="189"/>
      <c r="AS133" s="189"/>
      <c r="AT133" s="189"/>
      <c r="AU133" s="189"/>
      <c r="AV133" s="189"/>
      <c r="AW133" s="189"/>
      <c r="AX133" s="189"/>
    </row>
    <row r="134" spans="1:50" ht="15" customHeight="1">
      <c r="A134" s="230"/>
      <c r="B134" s="27"/>
      <c r="C134" s="27"/>
      <c r="D134" s="52"/>
      <c r="E134" s="17" t="s">
        <v>372</v>
      </c>
      <c r="F134" s="5"/>
      <c r="G134" s="16" t="s">
        <v>203</v>
      </c>
      <c r="H134" s="17"/>
      <c r="I134" s="80">
        <f>Inputs!I114</f>
        <v>0.35</v>
      </c>
      <c r="J134" s="28"/>
      <c r="K134" s="189"/>
      <c r="L134" s="189"/>
      <c r="M134" s="189"/>
      <c r="N134" s="189"/>
      <c r="O134" s="189"/>
      <c r="P134" s="189"/>
      <c r="Q134" s="189"/>
      <c r="R134" s="189"/>
      <c r="S134" s="189"/>
      <c r="T134" s="189"/>
      <c r="U134" s="189"/>
      <c r="V134" s="189"/>
      <c r="W134" s="189"/>
      <c r="X134" s="189"/>
      <c r="Y134" s="189"/>
      <c r="Z134" s="189"/>
      <c r="AA134" s="189"/>
      <c r="AB134" s="189"/>
      <c r="AC134" s="189"/>
      <c r="AD134" s="189"/>
      <c r="AE134" s="189"/>
      <c r="AF134" s="189"/>
      <c r="AG134" s="189"/>
      <c r="AH134" s="189"/>
      <c r="AI134" s="189"/>
      <c r="AJ134" s="189"/>
      <c r="AK134" s="189"/>
      <c r="AL134" s="189"/>
      <c r="AM134" s="189"/>
      <c r="AN134" s="189"/>
      <c r="AO134" s="189"/>
      <c r="AP134" s="189"/>
      <c r="AQ134" s="189"/>
      <c r="AR134" s="189"/>
      <c r="AS134" s="189"/>
      <c r="AT134" s="189"/>
      <c r="AU134" s="189"/>
      <c r="AV134" s="189"/>
      <c r="AW134" s="189"/>
      <c r="AX134" s="189"/>
    </row>
    <row r="135" spans="1:50" ht="15" customHeight="1">
      <c r="A135" s="230"/>
      <c r="B135" s="27"/>
      <c r="C135" s="27"/>
      <c r="D135" s="52"/>
      <c r="E135" s="17" t="s">
        <v>374</v>
      </c>
      <c r="F135" s="5"/>
      <c r="G135" s="16" t="s">
        <v>203</v>
      </c>
      <c r="H135" s="17"/>
      <c r="I135" s="80">
        <f>Inputs!I125</f>
        <v>0.35</v>
      </c>
      <c r="J135" s="28"/>
      <c r="K135" s="189"/>
      <c r="L135" s="189"/>
      <c r="M135" s="189"/>
      <c r="N135" s="189"/>
      <c r="O135" s="189"/>
      <c r="P135" s="189"/>
      <c r="Q135" s="189"/>
      <c r="R135" s="189"/>
      <c r="S135" s="189"/>
      <c r="T135" s="189"/>
      <c r="U135" s="189"/>
      <c r="V135" s="189"/>
      <c r="W135" s="189"/>
      <c r="X135" s="189"/>
      <c r="Y135" s="189"/>
      <c r="Z135" s="189"/>
      <c r="AA135" s="189"/>
      <c r="AB135" s="189"/>
      <c r="AC135" s="189"/>
      <c r="AD135" s="189"/>
      <c r="AE135" s="189"/>
      <c r="AF135" s="189"/>
      <c r="AG135" s="189"/>
      <c r="AH135" s="189"/>
      <c r="AI135" s="189"/>
      <c r="AJ135" s="189"/>
      <c r="AK135" s="189"/>
      <c r="AL135" s="189"/>
      <c r="AM135" s="189"/>
      <c r="AN135" s="189"/>
      <c r="AO135" s="189"/>
      <c r="AP135" s="189"/>
      <c r="AQ135" s="189"/>
      <c r="AR135" s="189"/>
      <c r="AS135" s="189"/>
      <c r="AT135" s="189"/>
      <c r="AU135" s="189"/>
      <c r="AV135" s="189"/>
      <c r="AW135" s="189"/>
      <c r="AX135" s="189"/>
    </row>
    <row r="136" spans="1:50" ht="15" customHeight="1">
      <c r="A136" s="230"/>
      <c r="B136" s="27"/>
      <c r="C136" s="27"/>
      <c r="D136" s="52"/>
      <c r="E136" s="54"/>
      <c r="F136" s="29"/>
      <c r="G136" s="17"/>
      <c r="H136" s="17"/>
      <c r="I136" s="28"/>
      <c r="J136" s="28"/>
      <c r="K136" s="189"/>
      <c r="L136" s="189"/>
      <c r="M136" s="189"/>
      <c r="N136" s="189"/>
      <c r="O136" s="189"/>
      <c r="P136" s="189"/>
      <c r="Q136" s="189"/>
      <c r="R136" s="189"/>
      <c r="S136" s="189"/>
      <c r="T136" s="189"/>
      <c r="U136" s="189"/>
      <c r="V136" s="189"/>
      <c r="W136" s="189"/>
      <c r="X136" s="189"/>
      <c r="Y136" s="189"/>
      <c r="Z136" s="189"/>
      <c r="AA136" s="189"/>
      <c r="AB136" s="189"/>
      <c r="AC136" s="189"/>
      <c r="AD136" s="189"/>
      <c r="AE136" s="189"/>
      <c r="AF136" s="189"/>
      <c r="AG136" s="189"/>
      <c r="AH136" s="189"/>
      <c r="AI136" s="189"/>
      <c r="AJ136" s="189"/>
      <c r="AK136" s="189"/>
      <c r="AL136" s="189"/>
      <c r="AM136" s="189"/>
      <c r="AN136" s="189"/>
      <c r="AO136" s="189"/>
      <c r="AP136" s="189"/>
      <c r="AQ136" s="189"/>
      <c r="AR136" s="189"/>
      <c r="AS136" s="189"/>
      <c r="AT136" s="189"/>
      <c r="AU136" s="189"/>
      <c r="AV136" s="189"/>
      <c r="AW136" s="189"/>
      <c r="AX136" s="189"/>
    </row>
    <row r="137" spans="1:50" ht="15" customHeight="1">
      <c r="A137" s="230"/>
      <c r="B137" s="27"/>
      <c r="C137" s="27"/>
      <c r="D137" s="52"/>
      <c r="E137" s="5" t="s">
        <v>377</v>
      </c>
      <c r="F137" s="5"/>
      <c r="G137" s="4" t="str">
        <f>CONCATENATE(Inputs!$I$9,"m nominal prices")</f>
        <v>£m nominal prices</v>
      </c>
      <c r="H137" s="17"/>
      <c r="I137" s="28"/>
      <c r="J137" s="28"/>
      <c r="K137" s="5">
        <f>SUM(K63:K64)*K125</f>
        <v>0</v>
      </c>
      <c r="L137" s="5">
        <f t="shared" ref="L137:AX137" si="49">SUM(L63:L64)*L125</f>
        <v>0</v>
      </c>
      <c r="M137" s="5">
        <f t="shared" si="49"/>
        <v>0</v>
      </c>
      <c r="N137" s="5">
        <f t="shared" si="49"/>
        <v>0</v>
      </c>
      <c r="O137" s="5">
        <f t="shared" si="49"/>
        <v>0</v>
      </c>
      <c r="P137" s="5">
        <f t="shared" si="49"/>
        <v>0</v>
      </c>
      <c r="Q137" s="5">
        <f t="shared" si="49"/>
        <v>0</v>
      </c>
      <c r="R137" s="5">
        <f t="shared" si="49"/>
        <v>0</v>
      </c>
      <c r="S137" s="5">
        <f t="shared" si="49"/>
        <v>0</v>
      </c>
      <c r="T137" s="5">
        <f t="shared" si="49"/>
        <v>0</v>
      </c>
      <c r="U137" s="5">
        <f t="shared" si="49"/>
        <v>0</v>
      </c>
      <c r="V137" s="5">
        <f>SUM(V63:V64)*V125</f>
        <v>0</v>
      </c>
      <c r="W137" s="5">
        <f t="shared" si="49"/>
        <v>7.1365759422557273</v>
      </c>
      <c r="X137" s="5">
        <f t="shared" si="49"/>
        <v>6.9979042692530804</v>
      </c>
      <c r="Y137" s="5">
        <f t="shared" si="49"/>
        <v>6.8239431713476222</v>
      </c>
      <c r="Z137" s="5">
        <f t="shared" si="49"/>
        <v>6.6380571241590065</v>
      </c>
      <c r="AA137" s="5">
        <f t="shared" si="49"/>
        <v>6.4455723999707759</v>
      </c>
      <c r="AB137" s="5">
        <f t="shared" si="49"/>
        <v>6.4152875245297984</v>
      </c>
      <c r="AC137" s="5">
        <f t="shared" si="49"/>
        <v>6.178968762940416</v>
      </c>
      <c r="AD137" s="5">
        <f t="shared" si="49"/>
        <v>5.9721990095354371</v>
      </c>
      <c r="AE137" s="5">
        <f t="shared" si="49"/>
        <v>5.7079543696489434</v>
      </c>
      <c r="AF137" s="5">
        <f t="shared" si="49"/>
        <v>5.4104538421982573</v>
      </c>
      <c r="AG137" s="5">
        <f t="shared" si="49"/>
        <v>5.2384589314493759</v>
      </c>
      <c r="AH137" s="5">
        <f t="shared" si="49"/>
        <v>4.8813741554427716</v>
      </c>
      <c r="AI137" s="5">
        <f t="shared" si="49"/>
        <v>4.5243015560846365</v>
      </c>
      <c r="AJ137" s="5">
        <f t="shared" si="49"/>
        <v>4.1225384305740391</v>
      </c>
      <c r="AK137" s="5">
        <f t="shared" si="49"/>
        <v>3.7356184577576035</v>
      </c>
      <c r="AL137" s="5">
        <f t="shared" si="49"/>
        <v>3.4849126840130529</v>
      </c>
      <c r="AM137" s="5">
        <f t="shared" si="49"/>
        <v>3.1238812265709921</v>
      </c>
      <c r="AN137" s="5">
        <f t="shared" si="49"/>
        <v>2.6819295735018902</v>
      </c>
      <c r="AO137" s="5">
        <f t="shared" si="49"/>
        <v>2.2264511016857647</v>
      </c>
      <c r="AP137" s="5">
        <f t="shared" si="49"/>
        <v>1.7425023952733456</v>
      </c>
      <c r="AQ137" s="5">
        <f t="shared" si="49"/>
        <v>1.2824779882442408</v>
      </c>
      <c r="AR137" s="5">
        <f t="shared" si="49"/>
        <v>0.72703864777130456</v>
      </c>
      <c r="AS137" s="5">
        <f t="shared" si="49"/>
        <v>0.16082132596645626</v>
      </c>
      <c r="AT137" s="5">
        <f t="shared" si="49"/>
        <v>0</v>
      </c>
      <c r="AU137" s="5">
        <f t="shared" si="49"/>
        <v>0</v>
      </c>
      <c r="AV137" s="5">
        <f t="shared" si="49"/>
        <v>0</v>
      </c>
      <c r="AW137" s="5">
        <f t="shared" si="49"/>
        <v>0</v>
      </c>
      <c r="AX137" s="5">
        <f t="shared" si="49"/>
        <v>0</v>
      </c>
    </row>
    <row r="138" spans="1:50" ht="15" customHeight="1">
      <c r="A138" s="230"/>
      <c r="B138" s="27"/>
      <c r="C138" s="27"/>
      <c r="D138" s="52"/>
      <c r="E138" s="5" t="s">
        <v>378</v>
      </c>
      <c r="F138" s="5"/>
      <c r="G138" s="4" t="str">
        <f>CONCATENATE(Inputs!$I$9,"m nominal prices")</f>
        <v>£m nominal prices</v>
      </c>
      <c r="H138" s="17"/>
      <c r="I138" s="28"/>
      <c r="J138" s="28"/>
      <c r="K138" s="5">
        <f>$I$70*K127</f>
        <v>0</v>
      </c>
      <c r="L138" s="5">
        <f t="shared" ref="L138:AX138" si="50">$I$70*L127</f>
        <v>0</v>
      </c>
      <c r="M138" s="5">
        <f t="shared" si="50"/>
        <v>0</v>
      </c>
      <c r="N138" s="5">
        <f t="shared" si="50"/>
        <v>0</v>
      </c>
      <c r="O138" s="5">
        <f t="shared" si="50"/>
        <v>0</v>
      </c>
      <c r="P138" s="5">
        <f t="shared" si="50"/>
        <v>0</v>
      </c>
      <c r="Q138" s="5">
        <f t="shared" si="50"/>
        <v>0</v>
      </c>
      <c r="R138" s="5">
        <f t="shared" si="50"/>
        <v>0</v>
      </c>
      <c r="S138" s="5">
        <f t="shared" si="50"/>
        <v>0</v>
      </c>
      <c r="T138" s="5">
        <f t="shared" si="50"/>
        <v>0</v>
      </c>
      <c r="U138" s="5">
        <f t="shared" si="50"/>
        <v>0</v>
      </c>
      <c r="V138" s="5">
        <f t="shared" si="50"/>
        <v>0</v>
      </c>
      <c r="W138" s="5">
        <f t="shared" si="50"/>
        <v>0</v>
      </c>
      <c r="X138" s="5">
        <f t="shared" si="50"/>
        <v>0</v>
      </c>
      <c r="Y138" s="5">
        <f t="shared" si="50"/>
        <v>0</v>
      </c>
      <c r="Z138" s="5">
        <f t="shared" si="50"/>
        <v>0</v>
      </c>
      <c r="AA138" s="5">
        <f t="shared" si="50"/>
        <v>0</v>
      </c>
      <c r="AB138" s="5">
        <f t="shared" si="50"/>
        <v>0</v>
      </c>
      <c r="AC138" s="5">
        <f t="shared" si="50"/>
        <v>0</v>
      </c>
      <c r="AD138" s="5">
        <f t="shared" si="50"/>
        <v>0</v>
      </c>
      <c r="AE138" s="5">
        <f t="shared" si="50"/>
        <v>0</v>
      </c>
      <c r="AF138" s="5">
        <f t="shared" si="50"/>
        <v>0</v>
      </c>
      <c r="AG138" s="5">
        <f t="shared" si="50"/>
        <v>0</v>
      </c>
      <c r="AH138" s="5">
        <f t="shared" si="50"/>
        <v>0</v>
      </c>
      <c r="AI138" s="5">
        <f t="shared" si="50"/>
        <v>0</v>
      </c>
      <c r="AJ138" s="5">
        <f t="shared" si="50"/>
        <v>0</v>
      </c>
      <c r="AK138" s="5">
        <f t="shared" si="50"/>
        <v>0</v>
      </c>
      <c r="AL138" s="5">
        <f t="shared" si="50"/>
        <v>0</v>
      </c>
      <c r="AM138" s="5">
        <f t="shared" si="50"/>
        <v>0</v>
      </c>
      <c r="AN138" s="5">
        <f t="shared" si="50"/>
        <v>0</v>
      </c>
      <c r="AO138" s="5">
        <f t="shared" si="50"/>
        <v>0</v>
      </c>
      <c r="AP138" s="5">
        <f t="shared" si="50"/>
        <v>0</v>
      </c>
      <c r="AQ138" s="5">
        <f t="shared" si="50"/>
        <v>0</v>
      </c>
      <c r="AR138" s="5">
        <f t="shared" si="50"/>
        <v>0</v>
      </c>
      <c r="AS138" s="5">
        <f t="shared" si="50"/>
        <v>0</v>
      </c>
      <c r="AT138" s="5">
        <f t="shared" si="50"/>
        <v>0</v>
      </c>
      <c r="AU138" s="5">
        <f t="shared" si="50"/>
        <v>0</v>
      </c>
      <c r="AV138" s="5">
        <f t="shared" si="50"/>
        <v>0</v>
      </c>
      <c r="AW138" s="5">
        <f t="shared" si="50"/>
        <v>0</v>
      </c>
      <c r="AX138" s="5">
        <f t="shared" si="50"/>
        <v>0</v>
      </c>
    </row>
    <row r="139" spans="1:50" ht="15" customHeight="1">
      <c r="A139" s="230"/>
      <c r="B139" s="27"/>
      <c r="C139" s="27"/>
      <c r="D139" s="52"/>
      <c r="E139" s="5" t="s">
        <v>380</v>
      </c>
      <c r="F139" s="5"/>
      <c r="G139" s="4" t="str">
        <f>CONCATENATE(Inputs!$I$9,"m nominal prices")</f>
        <v>£m nominal prices</v>
      </c>
      <c r="H139" s="17"/>
      <c r="I139" s="28"/>
      <c r="J139" s="28"/>
      <c r="K139" s="5">
        <f>($I$68*(K126-$I$118)*$I$132+($I$69-$I$70)*(K127-$I$118)*$I$133+$I$74*(K129-$I$118)*$I$135)*(K$16&lt;&gt;0)</f>
        <v>0</v>
      </c>
      <c r="L139" s="5">
        <f t="shared" ref="L139:AX139" si="51">($I$68*(L126-$I$118)*$I$132+($I$69-$I$70)*(L127-$I$118)*$I$133+$I$74*(L129-$I$118)*$I$135)*(L$16&lt;&gt;0)</f>
        <v>0</v>
      </c>
      <c r="M139" s="5">
        <f t="shared" si="51"/>
        <v>0</v>
      </c>
      <c r="N139" s="5">
        <f t="shared" si="51"/>
        <v>0</v>
      </c>
      <c r="O139" s="5">
        <f t="shared" si="51"/>
        <v>0</v>
      </c>
      <c r="P139" s="5">
        <f t="shared" si="51"/>
        <v>0</v>
      </c>
      <c r="Q139" s="5">
        <f t="shared" si="51"/>
        <v>0</v>
      </c>
      <c r="R139" s="5">
        <f>($I$68*(R126-$I$118)*$I$132+($I$69-$I$70)*(R127-$I$118)*$I$133+$I$74*(R129-$I$118)*$I$135)*(R$16&lt;&gt;0)</f>
        <v>0</v>
      </c>
      <c r="S139" s="5">
        <f t="shared" si="51"/>
        <v>0</v>
      </c>
      <c r="T139" s="5">
        <f t="shared" si="51"/>
        <v>0</v>
      </c>
      <c r="U139" s="5">
        <f t="shared" si="51"/>
        <v>0</v>
      </c>
      <c r="V139" s="5">
        <f t="shared" si="51"/>
        <v>0</v>
      </c>
      <c r="W139" s="5">
        <f t="shared" si="51"/>
        <v>0.2284216893133994</v>
      </c>
      <c r="X139" s="5">
        <f t="shared" si="51"/>
        <v>0.2284216893133994</v>
      </c>
      <c r="Y139" s="5">
        <f t="shared" si="51"/>
        <v>0.2284216893133994</v>
      </c>
      <c r="Z139" s="5">
        <f t="shared" si="51"/>
        <v>0.2284216893133994</v>
      </c>
      <c r="AA139" s="5">
        <f t="shared" si="51"/>
        <v>0.2297411657709941</v>
      </c>
      <c r="AB139" s="5">
        <f t="shared" si="51"/>
        <v>0.24400002426435646</v>
      </c>
      <c r="AC139" s="5">
        <f t="shared" si="51"/>
        <v>0.24400002426435646</v>
      </c>
      <c r="AD139" s="5">
        <f t="shared" si="51"/>
        <v>0.24400002426435646</v>
      </c>
      <c r="AE139" s="5">
        <f t="shared" si="51"/>
        <v>0.24400002426435646</v>
      </c>
      <c r="AF139" s="5">
        <f t="shared" si="51"/>
        <v>0.24531950072195116</v>
      </c>
      <c r="AG139" s="5">
        <f t="shared" si="51"/>
        <v>0.25957835921531358</v>
      </c>
      <c r="AH139" s="5">
        <f t="shared" si="51"/>
        <v>0.25957835921531358</v>
      </c>
      <c r="AI139" s="5">
        <f t="shared" si="51"/>
        <v>0.25957835921531358</v>
      </c>
      <c r="AJ139" s="5">
        <f t="shared" si="51"/>
        <v>0.25957835921531358</v>
      </c>
      <c r="AK139" s="5">
        <f t="shared" si="51"/>
        <v>0.26089783567290825</v>
      </c>
      <c r="AL139" s="5">
        <f t="shared" si="51"/>
        <v>0.27515669416627059</v>
      </c>
      <c r="AM139" s="5">
        <f t="shared" si="51"/>
        <v>0.27515669416627059</v>
      </c>
      <c r="AN139" s="5">
        <f t="shared" si="51"/>
        <v>0.27515669416627059</v>
      </c>
      <c r="AO139" s="5">
        <f t="shared" si="51"/>
        <v>0.27515669416627059</v>
      </c>
      <c r="AP139" s="5">
        <f t="shared" si="51"/>
        <v>0.27647617062386531</v>
      </c>
      <c r="AQ139" s="5">
        <f t="shared" si="51"/>
        <v>0.29073502911722771</v>
      </c>
      <c r="AR139" s="5">
        <f t="shared" si="51"/>
        <v>0.29073502911722771</v>
      </c>
      <c r="AS139" s="5">
        <f t="shared" si="51"/>
        <v>0.29073502911722771</v>
      </c>
      <c r="AT139" s="5">
        <f t="shared" si="51"/>
        <v>0</v>
      </c>
      <c r="AU139" s="5">
        <f t="shared" si="51"/>
        <v>0</v>
      </c>
      <c r="AV139" s="5">
        <f t="shared" si="51"/>
        <v>0</v>
      </c>
      <c r="AW139" s="5">
        <f t="shared" si="51"/>
        <v>0</v>
      </c>
      <c r="AX139" s="5">
        <f t="shared" si="51"/>
        <v>0</v>
      </c>
    </row>
    <row r="140" spans="1:50" ht="15" customHeight="1">
      <c r="A140" s="222"/>
      <c r="B140" s="5"/>
      <c r="C140" s="5"/>
      <c r="D140" s="5"/>
      <c r="E140" s="16" t="s">
        <v>381</v>
      </c>
      <c r="F140" s="5"/>
      <c r="G140" s="4" t="str">
        <f>CONCATENATE(Inputs!$I$9,"m nominal prices")</f>
        <v>£m nominal prices</v>
      </c>
      <c r="H140" s="5"/>
      <c r="I140" s="6"/>
      <c r="J140" s="6"/>
      <c r="K140" s="188">
        <f t="shared" ref="K140" si="52">SUM(K137:K139)</f>
        <v>0</v>
      </c>
      <c r="L140" s="188">
        <f t="shared" ref="L140:AX140" si="53">SUM(L137:L139)</f>
        <v>0</v>
      </c>
      <c r="M140" s="188">
        <f t="shared" si="53"/>
        <v>0</v>
      </c>
      <c r="N140" s="188">
        <f t="shared" si="53"/>
        <v>0</v>
      </c>
      <c r="O140" s="188">
        <f t="shared" si="53"/>
        <v>0</v>
      </c>
      <c r="P140" s="188">
        <f t="shared" si="53"/>
        <v>0</v>
      </c>
      <c r="Q140" s="188">
        <f t="shared" si="53"/>
        <v>0</v>
      </c>
      <c r="R140" s="188">
        <f t="shared" si="53"/>
        <v>0</v>
      </c>
      <c r="S140" s="188">
        <f t="shared" si="53"/>
        <v>0</v>
      </c>
      <c r="T140" s="188">
        <f t="shared" si="53"/>
        <v>0</v>
      </c>
      <c r="U140" s="188">
        <f t="shared" si="53"/>
        <v>0</v>
      </c>
      <c r="V140" s="188">
        <f>SUM(V137:V139)</f>
        <v>0</v>
      </c>
      <c r="W140" s="188">
        <f t="shared" si="53"/>
        <v>7.3649976315691266</v>
      </c>
      <c r="X140" s="188">
        <f t="shared" si="53"/>
        <v>7.2263259585664796</v>
      </c>
      <c r="Y140" s="188">
        <f t="shared" si="53"/>
        <v>7.0523648606610214</v>
      </c>
      <c r="Z140" s="188">
        <f t="shared" si="53"/>
        <v>6.8664788134724057</v>
      </c>
      <c r="AA140" s="188">
        <f t="shared" si="53"/>
        <v>6.6753135657417699</v>
      </c>
      <c r="AB140" s="188">
        <f t="shared" si="53"/>
        <v>6.659287548794155</v>
      </c>
      <c r="AC140" s="188">
        <f t="shared" si="53"/>
        <v>6.4229687872047725</v>
      </c>
      <c r="AD140" s="188">
        <f t="shared" si="53"/>
        <v>6.2161990337997937</v>
      </c>
      <c r="AE140" s="188">
        <f t="shared" si="53"/>
        <v>5.9519543939132999</v>
      </c>
      <c r="AF140" s="188">
        <f t="shared" si="53"/>
        <v>5.6557733429202086</v>
      </c>
      <c r="AG140" s="188">
        <f t="shared" si="53"/>
        <v>5.4980372906646897</v>
      </c>
      <c r="AH140" s="188">
        <f t="shared" si="53"/>
        <v>5.1409525146580854</v>
      </c>
      <c r="AI140" s="188">
        <f t="shared" si="53"/>
        <v>4.7838799152999503</v>
      </c>
      <c r="AJ140" s="188">
        <f t="shared" si="53"/>
        <v>4.3821167897893529</v>
      </c>
      <c r="AK140" s="188">
        <f t="shared" si="53"/>
        <v>3.9965162934305116</v>
      </c>
      <c r="AL140" s="188">
        <f t="shared" si="53"/>
        <v>3.7600693781793235</v>
      </c>
      <c r="AM140" s="188">
        <f t="shared" si="53"/>
        <v>3.3990379207372627</v>
      </c>
      <c r="AN140" s="188">
        <f t="shared" si="53"/>
        <v>2.9570862676681609</v>
      </c>
      <c r="AO140" s="188">
        <f t="shared" si="53"/>
        <v>2.5016077958520353</v>
      </c>
      <c r="AP140" s="188">
        <f t="shared" si="53"/>
        <v>2.018978565897211</v>
      </c>
      <c r="AQ140" s="188">
        <f t="shared" si="53"/>
        <v>1.5732130173614685</v>
      </c>
      <c r="AR140" s="188">
        <f t="shared" si="53"/>
        <v>1.0177736768885324</v>
      </c>
      <c r="AS140" s="188">
        <f t="shared" si="53"/>
        <v>0.45155635508368397</v>
      </c>
      <c r="AT140" s="188">
        <f t="shared" si="53"/>
        <v>0</v>
      </c>
      <c r="AU140" s="188">
        <f t="shared" si="53"/>
        <v>0</v>
      </c>
      <c r="AV140" s="188">
        <f t="shared" si="53"/>
        <v>0</v>
      </c>
      <c r="AW140" s="188">
        <f t="shared" si="53"/>
        <v>0</v>
      </c>
      <c r="AX140" s="188">
        <f t="shared" si="53"/>
        <v>0</v>
      </c>
    </row>
    <row r="141" spans="1:50" ht="15" customHeight="1">
      <c r="A141" s="220"/>
      <c r="B141" s="5"/>
      <c r="C141" s="5"/>
      <c r="D141" s="5"/>
      <c r="E141" s="5"/>
      <c r="F141" s="5"/>
      <c r="G141" s="5"/>
      <c r="H141" s="5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5"/>
      <c r="T141" s="5"/>
      <c r="U141" s="5"/>
      <c r="V141" s="5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</row>
    <row r="142" spans="1:50" ht="15" customHeight="1">
      <c r="A142" s="220"/>
      <c r="B142" s="5"/>
      <c r="C142" s="10" t="s">
        <v>387</v>
      </c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spans="1:50" ht="15" customHeight="1">
      <c r="A143" s="230"/>
      <c r="B143" s="27"/>
      <c r="C143" s="27"/>
      <c r="D143" s="52"/>
      <c r="E143" s="17"/>
      <c r="F143" s="29"/>
      <c r="G143" s="17"/>
      <c r="H143" s="17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28"/>
      <c r="AI143" s="28"/>
      <c r="AJ143" s="28"/>
      <c r="AK143" s="28"/>
      <c r="AL143" s="28"/>
      <c r="AM143" s="28"/>
      <c r="AN143" s="28"/>
      <c r="AO143" s="28"/>
      <c r="AP143" s="28"/>
      <c r="AQ143" s="28"/>
      <c r="AR143" s="28"/>
      <c r="AS143" s="28"/>
      <c r="AT143" s="28"/>
      <c r="AU143" s="28"/>
      <c r="AV143" s="28"/>
      <c r="AW143" s="28"/>
      <c r="AX143" s="28"/>
    </row>
    <row r="144" spans="1:50" ht="15" customHeight="1">
      <c r="A144" s="230"/>
      <c r="B144" s="5"/>
      <c r="C144" s="5"/>
      <c r="D144" s="5"/>
      <c r="E144" s="5" t="s">
        <v>388</v>
      </c>
      <c r="F144" s="5"/>
      <c r="G144" s="4" t="str">
        <f>CONCATENATE(Inputs!$I$9,"m nominal prices")</f>
        <v>£m nominal prices</v>
      </c>
      <c r="H144" s="5"/>
      <c r="I144" s="24"/>
      <c r="J144" s="6"/>
      <c r="K144" s="5">
        <f>-K65</f>
        <v>0</v>
      </c>
      <c r="L144" s="5">
        <f t="shared" ref="L144:AX144" si="54">-L65</f>
        <v>0</v>
      </c>
      <c r="M144" s="5">
        <f t="shared" si="54"/>
        <v>0</v>
      </c>
      <c r="N144" s="5">
        <f t="shared" si="54"/>
        <v>0</v>
      </c>
      <c r="O144" s="5">
        <f t="shared" si="54"/>
        <v>0</v>
      </c>
      <c r="P144" s="5">
        <f t="shared" si="54"/>
        <v>0</v>
      </c>
      <c r="Q144" s="5">
        <f t="shared" si="54"/>
        <v>0</v>
      </c>
      <c r="R144" s="5">
        <f t="shared" si="54"/>
        <v>0</v>
      </c>
      <c r="S144" s="5">
        <f t="shared" si="54"/>
        <v>0</v>
      </c>
      <c r="T144" s="5">
        <f t="shared" si="54"/>
        <v>0</v>
      </c>
      <c r="U144" s="5">
        <f t="shared" si="54"/>
        <v>0</v>
      </c>
      <c r="V144" s="5">
        <f t="shared" si="54"/>
        <v>0</v>
      </c>
      <c r="W144" s="5">
        <f t="shared" si="54"/>
        <v>4.7465461688603821</v>
      </c>
      <c r="X144" s="5">
        <f t="shared" si="54"/>
        <v>5.9544560537474984</v>
      </c>
      <c r="Y144" s="5">
        <f t="shared" si="54"/>
        <v>6.3626311417681309</v>
      </c>
      <c r="Z144" s="5">
        <f t="shared" si="54"/>
        <v>7.2262660101949017</v>
      </c>
      <c r="AA144" s="5">
        <f t="shared" si="54"/>
        <v>7.6662465580299974</v>
      </c>
      <c r="AB144" s="5">
        <f t="shared" si="54"/>
        <v>7.8211674843802959</v>
      </c>
      <c r="AC144" s="5">
        <f t="shared" si="54"/>
        <v>6.8432182921400573</v>
      </c>
      <c r="AD144" s="5">
        <f t="shared" si="54"/>
        <v>8.7453978325810589</v>
      </c>
      <c r="AE144" s="5">
        <f t="shared" si="54"/>
        <v>10.346576879988426</v>
      </c>
      <c r="AF144" s="5">
        <f t="shared" si="54"/>
        <v>10.745817057199675</v>
      </c>
      <c r="AG144" s="5">
        <f t="shared" si="54"/>
        <v>11.439422669883196</v>
      </c>
      <c r="AH144" s="5">
        <f t="shared" si="54"/>
        <v>11.439032583724652</v>
      </c>
      <c r="AI144" s="5">
        <f t="shared" si="54"/>
        <v>12.870720105424059</v>
      </c>
      <c r="AJ144" s="5">
        <f t="shared" si="54"/>
        <v>12.719051913523449</v>
      </c>
      <c r="AK144" s="5">
        <f t="shared" si="54"/>
        <v>11.173142196634419</v>
      </c>
      <c r="AL144" s="5">
        <f t="shared" si="54"/>
        <v>11.206839207943634</v>
      </c>
      <c r="AM144" s="5">
        <f t="shared" si="54"/>
        <v>13.718696838003833</v>
      </c>
      <c r="AN144" s="5">
        <f t="shared" si="54"/>
        <v>14.138585131857621</v>
      </c>
      <c r="AO144" s="5">
        <f t="shared" si="54"/>
        <v>15.164171654416537</v>
      </c>
      <c r="AP144" s="5">
        <f t="shared" si="54"/>
        <v>15.336392481799345</v>
      </c>
      <c r="AQ144" s="5">
        <f t="shared" si="54"/>
        <v>16.72240453082458</v>
      </c>
      <c r="AR144" s="5">
        <f t="shared" si="54"/>
        <v>17.046893184625095</v>
      </c>
      <c r="AS144" s="5">
        <f t="shared" si="54"/>
        <v>4.8417875257175895</v>
      </c>
      <c r="AT144" s="5">
        <f t="shared" si="54"/>
        <v>0</v>
      </c>
      <c r="AU144" s="5">
        <f t="shared" si="54"/>
        <v>0</v>
      </c>
      <c r="AV144" s="5">
        <f t="shared" si="54"/>
        <v>0</v>
      </c>
      <c r="AW144" s="5">
        <f t="shared" si="54"/>
        <v>0</v>
      </c>
      <c r="AX144" s="5">
        <f t="shared" si="54"/>
        <v>0</v>
      </c>
    </row>
    <row r="145" spans="1:52" ht="15" customHeight="1">
      <c r="A145" s="230"/>
      <c r="B145" s="5"/>
      <c r="C145" s="5"/>
      <c r="D145" s="5"/>
      <c r="E145" s="5" t="s">
        <v>381</v>
      </c>
      <c r="F145" s="5"/>
      <c r="G145" s="4" t="str">
        <f>CONCATENATE(Inputs!$I$9,"m nominal prices")</f>
        <v>£m nominal prices</v>
      </c>
      <c r="H145" s="5"/>
      <c r="I145" s="24"/>
      <c r="J145" s="6"/>
      <c r="K145" s="5">
        <f>K140</f>
        <v>0</v>
      </c>
      <c r="L145" s="5">
        <f t="shared" ref="L145:AX145" si="55">L140</f>
        <v>0</v>
      </c>
      <c r="M145" s="5">
        <f t="shared" si="55"/>
        <v>0</v>
      </c>
      <c r="N145" s="5">
        <f t="shared" si="55"/>
        <v>0</v>
      </c>
      <c r="O145" s="5">
        <f t="shared" si="55"/>
        <v>0</v>
      </c>
      <c r="P145" s="5">
        <f t="shared" si="55"/>
        <v>0</v>
      </c>
      <c r="Q145" s="5">
        <f t="shared" si="55"/>
        <v>0</v>
      </c>
      <c r="R145" s="5">
        <f t="shared" si="55"/>
        <v>0</v>
      </c>
      <c r="S145" s="5">
        <f t="shared" si="55"/>
        <v>0</v>
      </c>
      <c r="T145" s="5">
        <f t="shared" si="55"/>
        <v>0</v>
      </c>
      <c r="U145" s="5">
        <f t="shared" si="55"/>
        <v>0</v>
      </c>
      <c r="V145" s="5">
        <f t="shared" si="55"/>
        <v>0</v>
      </c>
      <c r="W145" s="5">
        <f t="shared" si="55"/>
        <v>7.3649976315691266</v>
      </c>
      <c r="X145" s="5">
        <f t="shared" si="55"/>
        <v>7.2263259585664796</v>
      </c>
      <c r="Y145" s="5">
        <f t="shared" si="55"/>
        <v>7.0523648606610214</v>
      </c>
      <c r="Z145" s="5">
        <f t="shared" si="55"/>
        <v>6.8664788134724057</v>
      </c>
      <c r="AA145" s="5">
        <f t="shared" si="55"/>
        <v>6.6753135657417699</v>
      </c>
      <c r="AB145" s="5">
        <f t="shared" si="55"/>
        <v>6.659287548794155</v>
      </c>
      <c r="AC145" s="5">
        <f t="shared" si="55"/>
        <v>6.4229687872047725</v>
      </c>
      <c r="AD145" s="5">
        <f t="shared" si="55"/>
        <v>6.2161990337997937</v>
      </c>
      <c r="AE145" s="5">
        <f t="shared" si="55"/>
        <v>5.9519543939132999</v>
      </c>
      <c r="AF145" s="5">
        <f t="shared" si="55"/>
        <v>5.6557733429202086</v>
      </c>
      <c r="AG145" s="5">
        <f t="shared" si="55"/>
        <v>5.4980372906646897</v>
      </c>
      <c r="AH145" s="5">
        <f t="shared" si="55"/>
        <v>5.1409525146580854</v>
      </c>
      <c r="AI145" s="5">
        <f t="shared" si="55"/>
        <v>4.7838799152999503</v>
      </c>
      <c r="AJ145" s="5">
        <f t="shared" si="55"/>
        <v>4.3821167897893529</v>
      </c>
      <c r="AK145" s="5">
        <f t="shared" si="55"/>
        <v>3.9965162934305116</v>
      </c>
      <c r="AL145" s="5">
        <f t="shared" si="55"/>
        <v>3.7600693781793235</v>
      </c>
      <c r="AM145" s="5">
        <f t="shared" si="55"/>
        <v>3.3990379207372627</v>
      </c>
      <c r="AN145" s="5">
        <f t="shared" si="55"/>
        <v>2.9570862676681609</v>
      </c>
      <c r="AO145" s="5">
        <f t="shared" si="55"/>
        <v>2.5016077958520353</v>
      </c>
      <c r="AP145" s="5">
        <f t="shared" si="55"/>
        <v>2.018978565897211</v>
      </c>
      <c r="AQ145" s="5">
        <f t="shared" si="55"/>
        <v>1.5732130173614685</v>
      </c>
      <c r="AR145" s="5">
        <f t="shared" si="55"/>
        <v>1.0177736768885324</v>
      </c>
      <c r="AS145" s="5">
        <f t="shared" si="55"/>
        <v>0.45155635508368397</v>
      </c>
      <c r="AT145" s="5">
        <f t="shared" si="55"/>
        <v>0</v>
      </c>
      <c r="AU145" s="5">
        <f t="shared" si="55"/>
        <v>0</v>
      </c>
      <c r="AV145" s="5">
        <f t="shared" si="55"/>
        <v>0</v>
      </c>
      <c r="AW145" s="5">
        <f t="shared" si="55"/>
        <v>0</v>
      </c>
      <c r="AX145" s="5">
        <f t="shared" si="55"/>
        <v>0</v>
      </c>
    </row>
    <row r="146" spans="1:52" ht="15" customHeight="1">
      <c r="A146" s="222"/>
      <c r="B146" s="5"/>
      <c r="C146" s="5"/>
      <c r="D146" s="5"/>
      <c r="E146" s="16" t="s">
        <v>389</v>
      </c>
      <c r="F146" s="5"/>
      <c r="G146" s="4" t="str">
        <f>CONCATENATE(Inputs!$I$9,"m nominal prices")</f>
        <v>£m nominal prices</v>
      </c>
      <c r="H146" s="5"/>
      <c r="I146" s="6"/>
      <c r="J146" s="6"/>
      <c r="K146" s="59">
        <f>SUM(K144:K145)</f>
        <v>0</v>
      </c>
      <c r="L146" s="59">
        <f t="shared" ref="L146:AX146" si="56">SUM(L144:L145)</f>
        <v>0</v>
      </c>
      <c r="M146" s="59">
        <f t="shared" si="56"/>
        <v>0</v>
      </c>
      <c r="N146" s="59">
        <f t="shared" si="56"/>
        <v>0</v>
      </c>
      <c r="O146" s="59">
        <f t="shared" si="56"/>
        <v>0</v>
      </c>
      <c r="P146" s="59">
        <f t="shared" si="56"/>
        <v>0</v>
      </c>
      <c r="Q146" s="59">
        <f t="shared" si="56"/>
        <v>0</v>
      </c>
      <c r="R146" s="59">
        <f t="shared" si="56"/>
        <v>0</v>
      </c>
      <c r="S146" s="59">
        <f t="shared" si="56"/>
        <v>0</v>
      </c>
      <c r="T146" s="59">
        <f t="shared" si="56"/>
        <v>0</v>
      </c>
      <c r="U146" s="59">
        <f t="shared" si="56"/>
        <v>0</v>
      </c>
      <c r="V146" s="59">
        <f t="shared" si="56"/>
        <v>0</v>
      </c>
      <c r="W146" s="59">
        <f t="shared" si="56"/>
        <v>12.111543800429509</v>
      </c>
      <c r="X146" s="59">
        <f t="shared" si="56"/>
        <v>13.180782012313978</v>
      </c>
      <c r="Y146" s="59">
        <f t="shared" si="56"/>
        <v>13.414996002429152</v>
      </c>
      <c r="Z146" s="59">
        <f t="shared" si="56"/>
        <v>14.092744823667307</v>
      </c>
      <c r="AA146" s="59">
        <f t="shared" si="56"/>
        <v>14.341560123771767</v>
      </c>
      <c r="AB146" s="59">
        <f t="shared" si="56"/>
        <v>14.480455033174451</v>
      </c>
      <c r="AC146" s="59">
        <f t="shared" si="56"/>
        <v>13.26618707934483</v>
      </c>
      <c r="AD146" s="59">
        <f t="shared" si="56"/>
        <v>14.961596866380852</v>
      </c>
      <c r="AE146" s="59">
        <f t="shared" si="56"/>
        <v>16.298531273901727</v>
      </c>
      <c r="AF146" s="59">
        <f t="shared" si="56"/>
        <v>16.401590400119883</v>
      </c>
      <c r="AG146" s="59">
        <f t="shared" si="56"/>
        <v>16.937459960547887</v>
      </c>
      <c r="AH146" s="59">
        <f t="shared" si="56"/>
        <v>16.579985098382735</v>
      </c>
      <c r="AI146" s="59">
        <f t="shared" si="56"/>
        <v>17.654600020724011</v>
      </c>
      <c r="AJ146" s="59">
        <f t="shared" si="56"/>
        <v>17.101168703312801</v>
      </c>
      <c r="AK146" s="59">
        <f t="shared" si="56"/>
        <v>15.169658490064931</v>
      </c>
      <c r="AL146" s="59">
        <f t="shared" si="56"/>
        <v>14.966908586122958</v>
      </c>
      <c r="AM146" s="59">
        <f t="shared" si="56"/>
        <v>17.117734758741097</v>
      </c>
      <c r="AN146" s="59">
        <f t="shared" si="56"/>
        <v>17.095671399525781</v>
      </c>
      <c r="AO146" s="59">
        <f t="shared" si="56"/>
        <v>17.665779450268573</v>
      </c>
      <c r="AP146" s="59">
        <f t="shared" si="56"/>
        <v>17.355371047696558</v>
      </c>
      <c r="AQ146" s="59">
        <f t="shared" si="56"/>
        <v>18.295617548186048</v>
      </c>
      <c r="AR146" s="59">
        <f t="shared" si="56"/>
        <v>18.064666861513626</v>
      </c>
      <c r="AS146" s="59">
        <f t="shared" si="56"/>
        <v>5.2933438808012738</v>
      </c>
      <c r="AT146" s="59">
        <f t="shared" si="56"/>
        <v>0</v>
      </c>
      <c r="AU146" s="59">
        <f t="shared" si="56"/>
        <v>0</v>
      </c>
      <c r="AV146" s="59">
        <f t="shared" si="56"/>
        <v>0</v>
      </c>
      <c r="AW146" s="59">
        <f t="shared" si="56"/>
        <v>0</v>
      </c>
      <c r="AX146" s="59">
        <f t="shared" si="56"/>
        <v>0</v>
      </c>
    </row>
    <row r="147" spans="1:52" ht="15" customHeight="1">
      <c r="A147" s="220"/>
      <c r="B147" s="5"/>
      <c r="C147" s="5"/>
      <c r="D147" s="5"/>
      <c r="E147" s="5"/>
      <c r="F147" s="5"/>
      <c r="G147" s="5"/>
      <c r="H147" s="5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5"/>
      <c r="T147" s="5"/>
      <c r="U147" s="5"/>
      <c r="V147" s="5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</row>
    <row r="148" spans="1:52" ht="15" customHeight="1">
      <c r="A148" s="220"/>
      <c r="B148" s="5"/>
      <c r="C148" s="5"/>
      <c r="D148" s="5"/>
      <c r="E148" s="17" t="s">
        <v>194</v>
      </c>
      <c r="F148" s="5"/>
      <c r="G148" s="16" t="str">
        <f>Inputs!G87</f>
        <v>DSCRx</v>
      </c>
      <c r="H148" s="17"/>
      <c r="I148" s="192">
        <f>Inputs!I87</f>
        <v>1.2</v>
      </c>
      <c r="J148" s="6"/>
      <c r="K148" s="6"/>
      <c r="L148" s="6"/>
      <c r="M148" s="6"/>
      <c r="N148" s="6"/>
      <c r="O148" s="6"/>
      <c r="P148" s="6"/>
      <c r="Q148" s="6"/>
      <c r="R148" s="6"/>
      <c r="S148" s="5"/>
      <c r="T148" s="5"/>
      <c r="U148" s="5"/>
      <c r="V148" s="5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</row>
    <row r="149" spans="1:52" ht="15" customHeight="1">
      <c r="A149" s="220"/>
      <c r="B149" s="5"/>
      <c r="C149" s="5"/>
      <c r="D149" s="5"/>
      <c r="E149" s="5"/>
      <c r="F149" s="5"/>
      <c r="G149" s="5"/>
      <c r="H149" s="5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5"/>
      <c r="T149" s="5"/>
      <c r="U149" s="5"/>
      <c r="V149" s="5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</row>
    <row r="150" spans="1:52" ht="15" customHeight="1">
      <c r="A150" s="230"/>
      <c r="B150" s="5"/>
      <c r="C150" s="5"/>
      <c r="D150" s="5"/>
      <c r="E150" s="5" t="s">
        <v>390</v>
      </c>
      <c r="F150" s="5"/>
      <c r="G150" s="4" t="str">
        <f>CONCATENATE(Inputs!$I$9,"m nominal prices")</f>
        <v>£m nominal prices</v>
      </c>
      <c r="H150" s="5"/>
      <c r="I150" s="24"/>
      <c r="J150" s="6"/>
      <c r="K150" s="5">
        <f>K146*$I$148</f>
        <v>0</v>
      </c>
      <c r="L150" s="5">
        <f t="shared" ref="L150:AX150" si="57">L146*$I$148</f>
        <v>0</v>
      </c>
      <c r="M150" s="5">
        <f t="shared" si="57"/>
        <v>0</v>
      </c>
      <c r="N150" s="5">
        <f t="shared" si="57"/>
        <v>0</v>
      </c>
      <c r="O150" s="5">
        <f t="shared" si="57"/>
        <v>0</v>
      </c>
      <c r="P150" s="5">
        <f t="shared" si="57"/>
        <v>0</v>
      </c>
      <c r="Q150" s="5">
        <f t="shared" si="57"/>
        <v>0</v>
      </c>
      <c r="R150" s="5">
        <f t="shared" si="57"/>
        <v>0</v>
      </c>
      <c r="S150" s="5">
        <f t="shared" si="57"/>
        <v>0</v>
      </c>
      <c r="T150" s="5">
        <f t="shared" si="57"/>
        <v>0</v>
      </c>
      <c r="U150" s="5">
        <f t="shared" si="57"/>
        <v>0</v>
      </c>
      <c r="V150" s="5">
        <f t="shared" si="57"/>
        <v>0</v>
      </c>
      <c r="W150" s="5">
        <f t="shared" si="57"/>
        <v>14.53385256051541</v>
      </c>
      <c r="X150" s="5">
        <f t="shared" si="57"/>
        <v>15.816938414776773</v>
      </c>
      <c r="Y150" s="5">
        <f t="shared" si="57"/>
        <v>16.097995202914984</v>
      </c>
      <c r="Z150" s="5">
        <f t="shared" si="57"/>
        <v>16.911293788400766</v>
      </c>
      <c r="AA150" s="5">
        <f t="shared" si="57"/>
        <v>17.20987214852612</v>
      </c>
      <c r="AB150" s="5">
        <f t="shared" si="57"/>
        <v>17.376546039809341</v>
      </c>
      <c r="AC150" s="5">
        <f t="shared" si="57"/>
        <v>15.919424495213795</v>
      </c>
      <c r="AD150" s="5">
        <f t="shared" si="57"/>
        <v>17.953916239657023</v>
      </c>
      <c r="AE150" s="5">
        <f t="shared" si="57"/>
        <v>19.558237528682071</v>
      </c>
      <c r="AF150" s="5">
        <f t="shared" si="57"/>
        <v>19.681908480143857</v>
      </c>
      <c r="AG150" s="5">
        <f t="shared" si="57"/>
        <v>20.324951952657464</v>
      </c>
      <c r="AH150" s="5">
        <f t="shared" si="57"/>
        <v>19.895982118059283</v>
      </c>
      <c r="AI150" s="5">
        <f t="shared" si="57"/>
        <v>21.185520024868811</v>
      </c>
      <c r="AJ150" s="5">
        <f t="shared" si="57"/>
        <v>20.521402443975362</v>
      </c>
      <c r="AK150" s="5">
        <f t="shared" si="57"/>
        <v>18.203590188077918</v>
      </c>
      <c r="AL150" s="5">
        <f t="shared" si="57"/>
        <v>17.960290303347549</v>
      </c>
      <c r="AM150" s="5">
        <f t="shared" si="57"/>
        <v>20.541281710489315</v>
      </c>
      <c r="AN150" s="5">
        <f t="shared" si="57"/>
        <v>20.514805679430935</v>
      </c>
      <c r="AO150" s="5">
        <f t="shared" si="57"/>
        <v>21.198935340322286</v>
      </c>
      <c r="AP150" s="5">
        <f t="shared" si="57"/>
        <v>20.826445257235868</v>
      </c>
      <c r="AQ150" s="5">
        <f t="shared" si="57"/>
        <v>21.954741057823256</v>
      </c>
      <c r="AR150" s="5">
        <f t="shared" si="57"/>
        <v>21.677600233816349</v>
      </c>
      <c r="AS150" s="5">
        <f t="shared" si="57"/>
        <v>6.3520126569615281</v>
      </c>
      <c r="AT150" s="5">
        <f t="shared" si="57"/>
        <v>0</v>
      </c>
      <c r="AU150" s="5">
        <f t="shared" si="57"/>
        <v>0</v>
      </c>
      <c r="AV150" s="5">
        <f t="shared" si="57"/>
        <v>0</v>
      </c>
      <c r="AW150" s="5">
        <f t="shared" si="57"/>
        <v>0</v>
      </c>
      <c r="AX150" s="5">
        <f t="shared" si="57"/>
        <v>0</v>
      </c>
    </row>
    <row r="151" spans="1:52" ht="15" customHeight="1">
      <c r="A151" s="230"/>
      <c r="B151" s="5"/>
      <c r="C151" s="5"/>
      <c r="D151" s="5"/>
      <c r="E151" s="5" t="s">
        <v>390</v>
      </c>
      <c r="F151" s="5"/>
      <c r="G151" s="5" t="str">
        <f>Inputs!$I$11</f>
        <v>£m 2020 prices</v>
      </c>
      <c r="H151" s="43"/>
      <c r="I151" s="43"/>
      <c r="J151" s="6"/>
      <c r="K151" s="43">
        <f>K150/Inputs!K$32</f>
        <v>0</v>
      </c>
      <c r="L151" s="43">
        <f>L150/Inputs!L$32</f>
        <v>0</v>
      </c>
      <c r="M151" s="43">
        <f>M150/Inputs!M$32</f>
        <v>0</v>
      </c>
      <c r="N151" s="43">
        <f>N150/Inputs!N$32</f>
        <v>0</v>
      </c>
      <c r="O151" s="43">
        <f>O150/Inputs!O$32</f>
        <v>0</v>
      </c>
      <c r="P151" s="43">
        <f>P150/Inputs!P$32</f>
        <v>0</v>
      </c>
      <c r="Q151" s="43">
        <f>Q150/Inputs!Q$32</f>
        <v>0</v>
      </c>
      <c r="R151" s="43">
        <f>R150/Inputs!R$32</f>
        <v>0</v>
      </c>
      <c r="S151" s="43">
        <f>S150/Inputs!S$32</f>
        <v>0</v>
      </c>
      <c r="T151" s="43">
        <f>T150/Inputs!T$32</f>
        <v>0</v>
      </c>
      <c r="U151" s="43">
        <f>U150/Inputs!U$32</f>
        <v>0</v>
      </c>
      <c r="V151" s="43">
        <f>V150/Inputs!V$32</f>
        <v>0</v>
      </c>
      <c r="W151" s="43">
        <f>W150/Inputs!W$32</f>
        <v>10.578277093337638</v>
      </c>
      <c r="X151" s="43">
        <f>X150/Inputs!X$32</f>
        <v>11.039657249724392</v>
      </c>
      <c r="Y151" s="43">
        <f>Y150/Inputs!Y$32</f>
        <v>10.774669001330492</v>
      </c>
      <c r="Z151" s="43">
        <f>Z150/Inputs!Z$32</f>
        <v>10.854453329215071</v>
      </c>
      <c r="AA151" s="43">
        <f>AA150/Inputs!AA$32</f>
        <v>10.592726102734089</v>
      </c>
      <c r="AB151" s="43">
        <f>AB150/Inputs!AB$32</f>
        <v>10.256342889409076</v>
      </c>
      <c r="AC151" s="43">
        <f>AC150/Inputs!AC$32</f>
        <v>9.0106354052670596</v>
      </c>
      <c r="AD151" s="43">
        <f>AD150/Inputs!AD$32</f>
        <v>9.7450983412701326</v>
      </c>
      <c r="AE151" s="43">
        <f>AE150/Inputs!AE$32</f>
        <v>10.18018628318986</v>
      </c>
      <c r="AF151" s="43">
        <f>AF150/Inputs!AF$32</f>
        <v>9.8240868769545742</v>
      </c>
      <c r="AG151" s="43">
        <f>AG150/Inputs!AG$32</f>
        <v>9.7286704315454919</v>
      </c>
      <c r="AH151" s="43">
        <f>AH150/Inputs!AH$32</f>
        <v>9.1324714523326307</v>
      </c>
      <c r="AI151" s="43">
        <f>AI150/Inputs!AI$32</f>
        <v>9.3252621110008853</v>
      </c>
      <c r="AJ151" s="43">
        <f>AJ150/Inputs!AJ$32</f>
        <v>8.6621945528997131</v>
      </c>
      <c r="AK151" s="43">
        <f>AK150/Inputs!AK$32</f>
        <v>7.3684632815110493</v>
      </c>
      <c r="AL151" s="43">
        <f>AL150/Inputs!AL$32</f>
        <v>6.9715958634917339</v>
      </c>
      <c r="AM151" s="43">
        <f>AM150/Inputs!AM$32</f>
        <v>7.6461949648489442</v>
      </c>
      <c r="AN151" s="43">
        <f>AN150/Inputs!AN$32</f>
        <v>7.3229187239086295</v>
      </c>
      <c r="AO151" s="43">
        <f>AO150/Inputs!AO$32</f>
        <v>7.2565440192393567</v>
      </c>
      <c r="AP151" s="43">
        <f>AP150/Inputs!AP$32</f>
        <v>6.8364384880315514</v>
      </c>
      <c r="AQ151" s="43">
        <f>AQ150/Inputs!AQ$32</f>
        <v>6.911018541730793</v>
      </c>
      <c r="AR151" s="43">
        <f>AR150/Inputs!AR$32</f>
        <v>6.5437081183281034</v>
      </c>
      <c r="AS151" s="43">
        <f>AS150/Inputs!AS$32</f>
        <v>1.8387515367632896</v>
      </c>
      <c r="AT151" s="43">
        <f>AT150/Inputs!AT$32</f>
        <v>0</v>
      </c>
      <c r="AU151" s="43">
        <f>AU150/Inputs!AU$32</f>
        <v>0</v>
      </c>
      <c r="AV151" s="43">
        <f>AV150/Inputs!AV$32</f>
        <v>0</v>
      </c>
      <c r="AW151" s="43">
        <f>AW150/Inputs!AW$32</f>
        <v>0</v>
      </c>
      <c r="AX151" s="43">
        <f>AX150/Inputs!AX$32</f>
        <v>0</v>
      </c>
    </row>
    <row r="152" spans="1:52" ht="15" customHeight="1">
      <c r="A152" s="220"/>
      <c r="B152" s="5"/>
      <c r="C152" s="5"/>
      <c r="D152" s="5"/>
      <c r="E152" s="5"/>
      <c r="F152" s="5"/>
      <c r="G152" s="5"/>
      <c r="H152" s="5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5"/>
      <c r="T152" s="5"/>
      <c r="U152" s="5"/>
      <c r="V152" s="5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</row>
    <row r="153" spans="1:52" ht="15" customHeight="1">
      <c r="A153" s="221"/>
      <c r="B153" s="5"/>
      <c r="C153" s="10" t="s">
        <v>391</v>
      </c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Z153" s="4"/>
    </row>
    <row r="154" spans="1:52" ht="15" customHeight="1">
      <c r="A154" s="221"/>
      <c r="B154" s="5"/>
      <c r="C154" s="197"/>
      <c r="D154" s="5"/>
      <c r="E154" s="5"/>
      <c r="F154" s="5"/>
      <c r="G154" s="5"/>
      <c r="H154" s="5"/>
      <c r="I154" s="24"/>
      <c r="J154" s="6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  <c r="V154" s="43"/>
      <c r="W154" s="43"/>
      <c r="X154" s="43"/>
      <c r="Y154" s="43"/>
      <c r="Z154" s="43"/>
      <c r="AA154" s="43"/>
      <c r="AB154" s="43"/>
      <c r="AC154" s="43"/>
      <c r="AD154" s="43"/>
      <c r="AE154" s="43"/>
      <c r="AF154" s="43"/>
      <c r="AG154" s="43"/>
      <c r="AH154" s="43"/>
      <c r="AI154" s="43"/>
      <c r="AJ154" s="43"/>
      <c r="AK154" s="43"/>
      <c r="AL154" s="43"/>
      <c r="AM154" s="43"/>
      <c r="AN154" s="43"/>
      <c r="AO154" s="43"/>
      <c r="AP154" s="43"/>
      <c r="AQ154" s="43"/>
      <c r="AR154" s="43"/>
      <c r="AS154" s="43"/>
      <c r="AT154" s="43"/>
      <c r="AU154" s="43"/>
      <c r="AV154" s="43"/>
      <c r="AW154" s="43"/>
      <c r="AX154" s="43"/>
      <c r="AZ154" s="4"/>
    </row>
    <row r="155" spans="1:52" ht="15" customHeight="1">
      <c r="A155" s="221"/>
      <c r="B155" s="5"/>
      <c r="C155" s="5"/>
      <c r="D155" s="5"/>
      <c r="E155" s="5" t="s">
        <v>392</v>
      </c>
      <c r="F155" s="5"/>
      <c r="G155" s="5"/>
      <c r="H155" s="5"/>
      <c r="I155" s="198"/>
      <c r="J155" s="6"/>
      <c r="K155" s="43">
        <f>Inputs!$I$100*Finance!K12*(Inputs!$I$127=2)</f>
        <v>0</v>
      </c>
      <c r="L155" s="43">
        <f>Inputs!$I$100*Finance!L12*(Inputs!$I$127=2)</f>
        <v>0</v>
      </c>
      <c r="M155" s="43">
        <f>Inputs!$I$100*Finance!M12*(Inputs!$I$127=2)</f>
        <v>0</v>
      </c>
      <c r="N155" s="43">
        <f>Inputs!$I$100*Finance!N12*(Inputs!$I$127=2)</f>
        <v>0</v>
      </c>
      <c r="O155" s="43">
        <f>Inputs!$I$100*Finance!O12*(Inputs!$I$127=2)</f>
        <v>0</v>
      </c>
      <c r="P155" s="43">
        <f>Inputs!$I$100*Finance!P12*(Inputs!$I$127=2)</f>
        <v>0</v>
      </c>
      <c r="Q155" s="43">
        <f>Inputs!$I$100*Finance!Q12*(Inputs!$I$127=2)</f>
        <v>0</v>
      </c>
      <c r="R155" s="43">
        <f>Inputs!$I$100*Finance!R12*(Inputs!$I$127=2)</f>
        <v>0</v>
      </c>
      <c r="S155" s="43">
        <f>Inputs!$I$100*Finance!S12*(Inputs!$I$127=2)</f>
        <v>0</v>
      </c>
      <c r="T155" s="43">
        <f>Inputs!$I$100*Finance!T12*(Inputs!$I$127=2)</f>
        <v>0</v>
      </c>
      <c r="U155" s="43">
        <f>Inputs!$I$100*Finance!U12*(Inputs!$I$127=2)</f>
        <v>0</v>
      </c>
      <c r="V155" s="43">
        <f>Inputs!$I$100*Finance!V12*(Inputs!$I$127=2)</f>
        <v>0</v>
      </c>
      <c r="W155" s="43">
        <f>Inputs!$I$100*Finance!W12*(Inputs!$I$127=2)</f>
        <v>0</v>
      </c>
      <c r="X155" s="43">
        <f>Inputs!$I$100*Finance!X12*(Inputs!$I$127=2)</f>
        <v>0</v>
      </c>
      <c r="Y155" s="43">
        <f>Inputs!$I$100*Finance!Y12*(Inputs!$I$127=2)</f>
        <v>0</v>
      </c>
      <c r="Z155" s="43">
        <f>Inputs!$I$100*Finance!Z12*(Inputs!$I$127=2)</f>
        <v>0</v>
      </c>
      <c r="AA155" s="43">
        <f>Inputs!$I$100*Finance!AA12*(Inputs!$I$127=2)</f>
        <v>0</v>
      </c>
      <c r="AB155" s="43">
        <f>Inputs!$I$100*Finance!AB12*(Inputs!$I$127=2)</f>
        <v>0</v>
      </c>
      <c r="AC155" s="43">
        <f>Inputs!$I$100*Finance!AC12*(Inputs!$I$127=2)</f>
        <v>0</v>
      </c>
      <c r="AD155" s="43">
        <f>Inputs!$I$100*Finance!AD12*(Inputs!$I$127=2)</f>
        <v>0</v>
      </c>
      <c r="AE155" s="43">
        <f>Inputs!$I$100*Finance!AE12*(Inputs!$I$127=2)</f>
        <v>0</v>
      </c>
      <c r="AF155" s="43">
        <f>Inputs!$I$100*Finance!AF12*(Inputs!$I$127=2)</f>
        <v>0</v>
      </c>
      <c r="AG155" s="43">
        <f>Inputs!$I$100*Finance!AG12*(Inputs!$I$127=2)</f>
        <v>0</v>
      </c>
      <c r="AH155" s="43">
        <f>Inputs!$I$100*Finance!AH12*(Inputs!$I$127=2)</f>
        <v>0</v>
      </c>
      <c r="AI155" s="43">
        <f>Inputs!$I$100*Finance!AI12*(Inputs!$I$127=2)</f>
        <v>0</v>
      </c>
      <c r="AJ155" s="43">
        <f>Inputs!$I$100*Finance!AJ12*(Inputs!$I$127=2)</f>
        <v>0</v>
      </c>
      <c r="AK155" s="43">
        <f>Inputs!$I$100*Finance!AK12*(Inputs!$I$127=2)</f>
        <v>0</v>
      </c>
      <c r="AL155" s="43">
        <f>Inputs!$I$100*Finance!AL12*(Inputs!$I$127=2)</f>
        <v>0</v>
      </c>
      <c r="AM155" s="43">
        <f>Inputs!$I$100*Finance!AM12*(Inputs!$I$127=2)</f>
        <v>0</v>
      </c>
      <c r="AN155" s="43">
        <f>Inputs!$I$100*Finance!AN12*(Inputs!$I$127=2)</f>
        <v>0</v>
      </c>
      <c r="AO155" s="43">
        <f>Inputs!$I$100*Finance!AO12*(Inputs!$I$127=2)</f>
        <v>0</v>
      </c>
      <c r="AP155" s="43">
        <f>Inputs!$I$100*Finance!AP12*(Inputs!$I$127=2)</f>
        <v>0</v>
      </c>
      <c r="AQ155" s="43">
        <f>Inputs!$I$100*Finance!AQ12*(Inputs!$I$127=2)</f>
        <v>0</v>
      </c>
      <c r="AR155" s="43">
        <f>Inputs!$I$100*Finance!AR12*(Inputs!$I$127=2)</f>
        <v>0</v>
      </c>
      <c r="AS155" s="43">
        <f>Inputs!$I$100*Finance!AS12*(Inputs!$I$127=2)</f>
        <v>0</v>
      </c>
      <c r="AT155" s="43">
        <f>Inputs!$I$100*Finance!AT12*(Inputs!$I$127=2)</f>
        <v>0</v>
      </c>
      <c r="AU155" s="43">
        <f>Inputs!$I$100*Finance!AU12*(Inputs!$I$127=2)</f>
        <v>0</v>
      </c>
      <c r="AV155" s="43">
        <f>Inputs!$I$100*Finance!AV12*(Inputs!$I$127=2)</f>
        <v>0</v>
      </c>
      <c r="AW155" s="43">
        <f>Inputs!$I$100*Finance!AW12*(Inputs!$I$127=2)</f>
        <v>0</v>
      </c>
      <c r="AX155" s="43">
        <f>Inputs!$I$100*Finance!AX12*(Inputs!$I$127=2)</f>
        <v>0</v>
      </c>
      <c r="AZ155" s="4"/>
    </row>
    <row r="156" spans="1:52" ht="15" customHeight="1">
      <c r="A156" s="222"/>
      <c r="B156" s="5"/>
      <c r="C156" s="5"/>
      <c r="D156" s="5"/>
      <c r="E156" s="5"/>
      <c r="F156" s="5"/>
      <c r="G156" s="5"/>
      <c r="H156" s="5"/>
      <c r="I156" s="24"/>
      <c r="J156" s="6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</row>
    <row r="157" spans="1:52" ht="15" customHeight="1">
      <c r="A157"/>
      <c r="B157" s="267" t="s">
        <v>47</v>
      </c>
      <c r="C157" s="56"/>
      <c r="D157" s="56"/>
      <c r="E157" s="56"/>
      <c r="F157" s="56"/>
      <c r="G157" s="56"/>
      <c r="H157" s="56"/>
      <c r="I157" s="79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6"/>
      <c r="AC157" s="56"/>
      <c r="AD157" s="56"/>
      <c r="AE157" s="56"/>
      <c r="AF157" s="56"/>
      <c r="AG157" s="56"/>
      <c r="AH157" s="56"/>
      <c r="AI157" s="56"/>
      <c r="AJ157" s="56"/>
      <c r="AK157" s="56"/>
      <c r="AL157" s="56"/>
      <c r="AM157" s="56"/>
      <c r="AN157" s="56"/>
      <c r="AO157" s="56"/>
      <c r="AP157" s="56"/>
      <c r="AQ157" s="56"/>
      <c r="AR157" s="56"/>
      <c r="AS157" s="56"/>
      <c r="AT157" s="56"/>
      <c r="AU157" s="56"/>
      <c r="AV157" s="56"/>
      <c r="AW157" s="56"/>
      <c r="AX157" s="56"/>
    </row>
    <row r="158" spans="1:52" ht="15" customHeight="1"/>
  </sheetData>
  <pageMargins left="0.23622047244094491" right="0.23622047244094491" top="0.74803149606299213" bottom="0.74803149606299213" header="0.31496062992125984" footer="0.31496062992125984"/>
  <pageSetup paperSize="8" scale="43" orientation="landscape" r:id="rId1"/>
  <headerFooter>
    <oddHeader>&amp;C&amp;"Aptos"&amp;10&amp;K000000 OFFICIAL&amp;1#_x000D_</oddHeader>
    <oddFooter>&amp;C_x000D_&amp;1#&amp;"Aptos"&amp;10&amp;K000000 OFFICIAL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8">
    <tabColor theme="7" tint="0.59999389629810485"/>
    <pageSetUpPr fitToPage="1"/>
  </sheetPr>
  <dimension ref="A1:AY68"/>
  <sheetViews>
    <sheetView zoomScaleNormal="100" workbookViewId="0">
      <pane xSplit="10" ySplit="3" topLeftCell="K4" activePane="bottomRight" state="frozen"/>
      <selection pane="topRight" activeCell="G26" sqref="G26"/>
      <selection pane="bottomLeft" activeCell="G26" sqref="G26"/>
      <selection pane="bottomRight" activeCell="I27" sqref="I27"/>
    </sheetView>
  </sheetViews>
  <sheetFormatPr defaultColWidth="0" defaultRowHeight="15" customHeight="1" zeroHeight="1"/>
  <cols>
    <col min="1" max="4" width="2.5703125" style="4" customWidth="1"/>
    <col min="5" max="5" width="50.5703125" style="4" customWidth="1"/>
    <col min="6" max="6" width="1.5703125" style="4" customWidth="1"/>
    <col min="7" max="7" width="15.5703125" style="4" customWidth="1"/>
    <col min="8" max="8" width="10.7109375" style="4" bestFit="1" customWidth="1"/>
    <col min="9" max="9" width="10.5703125" style="33" customWidth="1"/>
    <col min="10" max="10" width="1.5703125" style="4" customWidth="1"/>
    <col min="11" max="35" width="10.5703125" style="4" customWidth="1"/>
    <col min="36" max="36" width="3.140625" customWidth="1"/>
    <col min="37" max="50" width="10.5703125" hidden="1" customWidth="1"/>
    <col min="51" max="51" width="2.5703125" hidden="1" customWidth="1"/>
    <col min="52" max="16384" width="9.140625" hidden="1"/>
  </cols>
  <sheetData>
    <row r="1" spans="1:35" ht="14.25">
      <c r="A1" s="158" t="s">
        <v>30</v>
      </c>
      <c r="B1" s="12"/>
      <c r="C1" s="12"/>
      <c r="D1" s="12"/>
      <c r="E1" s="12"/>
      <c r="F1" s="12"/>
      <c r="G1" s="12"/>
      <c r="H1" s="12" t="s">
        <v>108</v>
      </c>
      <c r="I1" s="21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2"/>
      <c r="AH1" s="12"/>
      <c r="AI1" s="12"/>
    </row>
    <row r="2" spans="1:35" ht="15" customHeight="1">
      <c r="A2" s="12"/>
      <c r="B2" s="12"/>
      <c r="C2" s="12"/>
      <c r="D2" s="12"/>
      <c r="E2" s="14" t="s">
        <v>109</v>
      </c>
      <c r="F2" s="14"/>
      <c r="G2" s="14" t="s">
        <v>110</v>
      </c>
      <c r="H2" s="14" t="s">
        <v>111</v>
      </c>
      <c r="I2" s="22" t="s">
        <v>112</v>
      </c>
      <c r="J2" s="15"/>
      <c r="K2" s="14" t="s">
        <v>113</v>
      </c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</row>
    <row r="3" spans="1:35" ht="15" customHeight="1">
      <c r="A3" s="12"/>
      <c r="B3" s="12"/>
      <c r="C3" s="12"/>
      <c r="D3" s="12"/>
      <c r="E3" s="15" t="s">
        <v>393</v>
      </c>
      <c r="F3" s="14"/>
      <c r="G3" s="14"/>
      <c r="H3" s="14"/>
      <c r="I3" s="22"/>
      <c r="J3" s="15"/>
      <c r="K3" s="116" t="s">
        <v>142</v>
      </c>
      <c r="L3" s="116" t="s">
        <v>143</v>
      </c>
      <c r="M3" s="116" t="s">
        <v>144</v>
      </c>
      <c r="N3" s="116" t="s">
        <v>145</v>
      </c>
      <c r="O3" s="116" t="s">
        <v>146</v>
      </c>
      <c r="P3" s="116" t="s">
        <v>147</v>
      </c>
      <c r="Q3" s="116" t="s">
        <v>148</v>
      </c>
      <c r="R3" s="116" t="s">
        <v>149</v>
      </c>
      <c r="S3" s="116" t="s">
        <v>150</v>
      </c>
      <c r="T3" s="116" t="s">
        <v>151</v>
      </c>
      <c r="U3" s="116" t="s">
        <v>152</v>
      </c>
      <c r="V3" s="116" t="s">
        <v>153</v>
      </c>
      <c r="W3" s="116" t="s">
        <v>154</v>
      </c>
      <c r="X3" s="116" t="s">
        <v>155</v>
      </c>
      <c r="Y3" s="116" t="s">
        <v>156</v>
      </c>
      <c r="Z3" s="116" t="s">
        <v>157</v>
      </c>
      <c r="AA3" s="116" t="s">
        <v>158</v>
      </c>
      <c r="AB3" s="116" t="s">
        <v>159</v>
      </c>
      <c r="AC3" s="116" t="s">
        <v>160</v>
      </c>
      <c r="AD3" s="116" t="s">
        <v>161</v>
      </c>
      <c r="AE3" s="116" t="s">
        <v>162</v>
      </c>
      <c r="AF3" s="116" t="s">
        <v>163</v>
      </c>
      <c r="AG3" s="116" t="s">
        <v>164</v>
      </c>
      <c r="AH3" s="116" t="s">
        <v>165</v>
      </c>
      <c r="AI3" s="116" t="s">
        <v>166</v>
      </c>
    </row>
    <row r="4" spans="1:35" ht="15" customHeight="1">
      <c r="A4" s="5"/>
      <c r="B4" s="5"/>
      <c r="C4" s="5"/>
      <c r="D4" s="5"/>
      <c r="E4" s="5"/>
      <c r="F4" s="5"/>
      <c r="G4" s="5"/>
      <c r="H4" s="5"/>
      <c r="I4" s="24"/>
      <c r="J4" s="6"/>
      <c r="K4" s="6"/>
      <c r="L4" s="6"/>
      <c r="M4" s="6"/>
      <c r="N4" s="6"/>
      <c r="O4" s="6"/>
      <c r="P4" s="6"/>
      <c r="Q4" s="6"/>
      <c r="R4" s="6"/>
      <c r="S4" s="5"/>
      <c r="T4" s="5"/>
      <c r="U4" s="5"/>
      <c r="V4" s="5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</row>
    <row r="5" spans="1:35" ht="15" customHeight="1">
      <c r="A5" s="5"/>
      <c r="B5" s="267" t="s">
        <v>301</v>
      </c>
      <c r="C5" s="11"/>
      <c r="D5" s="11"/>
      <c r="E5" s="11"/>
      <c r="F5" s="11"/>
      <c r="G5" s="11"/>
      <c r="H5" s="11"/>
      <c r="I5" s="25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35" ht="15" customHeight="1">
      <c r="A6" s="5"/>
      <c r="B6" s="5"/>
      <c r="C6" s="5"/>
      <c r="D6" s="5"/>
      <c r="E6" s="5"/>
      <c r="F6" s="5"/>
      <c r="G6" s="5"/>
      <c r="H6" s="5"/>
      <c r="I6" s="24"/>
      <c r="J6" s="6"/>
      <c r="K6" s="6"/>
      <c r="L6" s="6"/>
      <c r="M6" s="6"/>
      <c r="N6" s="6"/>
      <c r="O6" s="6"/>
      <c r="P6" s="6"/>
      <c r="Q6" s="6"/>
      <c r="R6" s="6"/>
      <c r="S6" s="5"/>
      <c r="T6" s="5"/>
      <c r="U6" s="5"/>
      <c r="V6" s="5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</row>
    <row r="7" spans="1:35" ht="15" customHeight="1">
      <c r="A7" s="5"/>
      <c r="B7" s="5"/>
      <c r="C7" s="10" t="s">
        <v>394</v>
      </c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</row>
    <row r="8" spans="1:35" ht="15" customHeight="1">
      <c r="A8" s="5"/>
      <c r="B8" s="5"/>
      <c r="C8" s="5"/>
      <c r="D8" s="5"/>
      <c r="E8" s="5"/>
      <c r="F8" s="5"/>
      <c r="G8" s="5"/>
      <c r="H8" s="5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</row>
    <row r="9" spans="1:35" ht="15" customHeight="1">
      <c r="A9"/>
      <c r="B9" s="5"/>
      <c r="C9" s="5"/>
      <c r="D9" s="5"/>
      <c r="E9" s="6" t="s">
        <v>395</v>
      </c>
      <c r="F9" s="5"/>
      <c r="G9" s="5" t="str">
        <f>Inputs!$I$11</f>
        <v>£m 2020 prices</v>
      </c>
      <c r="H9" s="5"/>
      <c r="I9" s="24"/>
      <c r="J9" s="24"/>
      <c r="K9" s="5">
        <f t="shared" ref="K9:AI9" si="0">J15</f>
        <v>0</v>
      </c>
      <c r="L9" s="5">
        <f t="shared" si="0"/>
        <v>213.33633008860855</v>
      </c>
      <c r="M9" s="5">
        <f t="shared" si="0"/>
        <v>204.44731633491654</v>
      </c>
      <c r="N9" s="5">
        <f t="shared" si="0"/>
        <v>195.55830258122452</v>
      </c>
      <c r="O9" s="5">
        <f t="shared" si="0"/>
        <v>186.66928882753251</v>
      </c>
      <c r="P9" s="5">
        <f t="shared" si="0"/>
        <v>177.7802750738405</v>
      </c>
      <c r="Q9" s="5">
        <f t="shared" si="0"/>
        <v>168.89126132014849</v>
      </c>
      <c r="R9" s="5">
        <f t="shared" si="0"/>
        <v>165.34664839468479</v>
      </c>
      <c r="S9" s="5">
        <f t="shared" si="0"/>
        <v>156.16072348386896</v>
      </c>
      <c r="T9" s="5">
        <f t="shared" si="0"/>
        <v>146.97479857305314</v>
      </c>
      <c r="U9" s="5">
        <f t="shared" si="0"/>
        <v>137.78887366223731</v>
      </c>
      <c r="V9" s="5">
        <f t="shared" si="0"/>
        <v>128.60294875142148</v>
      </c>
      <c r="W9" s="5">
        <f t="shared" si="0"/>
        <v>119.41702384060567</v>
      </c>
      <c r="X9" s="5">
        <f t="shared" si="0"/>
        <v>110.23109892978985</v>
      </c>
      <c r="Y9" s="5">
        <f t="shared" si="0"/>
        <v>101.04517401897402</v>
      </c>
      <c r="Z9" s="5">
        <f t="shared" si="0"/>
        <v>95.600325679607408</v>
      </c>
      <c r="AA9" s="5">
        <f t="shared" si="0"/>
        <v>86.040293111646662</v>
      </c>
      <c r="AB9" s="5">
        <f t="shared" si="0"/>
        <v>76.480260543685915</v>
      </c>
      <c r="AC9" s="5">
        <f t="shared" si="0"/>
        <v>66.920227975725169</v>
      </c>
      <c r="AD9" s="5">
        <f t="shared" si="0"/>
        <v>57.360195407764429</v>
      </c>
      <c r="AE9" s="5">
        <f t="shared" si="0"/>
        <v>60.359522823538192</v>
      </c>
      <c r="AF9" s="5">
        <f t="shared" si="0"/>
        <v>48.287618258830555</v>
      </c>
      <c r="AG9" s="5">
        <f t="shared" si="0"/>
        <v>36.215713694122918</v>
      </c>
      <c r="AH9" s="5">
        <f t="shared" si="0"/>
        <v>24.143809129415281</v>
      </c>
      <c r="AI9" s="5">
        <f t="shared" si="0"/>
        <v>12.071904564707641</v>
      </c>
    </row>
    <row r="10" spans="1:35" ht="15" customHeight="1">
      <c r="A10"/>
      <c r="B10" s="5"/>
      <c r="C10" s="5"/>
      <c r="D10" s="5"/>
      <c r="E10" s="6" t="s">
        <v>396</v>
      </c>
      <c r="F10" s="5"/>
      <c r="G10" s="5" t="str">
        <f>Inputs!$I$11</f>
        <v>£m 2020 prices</v>
      </c>
      <c r="H10" s="5"/>
      <c r="I10" s="24"/>
      <c r="J10" s="24"/>
      <c r="K10" s="106">
        <f>-SUM(Finance!K49:AX49)</f>
        <v>10.171760685774858</v>
      </c>
      <c r="L10" s="68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</row>
    <row r="11" spans="1:35" ht="15" customHeight="1">
      <c r="A11"/>
      <c r="B11" s="5"/>
      <c r="C11" s="5"/>
      <c r="D11" s="5"/>
      <c r="E11" s="6" t="s">
        <v>397</v>
      </c>
      <c r="F11" s="5"/>
      <c r="G11" s="5" t="str">
        <f>Inputs!$I$11</f>
        <v>£m 2020 prices</v>
      </c>
      <c r="H11" s="5"/>
      <c r="I11" s="24"/>
      <c r="J11" s="24"/>
      <c r="K11" s="106">
        <f>-SUM('Pre Op RAV'!K25:AX25)</f>
        <v>212.05358315652569</v>
      </c>
      <c r="L11" s="69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</row>
    <row r="12" spans="1:35" ht="15" customHeight="1">
      <c r="A12"/>
      <c r="B12" s="5"/>
      <c r="C12" s="5"/>
      <c r="D12" s="5"/>
      <c r="E12" s="6" t="s">
        <v>398</v>
      </c>
      <c r="F12" s="5"/>
      <c r="G12" s="5" t="str">
        <f>Inputs!$I$11</f>
        <v>£m 2020 prices</v>
      </c>
      <c r="H12" s="5"/>
      <c r="I12" s="24"/>
      <c r="J12" s="24"/>
      <c r="K12" s="252">
        <f>SUM(K9:K11)</f>
        <v>222.22534384230056</v>
      </c>
      <c r="L12" s="252">
        <f t="shared" ref="L12" si="1">SUM(L9:L11)</f>
        <v>213.33633008860855</v>
      </c>
      <c r="M12" s="252">
        <f t="shared" ref="M12:AI12" si="2">SUM(M9:M11)</f>
        <v>204.44731633491654</v>
      </c>
      <c r="N12" s="252">
        <f t="shared" si="2"/>
        <v>195.55830258122452</v>
      </c>
      <c r="O12" s="252">
        <f t="shared" si="2"/>
        <v>186.66928882753251</v>
      </c>
      <c r="P12" s="252">
        <f t="shared" si="2"/>
        <v>177.7802750738405</v>
      </c>
      <c r="Q12" s="252">
        <f t="shared" si="2"/>
        <v>168.89126132014849</v>
      </c>
      <c r="R12" s="252">
        <f t="shared" si="2"/>
        <v>165.34664839468479</v>
      </c>
      <c r="S12" s="252">
        <f t="shared" si="2"/>
        <v>156.16072348386896</v>
      </c>
      <c r="T12" s="252">
        <f t="shared" si="2"/>
        <v>146.97479857305314</v>
      </c>
      <c r="U12" s="252">
        <f t="shared" si="2"/>
        <v>137.78887366223731</v>
      </c>
      <c r="V12" s="252">
        <f t="shared" si="2"/>
        <v>128.60294875142148</v>
      </c>
      <c r="W12" s="252">
        <f t="shared" si="2"/>
        <v>119.41702384060567</v>
      </c>
      <c r="X12" s="252">
        <f t="shared" si="2"/>
        <v>110.23109892978985</v>
      </c>
      <c r="Y12" s="252">
        <f t="shared" si="2"/>
        <v>101.04517401897402</v>
      </c>
      <c r="Z12" s="252">
        <f t="shared" si="2"/>
        <v>95.600325679607408</v>
      </c>
      <c r="AA12" s="252">
        <f t="shared" si="2"/>
        <v>86.040293111646662</v>
      </c>
      <c r="AB12" s="252">
        <f t="shared" si="2"/>
        <v>76.480260543685915</v>
      </c>
      <c r="AC12" s="252">
        <f t="shared" si="2"/>
        <v>66.920227975725169</v>
      </c>
      <c r="AD12" s="252">
        <f t="shared" si="2"/>
        <v>57.360195407764429</v>
      </c>
      <c r="AE12" s="252">
        <f t="shared" si="2"/>
        <v>60.359522823538192</v>
      </c>
      <c r="AF12" s="252">
        <f t="shared" si="2"/>
        <v>48.287618258830555</v>
      </c>
      <c r="AG12" s="252">
        <f t="shared" si="2"/>
        <v>36.215713694122918</v>
      </c>
      <c r="AH12" s="252">
        <f t="shared" si="2"/>
        <v>24.143809129415281</v>
      </c>
      <c r="AI12" s="252">
        <f t="shared" si="2"/>
        <v>12.071904564707641</v>
      </c>
    </row>
    <row r="13" spans="1:35" ht="15" customHeight="1">
      <c r="A13"/>
      <c r="B13" s="5"/>
      <c r="C13" s="5"/>
      <c r="D13" s="5"/>
      <c r="E13" s="6" t="s">
        <v>167</v>
      </c>
      <c r="F13" s="5"/>
      <c r="G13" s="5" t="str">
        <f>Inputs!$I$11</f>
        <v>£m 2020 prices</v>
      </c>
      <c r="H13" s="5"/>
      <c r="I13" s="24"/>
      <c r="J13" s="24"/>
      <c r="K13" s="168">
        <f>Inputs!K59</f>
        <v>0</v>
      </c>
      <c r="L13" s="168">
        <f>Inputs!L59</f>
        <v>0</v>
      </c>
      <c r="M13" s="168">
        <f>Inputs!M59</f>
        <v>0</v>
      </c>
      <c r="N13" s="168">
        <f>Inputs!N59</f>
        <v>0</v>
      </c>
      <c r="O13" s="168">
        <f>Inputs!O59</f>
        <v>0</v>
      </c>
      <c r="P13" s="168">
        <f>Inputs!P59</f>
        <v>0</v>
      </c>
      <c r="Q13" s="168">
        <f>Inputs!Q59</f>
        <v>5.3444008282283457</v>
      </c>
      <c r="R13" s="168">
        <f>Inputs!R59</f>
        <v>0</v>
      </c>
      <c r="S13" s="168">
        <f>Inputs!S59</f>
        <v>0</v>
      </c>
      <c r="T13" s="168">
        <f>Inputs!T59</f>
        <v>0</v>
      </c>
      <c r="U13" s="168">
        <f>Inputs!U59</f>
        <v>0</v>
      </c>
      <c r="V13" s="168">
        <f>Inputs!V59</f>
        <v>0</v>
      </c>
      <c r="W13" s="168">
        <f>Inputs!W59</f>
        <v>0</v>
      </c>
      <c r="X13" s="168">
        <f>Inputs!X59</f>
        <v>0</v>
      </c>
      <c r="Y13" s="168">
        <f>Inputs!Y59</f>
        <v>3.7410765714491996</v>
      </c>
      <c r="Z13" s="168">
        <f>Inputs!Z59</f>
        <v>0</v>
      </c>
      <c r="AA13" s="168">
        <f>Inputs!AA59</f>
        <v>0</v>
      </c>
      <c r="AB13" s="168">
        <f>Inputs!AB59</f>
        <v>0</v>
      </c>
      <c r="AC13" s="168">
        <f>Inputs!AC59</f>
        <v>0</v>
      </c>
      <c r="AD13" s="168">
        <f>Inputs!AD59</f>
        <v>12.559359983734502</v>
      </c>
      <c r="AE13" s="168">
        <f>Inputs!AE59</f>
        <v>0</v>
      </c>
      <c r="AF13" s="168">
        <f>Inputs!AF59</f>
        <v>0</v>
      </c>
      <c r="AG13" s="168">
        <f>Inputs!AG59</f>
        <v>0</v>
      </c>
      <c r="AH13" s="168">
        <f>Inputs!AH59</f>
        <v>0</v>
      </c>
      <c r="AI13" s="168">
        <f>Inputs!AI59</f>
        <v>0</v>
      </c>
    </row>
    <row r="14" spans="1:35" ht="15" customHeight="1">
      <c r="A14"/>
      <c r="B14" s="5"/>
      <c r="C14" s="5"/>
      <c r="D14" s="5"/>
      <c r="E14" s="6" t="s">
        <v>399</v>
      </c>
      <c r="F14" s="5"/>
      <c r="G14" s="5" t="str">
        <f>Inputs!$I$11</f>
        <v>£m 2020 prices</v>
      </c>
      <c r="H14" s="5"/>
      <c r="I14" s="24"/>
      <c r="J14" s="24"/>
      <c r="K14" s="5">
        <f xml:space="preserve"> - K25</f>
        <v>-8.8890137536920228</v>
      </c>
      <c r="L14" s="5">
        <f xml:space="preserve"> - L25</f>
        <v>-8.8890137536920228</v>
      </c>
      <c r="M14" s="5">
        <f t="shared" ref="M14:AI14" si="3" xml:space="preserve"> - M25</f>
        <v>-8.8890137536920228</v>
      </c>
      <c r="N14" s="5">
        <f t="shared" si="3"/>
        <v>-8.8890137536920246</v>
      </c>
      <c r="O14" s="5">
        <f t="shared" si="3"/>
        <v>-8.8890137536920246</v>
      </c>
      <c r="P14" s="5">
        <f t="shared" si="3"/>
        <v>-8.8890137536920246</v>
      </c>
      <c r="Q14" s="5">
        <f t="shared" si="3"/>
        <v>-8.8890137536920264</v>
      </c>
      <c r="R14" s="5">
        <f t="shared" si="3"/>
        <v>-9.185924910815821</v>
      </c>
      <c r="S14" s="5">
        <f t="shared" si="3"/>
        <v>-9.185924910815821</v>
      </c>
      <c r="T14" s="5">
        <f t="shared" si="3"/>
        <v>-9.185924910815821</v>
      </c>
      <c r="U14" s="5">
        <f t="shared" si="3"/>
        <v>-9.185924910815821</v>
      </c>
      <c r="V14" s="5">
        <f t="shared" si="3"/>
        <v>-9.1859249108158192</v>
      </c>
      <c r="W14" s="5">
        <f t="shared" si="3"/>
        <v>-9.185924910815821</v>
      </c>
      <c r="X14" s="5">
        <f t="shared" si="3"/>
        <v>-9.185924910815821</v>
      </c>
      <c r="Y14" s="5">
        <f t="shared" si="3"/>
        <v>-9.185924910815821</v>
      </c>
      <c r="Z14" s="5">
        <f t="shared" si="3"/>
        <v>-9.5600325679607412</v>
      </c>
      <c r="AA14" s="5">
        <f t="shared" si="3"/>
        <v>-9.5600325679607394</v>
      </c>
      <c r="AB14" s="5">
        <f t="shared" si="3"/>
        <v>-9.5600325679607394</v>
      </c>
      <c r="AC14" s="5">
        <f t="shared" si="3"/>
        <v>-9.5600325679607376</v>
      </c>
      <c r="AD14" s="5">
        <f t="shared" si="3"/>
        <v>-9.5600325679607376</v>
      </c>
      <c r="AE14" s="5">
        <f t="shared" si="3"/>
        <v>-12.071904564707639</v>
      </c>
      <c r="AF14" s="5">
        <f t="shared" si="3"/>
        <v>-12.071904564707639</v>
      </c>
      <c r="AG14" s="5">
        <f t="shared" si="3"/>
        <v>-12.071904564707639</v>
      </c>
      <c r="AH14" s="5">
        <f t="shared" si="3"/>
        <v>-12.071904564707641</v>
      </c>
      <c r="AI14" s="5">
        <f t="shared" si="3"/>
        <v>-12.071904564707641</v>
      </c>
    </row>
    <row r="15" spans="1:35" ht="15" customHeight="1">
      <c r="A15"/>
      <c r="B15" s="5"/>
      <c r="C15" s="5"/>
      <c r="D15" s="5"/>
      <c r="E15" s="6" t="s">
        <v>400</v>
      </c>
      <c r="F15" s="5"/>
      <c r="G15" s="5" t="str">
        <f>Inputs!$I$11</f>
        <v>£m 2020 prices</v>
      </c>
      <c r="H15" s="5"/>
      <c r="I15" s="24"/>
      <c r="J15" s="24"/>
      <c r="K15" s="59">
        <f t="shared" ref="K15:AI15" si="4">SUM(K12:K14)</f>
        <v>213.33633008860855</v>
      </c>
      <c r="L15" s="59">
        <f t="shared" si="4"/>
        <v>204.44731633491654</v>
      </c>
      <c r="M15" s="59">
        <f t="shared" si="4"/>
        <v>195.55830258122452</v>
      </c>
      <c r="N15" s="59">
        <f t="shared" si="4"/>
        <v>186.66928882753251</v>
      </c>
      <c r="O15" s="59">
        <f t="shared" si="4"/>
        <v>177.7802750738405</v>
      </c>
      <c r="P15" s="59">
        <f t="shared" si="4"/>
        <v>168.89126132014849</v>
      </c>
      <c r="Q15" s="59">
        <f t="shared" si="4"/>
        <v>165.34664839468479</v>
      </c>
      <c r="R15" s="59">
        <f t="shared" si="4"/>
        <v>156.16072348386896</v>
      </c>
      <c r="S15" s="59">
        <f t="shared" si="4"/>
        <v>146.97479857305314</v>
      </c>
      <c r="T15" s="59">
        <f t="shared" si="4"/>
        <v>137.78887366223731</v>
      </c>
      <c r="U15" s="59">
        <f t="shared" si="4"/>
        <v>128.60294875142148</v>
      </c>
      <c r="V15" s="59">
        <f t="shared" si="4"/>
        <v>119.41702384060567</v>
      </c>
      <c r="W15" s="59">
        <f t="shared" si="4"/>
        <v>110.23109892978985</v>
      </c>
      <c r="X15" s="59">
        <f t="shared" si="4"/>
        <v>101.04517401897402</v>
      </c>
      <c r="Y15" s="59">
        <f t="shared" si="4"/>
        <v>95.600325679607408</v>
      </c>
      <c r="Z15" s="59">
        <f t="shared" si="4"/>
        <v>86.040293111646662</v>
      </c>
      <c r="AA15" s="59">
        <f t="shared" si="4"/>
        <v>76.480260543685915</v>
      </c>
      <c r="AB15" s="59">
        <f t="shared" si="4"/>
        <v>66.920227975725169</v>
      </c>
      <c r="AC15" s="59">
        <f t="shared" si="4"/>
        <v>57.360195407764429</v>
      </c>
      <c r="AD15" s="59">
        <f t="shared" si="4"/>
        <v>60.359522823538192</v>
      </c>
      <c r="AE15" s="59">
        <f t="shared" si="4"/>
        <v>48.287618258830555</v>
      </c>
      <c r="AF15" s="59">
        <f t="shared" si="4"/>
        <v>36.215713694122918</v>
      </c>
      <c r="AG15" s="59">
        <f t="shared" si="4"/>
        <v>24.143809129415281</v>
      </c>
      <c r="AH15" s="59">
        <f t="shared" si="4"/>
        <v>12.071904564707641</v>
      </c>
      <c r="AI15" s="59">
        <f t="shared" si="4"/>
        <v>0</v>
      </c>
    </row>
    <row r="16" spans="1:35" ht="15" customHeight="1">
      <c r="A16"/>
      <c r="B16" s="5"/>
      <c r="C16" s="5"/>
      <c r="D16" s="5"/>
      <c r="E16" s="5"/>
      <c r="F16" s="5"/>
      <c r="G16" s="5"/>
      <c r="H16" s="5"/>
      <c r="I16" s="24"/>
      <c r="J16" s="24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</row>
    <row r="17" spans="1:35" ht="15" customHeight="1">
      <c r="A17"/>
      <c r="B17" s="5"/>
      <c r="C17" s="5"/>
      <c r="D17" s="5"/>
      <c r="E17" s="5" t="s">
        <v>401</v>
      </c>
      <c r="F17" s="5"/>
      <c r="G17" s="5" t="str">
        <f>Inputs!$I$11</f>
        <v>£m 2020 prices</v>
      </c>
      <c r="H17" s="5"/>
      <c r="I17" s="24"/>
      <c r="J17" s="24"/>
      <c r="K17" s="252">
        <f t="shared" ref="K17:AI17" si="5">AVERAGE(K12, K15)</f>
        <v>217.78083696545457</v>
      </c>
      <c r="L17" s="252">
        <f>AVERAGE(L12, L15)</f>
        <v>208.89182321176253</v>
      </c>
      <c r="M17" s="252">
        <f t="shared" si="5"/>
        <v>200.00280945807054</v>
      </c>
      <c r="N17" s="252">
        <f t="shared" si="5"/>
        <v>191.1137957043785</v>
      </c>
      <c r="O17" s="252">
        <f t="shared" si="5"/>
        <v>182.22478195068652</v>
      </c>
      <c r="P17" s="252">
        <f t="shared" si="5"/>
        <v>173.33576819699448</v>
      </c>
      <c r="Q17" s="252">
        <f t="shared" si="5"/>
        <v>167.11895485741664</v>
      </c>
      <c r="R17" s="252">
        <f t="shared" si="5"/>
        <v>160.75368593927686</v>
      </c>
      <c r="S17" s="252">
        <f t="shared" si="5"/>
        <v>151.56776102846106</v>
      </c>
      <c r="T17" s="252">
        <f t="shared" si="5"/>
        <v>142.38183611764521</v>
      </c>
      <c r="U17" s="252">
        <f t="shared" si="5"/>
        <v>133.19591120682941</v>
      </c>
      <c r="V17" s="252">
        <f t="shared" si="5"/>
        <v>124.00998629601358</v>
      </c>
      <c r="W17" s="252">
        <f t="shared" si="5"/>
        <v>114.82406138519775</v>
      </c>
      <c r="X17" s="252">
        <f t="shared" si="5"/>
        <v>105.63813647438194</v>
      </c>
      <c r="Y17" s="252">
        <f t="shared" si="5"/>
        <v>98.322749849290716</v>
      </c>
      <c r="Z17" s="252">
        <f t="shared" si="5"/>
        <v>90.820309395627035</v>
      </c>
      <c r="AA17" s="252">
        <f>AVERAGE(AA12, AA15)</f>
        <v>81.260276827666289</v>
      </c>
      <c r="AB17" s="252">
        <f t="shared" si="5"/>
        <v>71.700244259705542</v>
      </c>
      <c r="AC17" s="252">
        <f t="shared" si="5"/>
        <v>62.140211691744796</v>
      </c>
      <c r="AD17" s="252">
        <f t="shared" si="5"/>
        <v>58.859859115651311</v>
      </c>
      <c r="AE17" s="252">
        <f t="shared" si="5"/>
        <v>54.323570541184374</v>
      </c>
      <c r="AF17" s="252">
        <f t="shared" si="5"/>
        <v>42.251665976476737</v>
      </c>
      <c r="AG17" s="252">
        <f t="shared" si="5"/>
        <v>30.1797614117691</v>
      </c>
      <c r="AH17" s="252">
        <f t="shared" si="5"/>
        <v>18.107856847061463</v>
      </c>
      <c r="AI17" s="252">
        <f t="shared" si="5"/>
        <v>6.0359522823538203</v>
      </c>
    </row>
    <row r="18" spans="1:35" ht="15" customHeight="1">
      <c r="A18"/>
      <c r="B18" s="5"/>
      <c r="C18" s="5"/>
      <c r="D18" s="5"/>
      <c r="E18" s="5"/>
      <c r="F18" s="5"/>
      <c r="G18" s="5"/>
      <c r="H18" s="5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</row>
    <row r="19" spans="1:35" ht="15" customHeight="1">
      <c r="A19"/>
      <c r="B19" s="267" t="s">
        <v>402</v>
      </c>
      <c r="C19" s="56"/>
      <c r="D19" s="56"/>
      <c r="E19" s="56"/>
      <c r="F19" s="56"/>
      <c r="G19" s="56"/>
      <c r="H19" s="56"/>
      <c r="I19" s="79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</row>
    <row r="20" spans="1:35" ht="15" customHeight="1">
      <c r="A20"/>
      <c r="B20" s="5"/>
      <c r="C20" s="5"/>
      <c r="D20" s="5"/>
      <c r="E20" s="5"/>
      <c r="F20" s="5"/>
      <c r="G20" s="5"/>
      <c r="H20" s="5"/>
      <c r="I20" s="24"/>
      <c r="J20" s="6"/>
      <c r="K20" s="6"/>
      <c r="L20" s="6"/>
      <c r="M20" s="6"/>
      <c r="N20" s="6"/>
      <c r="O20" s="6"/>
      <c r="P20" s="6"/>
      <c r="Q20" s="6"/>
      <c r="R20" s="6"/>
      <c r="S20" s="5"/>
      <c r="T20" s="5"/>
      <c r="U20" s="5"/>
      <c r="V20" s="5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</row>
    <row r="21" spans="1:35" ht="15" customHeight="1">
      <c r="A21"/>
      <c r="B21" s="5"/>
      <c r="C21" s="5"/>
      <c r="D21" s="5"/>
      <c r="E21" s="6" t="s">
        <v>250</v>
      </c>
      <c r="F21" s="5"/>
      <c r="G21" s="6" t="s">
        <v>192</v>
      </c>
      <c r="H21" s="5"/>
      <c r="I21" s="107">
        <f>Inputs!I155</f>
        <v>25</v>
      </c>
      <c r="J21" s="6"/>
      <c r="K21" s="6"/>
      <c r="L21" s="6"/>
      <c r="M21" s="6"/>
      <c r="N21" s="6"/>
      <c r="O21" s="6"/>
      <c r="P21" s="6"/>
      <c r="Q21" s="6"/>
      <c r="R21" s="6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</row>
    <row r="22" spans="1:35" ht="15" customHeight="1">
      <c r="A22"/>
      <c r="B22" s="5"/>
      <c r="C22" s="5"/>
      <c r="D22" s="5"/>
      <c r="E22" s="5" t="s">
        <v>403</v>
      </c>
      <c r="F22" s="5"/>
      <c r="G22" s="6" t="s">
        <v>192</v>
      </c>
      <c r="H22" s="5"/>
      <c r="I22" s="24"/>
      <c r="J22" s="6"/>
      <c r="K22" s="20">
        <f>I21</f>
        <v>25</v>
      </c>
      <c r="L22" s="20">
        <f>+K22-1</f>
        <v>24</v>
      </c>
      <c r="M22" s="20">
        <f t="shared" ref="M22:AI22" si="6">+L22-1</f>
        <v>23</v>
      </c>
      <c r="N22" s="20">
        <f t="shared" si="6"/>
        <v>22</v>
      </c>
      <c r="O22" s="20">
        <f t="shared" si="6"/>
        <v>21</v>
      </c>
      <c r="P22" s="20">
        <f t="shared" si="6"/>
        <v>20</v>
      </c>
      <c r="Q22" s="20">
        <f t="shared" si="6"/>
        <v>19</v>
      </c>
      <c r="R22" s="20">
        <f t="shared" si="6"/>
        <v>18</v>
      </c>
      <c r="S22" s="20">
        <f t="shared" si="6"/>
        <v>17</v>
      </c>
      <c r="T22" s="20">
        <f t="shared" si="6"/>
        <v>16</v>
      </c>
      <c r="U22" s="20">
        <f t="shared" si="6"/>
        <v>15</v>
      </c>
      <c r="V22" s="20">
        <f t="shared" si="6"/>
        <v>14</v>
      </c>
      <c r="W22" s="20">
        <f t="shared" si="6"/>
        <v>13</v>
      </c>
      <c r="X22" s="20">
        <f t="shared" si="6"/>
        <v>12</v>
      </c>
      <c r="Y22" s="20">
        <f t="shared" si="6"/>
        <v>11</v>
      </c>
      <c r="Z22" s="20">
        <f t="shared" si="6"/>
        <v>10</v>
      </c>
      <c r="AA22" s="20">
        <f t="shared" si="6"/>
        <v>9</v>
      </c>
      <c r="AB22" s="20">
        <f t="shared" si="6"/>
        <v>8</v>
      </c>
      <c r="AC22" s="20">
        <f t="shared" si="6"/>
        <v>7</v>
      </c>
      <c r="AD22" s="20">
        <f t="shared" si="6"/>
        <v>6</v>
      </c>
      <c r="AE22" s="20">
        <f t="shared" si="6"/>
        <v>5</v>
      </c>
      <c r="AF22" s="20">
        <f t="shared" si="6"/>
        <v>4</v>
      </c>
      <c r="AG22" s="20">
        <f t="shared" si="6"/>
        <v>3</v>
      </c>
      <c r="AH22" s="20">
        <f t="shared" si="6"/>
        <v>2</v>
      </c>
      <c r="AI22" s="20">
        <f t="shared" si="6"/>
        <v>1</v>
      </c>
    </row>
    <row r="23" spans="1:35" ht="15" customHeight="1">
      <c r="A23"/>
      <c r="B23" s="5"/>
      <c r="C23" s="5"/>
      <c r="D23" s="5"/>
      <c r="E23" s="5" t="s">
        <v>404</v>
      </c>
      <c r="F23" s="5"/>
      <c r="G23" s="5" t="s">
        <v>256</v>
      </c>
      <c r="H23" s="5"/>
      <c r="I23" s="26"/>
      <c r="J23" s="6"/>
      <c r="K23" s="20" t="b">
        <f t="shared" ref="K23:AI23" si="7">K22 &gt; 0</f>
        <v>1</v>
      </c>
      <c r="L23" s="20" t="b">
        <f t="shared" si="7"/>
        <v>1</v>
      </c>
      <c r="M23" s="20" t="b">
        <f t="shared" si="7"/>
        <v>1</v>
      </c>
      <c r="N23" s="20" t="b">
        <f t="shared" si="7"/>
        <v>1</v>
      </c>
      <c r="O23" s="20" t="b">
        <f t="shared" si="7"/>
        <v>1</v>
      </c>
      <c r="P23" s="20" t="b">
        <f t="shared" si="7"/>
        <v>1</v>
      </c>
      <c r="Q23" s="20" t="b">
        <f t="shared" si="7"/>
        <v>1</v>
      </c>
      <c r="R23" s="20" t="b">
        <f t="shared" si="7"/>
        <v>1</v>
      </c>
      <c r="S23" s="20" t="b">
        <f t="shared" si="7"/>
        <v>1</v>
      </c>
      <c r="T23" s="20" t="b">
        <f t="shared" si="7"/>
        <v>1</v>
      </c>
      <c r="U23" s="20" t="b">
        <f t="shared" si="7"/>
        <v>1</v>
      </c>
      <c r="V23" s="20" t="b">
        <f t="shared" si="7"/>
        <v>1</v>
      </c>
      <c r="W23" s="20" t="b">
        <f t="shared" si="7"/>
        <v>1</v>
      </c>
      <c r="X23" s="20" t="b">
        <f t="shared" si="7"/>
        <v>1</v>
      </c>
      <c r="Y23" s="20" t="b">
        <f t="shared" si="7"/>
        <v>1</v>
      </c>
      <c r="Z23" s="20" t="b">
        <f t="shared" si="7"/>
        <v>1</v>
      </c>
      <c r="AA23" s="20" t="b">
        <f t="shared" si="7"/>
        <v>1</v>
      </c>
      <c r="AB23" s="20" t="b">
        <f t="shared" si="7"/>
        <v>1</v>
      </c>
      <c r="AC23" s="20" t="b">
        <f t="shared" si="7"/>
        <v>1</v>
      </c>
      <c r="AD23" s="20" t="b">
        <f t="shared" si="7"/>
        <v>1</v>
      </c>
      <c r="AE23" s="20" t="b">
        <f t="shared" si="7"/>
        <v>1</v>
      </c>
      <c r="AF23" s="20" t="b">
        <f t="shared" si="7"/>
        <v>1</v>
      </c>
      <c r="AG23" s="20" t="b">
        <f t="shared" si="7"/>
        <v>1</v>
      </c>
      <c r="AH23" s="20" t="b">
        <f t="shared" si="7"/>
        <v>1</v>
      </c>
      <c r="AI23" s="20" t="b">
        <f t="shared" si="7"/>
        <v>1</v>
      </c>
    </row>
    <row r="24" spans="1:35" ht="15" customHeight="1">
      <c r="A24"/>
      <c r="B24" s="5"/>
      <c r="C24" s="5"/>
      <c r="D24" s="5"/>
      <c r="E24" s="5"/>
      <c r="F24" s="5"/>
      <c r="G24" s="6"/>
      <c r="H24" s="5"/>
      <c r="I24" s="24"/>
      <c r="J24" s="6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</row>
    <row r="25" spans="1:35" ht="15" customHeight="1">
      <c r="A25"/>
      <c r="B25" s="5"/>
      <c r="C25" s="5"/>
      <c r="D25" s="5"/>
      <c r="E25" s="5" t="s">
        <v>405</v>
      </c>
      <c r="F25" s="5"/>
      <c r="G25" s="5" t="str">
        <f>Inputs!$I$11</f>
        <v>£m 2020 prices</v>
      </c>
      <c r="H25" s="5"/>
      <c r="I25" s="24"/>
      <c r="J25" s="6"/>
      <c r="K25" s="254">
        <f t="shared" ref="K25:AI25" si="8">IF(K23, IF(K22=1,SUM(K12:K13),K12 / K22), 0)</f>
        <v>8.8890137536920228</v>
      </c>
      <c r="L25" s="254">
        <f t="shared" si="8"/>
        <v>8.8890137536920228</v>
      </c>
      <c r="M25" s="254">
        <f t="shared" si="8"/>
        <v>8.8890137536920228</v>
      </c>
      <c r="N25" s="254">
        <f t="shared" si="8"/>
        <v>8.8890137536920246</v>
      </c>
      <c r="O25" s="254">
        <f t="shared" si="8"/>
        <v>8.8890137536920246</v>
      </c>
      <c r="P25" s="254">
        <f t="shared" si="8"/>
        <v>8.8890137536920246</v>
      </c>
      <c r="Q25" s="254">
        <f t="shared" si="8"/>
        <v>8.8890137536920264</v>
      </c>
      <c r="R25" s="254">
        <f t="shared" si="8"/>
        <v>9.185924910815821</v>
      </c>
      <c r="S25" s="254">
        <f t="shared" si="8"/>
        <v>9.185924910815821</v>
      </c>
      <c r="T25" s="254">
        <f t="shared" si="8"/>
        <v>9.185924910815821</v>
      </c>
      <c r="U25" s="254">
        <f t="shared" si="8"/>
        <v>9.185924910815821</v>
      </c>
      <c r="V25" s="254">
        <f t="shared" si="8"/>
        <v>9.1859249108158192</v>
      </c>
      <c r="W25" s="254">
        <f t="shared" si="8"/>
        <v>9.185924910815821</v>
      </c>
      <c r="X25" s="254">
        <f t="shared" si="8"/>
        <v>9.185924910815821</v>
      </c>
      <c r="Y25" s="254">
        <f t="shared" si="8"/>
        <v>9.185924910815821</v>
      </c>
      <c r="Z25" s="254">
        <f t="shared" si="8"/>
        <v>9.5600325679607412</v>
      </c>
      <c r="AA25" s="254">
        <f t="shared" si="8"/>
        <v>9.5600325679607394</v>
      </c>
      <c r="AB25" s="254">
        <f t="shared" si="8"/>
        <v>9.5600325679607394</v>
      </c>
      <c r="AC25" s="254">
        <f t="shared" si="8"/>
        <v>9.5600325679607376</v>
      </c>
      <c r="AD25" s="254">
        <f t="shared" si="8"/>
        <v>9.5600325679607376</v>
      </c>
      <c r="AE25" s="254">
        <f t="shared" si="8"/>
        <v>12.071904564707639</v>
      </c>
      <c r="AF25" s="254">
        <f t="shared" si="8"/>
        <v>12.071904564707639</v>
      </c>
      <c r="AG25" s="254">
        <f t="shared" si="8"/>
        <v>12.071904564707639</v>
      </c>
      <c r="AH25" s="254">
        <f t="shared" si="8"/>
        <v>12.071904564707641</v>
      </c>
      <c r="AI25" s="254">
        <f t="shared" si="8"/>
        <v>12.071904564707641</v>
      </c>
    </row>
    <row r="26" spans="1:35" ht="15" customHeight="1">
      <c r="A26"/>
      <c r="B26" s="5"/>
      <c r="C26" s="5"/>
      <c r="D26" s="5"/>
      <c r="E26" s="5"/>
      <c r="F26" s="5"/>
      <c r="G26" s="5"/>
      <c r="H26" s="5"/>
      <c r="I26" s="24"/>
      <c r="J26" s="6"/>
      <c r="K26" s="6"/>
      <c r="L26" s="6"/>
      <c r="M26" s="6"/>
      <c r="N26" s="6"/>
      <c r="O26" s="6"/>
      <c r="P26" s="6"/>
      <c r="Q26" s="6"/>
      <c r="R26" s="6"/>
      <c r="S26" s="5"/>
      <c r="T26" s="5"/>
      <c r="U26" s="5"/>
      <c r="V26" s="5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</row>
    <row r="27" spans="1:35" ht="15" customHeight="1">
      <c r="A27"/>
      <c r="B27" s="5"/>
      <c r="C27" s="5"/>
      <c r="D27" s="5"/>
      <c r="E27" s="5" t="s">
        <v>406</v>
      </c>
      <c r="F27" s="5"/>
      <c r="G27" s="5" t="s">
        <v>252</v>
      </c>
      <c r="H27" s="5"/>
      <c r="I27" s="182" t="str">
        <f>IF(ABS(SUM('Pre Op RAV'!K20:AX23,Finance!K43:AX46,Finance!K48:AX48,K13:AI13)-SUM(K25:AI25))&lt;0.00000001,"TRUE","FALSE")</f>
        <v>TRUE</v>
      </c>
      <c r="J27" s="6"/>
      <c r="K27" s="5"/>
      <c r="L27" s="6"/>
      <c r="M27" s="6"/>
      <c r="N27" s="6"/>
      <c r="O27" s="6"/>
      <c r="P27" s="6"/>
      <c r="Q27" s="6"/>
      <c r="R27" s="6"/>
      <c r="S27" s="5"/>
      <c r="T27" s="7"/>
      <c r="U27" s="7"/>
      <c r="V27" s="7"/>
      <c r="W27" s="7"/>
      <c r="X27" s="7"/>
      <c r="Y27" s="7"/>
      <c r="Z27" s="7"/>
      <c r="AA27" s="161"/>
      <c r="AB27" s="7"/>
      <c r="AC27" s="7"/>
      <c r="AD27" s="7"/>
      <c r="AE27" s="7"/>
      <c r="AF27" s="7"/>
      <c r="AG27" s="7"/>
      <c r="AH27" s="7"/>
      <c r="AI27" s="7"/>
    </row>
    <row r="28" spans="1:35" ht="15" customHeight="1">
      <c r="A28"/>
      <c r="B28" s="5"/>
      <c r="C28" s="5"/>
      <c r="D28" s="5"/>
      <c r="E28" s="5"/>
      <c r="F28" s="5"/>
      <c r="G28" s="5"/>
      <c r="H28" s="5"/>
      <c r="I28" s="5"/>
      <c r="J28" s="6"/>
      <c r="K28" s="5"/>
      <c r="L28" s="6"/>
      <c r="M28" s="6"/>
      <c r="N28" s="6"/>
      <c r="O28" s="6"/>
      <c r="P28" s="6"/>
      <c r="Q28" s="6"/>
      <c r="R28" s="6"/>
      <c r="S28" s="5"/>
      <c r="T28" s="7"/>
      <c r="U28" s="7"/>
      <c r="V28" s="7"/>
      <c r="W28" s="7"/>
      <c r="X28" s="7"/>
      <c r="Y28" s="7"/>
      <c r="Z28" s="7"/>
      <c r="AA28" s="161"/>
      <c r="AB28" s="7"/>
      <c r="AC28" s="7"/>
      <c r="AD28" s="7"/>
      <c r="AE28" s="7"/>
      <c r="AF28" s="7"/>
      <c r="AG28" s="7"/>
      <c r="AH28" s="7"/>
      <c r="AI28" s="7"/>
    </row>
    <row r="29" spans="1:35" ht="15" customHeight="1">
      <c r="A29"/>
      <c r="B29" s="267" t="s">
        <v>407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</row>
    <row r="30" spans="1:35" ht="15" customHeight="1">
      <c r="A30"/>
      <c r="B30" s="27"/>
      <c r="C30" s="17"/>
      <c r="D30" s="17"/>
      <c r="E30" s="54"/>
      <c r="F30" s="17"/>
      <c r="G30" s="17"/>
      <c r="H30" s="50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</row>
    <row r="31" spans="1:35" ht="15" customHeight="1">
      <c r="A31"/>
      <c r="B31" s="5"/>
      <c r="C31" s="5"/>
      <c r="D31" s="5"/>
      <c r="E31" s="16" t="s">
        <v>177</v>
      </c>
      <c r="F31" s="5"/>
      <c r="G31" s="16" t="str">
        <f>Inputs!G68</f>
        <v>real annual %</v>
      </c>
      <c r="H31" s="17"/>
      <c r="I31" s="80">
        <f>Inputs!I68</f>
        <v>8.1000000000000003E-2</v>
      </c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</row>
    <row r="32" spans="1:35" ht="15" customHeight="1">
      <c r="A32"/>
      <c r="B32" s="5"/>
      <c r="C32" s="5"/>
      <c r="D32" s="5"/>
      <c r="E32" s="16" t="s">
        <v>179</v>
      </c>
      <c r="F32" s="5"/>
      <c r="G32" s="16" t="str">
        <f>Inputs!G69</f>
        <v>real annual %</v>
      </c>
      <c r="H32" s="17"/>
      <c r="I32" s="80">
        <f>Inputs!I69</f>
        <v>-8.3999999999999995E-3</v>
      </c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</row>
    <row r="33" spans="1:35" ht="15" customHeight="1">
      <c r="A33"/>
      <c r="B33" s="5"/>
      <c r="C33" s="5"/>
      <c r="D33" s="5"/>
      <c r="E33" s="5"/>
      <c r="F33" s="5"/>
      <c r="G33" s="5"/>
      <c r="H33" s="5"/>
      <c r="I33" s="6"/>
      <c r="J33" s="6"/>
      <c r="K33" s="6"/>
      <c r="L33" s="6"/>
      <c r="M33" s="6"/>
      <c r="N33" s="6"/>
      <c r="O33" s="6"/>
      <c r="P33" s="6"/>
      <c r="Q33" s="6"/>
      <c r="R33" s="6"/>
      <c r="S33" s="5"/>
      <c r="T33" s="5"/>
      <c r="U33" s="5"/>
      <c r="V33" s="5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</row>
    <row r="34" spans="1:35" ht="15" customHeight="1">
      <c r="A34"/>
      <c r="B34" s="27"/>
      <c r="C34" s="17"/>
      <c r="D34" s="17"/>
      <c r="E34" s="54" t="s">
        <v>398</v>
      </c>
      <c r="F34" s="17"/>
      <c r="G34" s="5" t="str">
        <f>Inputs!$I$11</f>
        <v>£m 2020 prices</v>
      </c>
      <c r="H34" s="50"/>
      <c r="I34" s="17"/>
      <c r="J34" s="17"/>
      <c r="K34" s="5">
        <f t="shared" ref="K34:AI34" si="9">K12</f>
        <v>222.22534384230056</v>
      </c>
      <c r="L34" s="5">
        <f t="shared" si="9"/>
        <v>213.33633008860855</v>
      </c>
      <c r="M34" s="5">
        <f t="shared" si="9"/>
        <v>204.44731633491654</v>
      </c>
      <c r="N34" s="5">
        <f t="shared" si="9"/>
        <v>195.55830258122452</v>
      </c>
      <c r="O34" s="5">
        <f t="shared" si="9"/>
        <v>186.66928882753251</v>
      </c>
      <c r="P34" s="5">
        <f t="shared" si="9"/>
        <v>177.7802750738405</v>
      </c>
      <c r="Q34" s="5">
        <f t="shared" si="9"/>
        <v>168.89126132014849</v>
      </c>
      <c r="R34" s="5">
        <f t="shared" si="9"/>
        <v>165.34664839468479</v>
      </c>
      <c r="S34" s="5">
        <f t="shared" si="9"/>
        <v>156.16072348386896</v>
      </c>
      <c r="T34" s="5">
        <f t="shared" si="9"/>
        <v>146.97479857305314</v>
      </c>
      <c r="U34" s="5">
        <f t="shared" si="9"/>
        <v>137.78887366223731</v>
      </c>
      <c r="V34" s="5">
        <f t="shared" si="9"/>
        <v>128.60294875142148</v>
      </c>
      <c r="W34" s="5">
        <f t="shared" si="9"/>
        <v>119.41702384060567</v>
      </c>
      <c r="X34" s="5">
        <f t="shared" si="9"/>
        <v>110.23109892978985</v>
      </c>
      <c r="Y34" s="5">
        <f t="shared" si="9"/>
        <v>101.04517401897402</v>
      </c>
      <c r="Z34" s="5">
        <f t="shared" si="9"/>
        <v>95.600325679607408</v>
      </c>
      <c r="AA34" s="5">
        <f t="shared" si="9"/>
        <v>86.040293111646662</v>
      </c>
      <c r="AB34" s="5">
        <f t="shared" si="9"/>
        <v>76.480260543685915</v>
      </c>
      <c r="AC34" s="5">
        <f t="shared" si="9"/>
        <v>66.920227975725169</v>
      </c>
      <c r="AD34" s="5">
        <f t="shared" si="9"/>
        <v>57.360195407764429</v>
      </c>
      <c r="AE34" s="5">
        <f t="shared" si="9"/>
        <v>60.359522823538192</v>
      </c>
      <c r="AF34" s="5">
        <f t="shared" si="9"/>
        <v>48.287618258830555</v>
      </c>
      <c r="AG34" s="5">
        <f t="shared" si="9"/>
        <v>36.215713694122918</v>
      </c>
      <c r="AH34" s="5">
        <f t="shared" si="9"/>
        <v>24.143809129415281</v>
      </c>
      <c r="AI34" s="5">
        <f t="shared" si="9"/>
        <v>12.071904564707641</v>
      </c>
    </row>
    <row r="35" spans="1:35" ht="15" customHeight="1">
      <c r="A35"/>
      <c r="B35" s="27"/>
      <c r="C35" s="17"/>
      <c r="D35" s="17"/>
      <c r="E35" s="54" t="s">
        <v>400</v>
      </c>
      <c r="F35" s="17"/>
      <c r="G35" s="5" t="str">
        <f>Inputs!$I$11</f>
        <v>£m 2020 prices</v>
      </c>
      <c r="H35" s="50"/>
      <c r="I35" s="17"/>
      <c r="J35" s="17"/>
      <c r="K35" s="5">
        <f t="shared" ref="K35:AI35" si="10">K15</f>
        <v>213.33633008860855</v>
      </c>
      <c r="L35" s="5">
        <f t="shared" si="10"/>
        <v>204.44731633491654</v>
      </c>
      <c r="M35" s="5">
        <f t="shared" si="10"/>
        <v>195.55830258122452</v>
      </c>
      <c r="N35" s="5">
        <f t="shared" si="10"/>
        <v>186.66928882753251</v>
      </c>
      <c r="O35" s="5">
        <f t="shared" si="10"/>
        <v>177.7802750738405</v>
      </c>
      <c r="P35" s="5">
        <f t="shared" si="10"/>
        <v>168.89126132014849</v>
      </c>
      <c r="Q35" s="5">
        <f t="shared" si="10"/>
        <v>165.34664839468479</v>
      </c>
      <c r="R35" s="5">
        <f t="shared" si="10"/>
        <v>156.16072348386896</v>
      </c>
      <c r="S35" s="5">
        <f t="shared" si="10"/>
        <v>146.97479857305314</v>
      </c>
      <c r="T35" s="5">
        <f t="shared" si="10"/>
        <v>137.78887366223731</v>
      </c>
      <c r="U35" s="5">
        <f t="shared" si="10"/>
        <v>128.60294875142148</v>
      </c>
      <c r="V35" s="5">
        <f t="shared" si="10"/>
        <v>119.41702384060567</v>
      </c>
      <c r="W35" s="5">
        <f t="shared" si="10"/>
        <v>110.23109892978985</v>
      </c>
      <c r="X35" s="5">
        <f t="shared" si="10"/>
        <v>101.04517401897402</v>
      </c>
      <c r="Y35" s="5">
        <f t="shared" si="10"/>
        <v>95.600325679607408</v>
      </c>
      <c r="Z35" s="5">
        <f t="shared" si="10"/>
        <v>86.040293111646662</v>
      </c>
      <c r="AA35" s="5">
        <f t="shared" si="10"/>
        <v>76.480260543685915</v>
      </c>
      <c r="AB35" s="5">
        <f t="shared" si="10"/>
        <v>66.920227975725169</v>
      </c>
      <c r="AC35" s="5">
        <f t="shared" si="10"/>
        <v>57.360195407764429</v>
      </c>
      <c r="AD35" s="5">
        <f t="shared" si="10"/>
        <v>60.359522823538192</v>
      </c>
      <c r="AE35" s="5">
        <f t="shared" si="10"/>
        <v>48.287618258830555</v>
      </c>
      <c r="AF35" s="5">
        <f t="shared" si="10"/>
        <v>36.215713694122918</v>
      </c>
      <c r="AG35" s="5">
        <f t="shared" si="10"/>
        <v>24.143809129415281</v>
      </c>
      <c r="AH35" s="5">
        <f t="shared" si="10"/>
        <v>12.071904564707641</v>
      </c>
      <c r="AI35" s="5">
        <f t="shared" si="10"/>
        <v>0</v>
      </c>
    </row>
    <row r="36" spans="1:35" ht="15" customHeight="1">
      <c r="A36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</row>
    <row r="37" spans="1:35" ht="15" customHeight="1">
      <c r="A37"/>
      <c r="B37" s="5"/>
      <c r="C37" s="5"/>
      <c r="D37" s="5"/>
      <c r="E37" s="54" t="s">
        <v>408</v>
      </c>
      <c r="F37" s="17"/>
      <c r="G37" s="5" t="str">
        <f>Inputs!$I$11</f>
        <v>£m 2020 prices</v>
      </c>
      <c r="H37" s="50"/>
      <c r="I37" s="16"/>
      <c r="J37" s="17"/>
      <c r="K37" s="5">
        <f>0.5 * K$34 + 0.5 * K$35 / (1 + $I31)</f>
        <v>209.78812524613113</v>
      </c>
      <c r="L37" s="5">
        <f t="shared" ref="L37:AI37" si="11">0.5 * L$34 + 0.5 * L$35 / (1 + $I31)</f>
        <v>201.23214114741091</v>
      </c>
      <c r="M37" s="5">
        <f t="shared" si="11"/>
        <v>192.6761570486907</v>
      </c>
      <c r="N37" s="5">
        <f t="shared" si="11"/>
        <v>184.12017294997051</v>
      </c>
      <c r="O37" s="5">
        <f t="shared" si="11"/>
        <v>175.56418885125032</v>
      </c>
      <c r="P37" s="5">
        <f t="shared" si="11"/>
        <v>167.0082047525301</v>
      </c>
      <c r="Q37" s="5">
        <f t="shared" si="11"/>
        <v>160.92419143467407</v>
      </c>
      <c r="R37" s="5">
        <f t="shared" si="11"/>
        <v>154.90307604001998</v>
      </c>
      <c r="S37" s="5">
        <f t="shared" si="11"/>
        <v>146.06130465268987</v>
      </c>
      <c r="T37" s="5">
        <f t="shared" si="11"/>
        <v>137.21953326535973</v>
      </c>
      <c r="U37" s="5">
        <f t="shared" si="11"/>
        <v>128.37776187802962</v>
      </c>
      <c r="V37" s="5">
        <f t="shared" si="11"/>
        <v>119.53599049069948</v>
      </c>
      <c r="W37" s="5">
        <f t="shared" si="11"/>
        <v>110.69421910336936</v>
      </c>
      <c r="X37" s="5">
        <f t="shared" si="11"/>
        <v>101.85244771603925</v>
      </c>
      <c r="Y37" s="5">
        <f t="shared" si="11"/>
        <v>94.741054021331337</v>
      </c>
      <c r="Z37" s="5">
        <f t="shared" si="11"/>
        <v>87.59678315046358</v>
      </c>
      <c r="AA37" s="5">
        <f t="shared" si="11"/>
        <v>78.394920165298771</v>
      </c>
      <c r="AB37" s="5">
        <f t="shared" si="11"/>
        <v>69.193057180133962</v>
      </c>
      <c r="AC37" s="5">
        <f t="shared" si="11"/>
        <v>59.991194194969168</v>
      </c>
      <c r="AD37" s="5">
        <f t="shared" si="11"/>
        <v>56.598470887757422</v>
      </c>
      <c r="AE37" s="5">
        <f t="shared" si="11"/>
        <v>52.51445995886926</v>
      </c>
      <c r="AF37" s="5">
        <f t="shared" si="11"/>
        <v>40.894833039740405</v>
      </c>
      <c r="AG37" s="5">
        <f t="shared" si="11"/>
        <v>29.275206120611543</v>
      </c>
      <c r="AH37" s="5">
        <f t="shared" si="11"/>
        <v>17.655579201482681</v>
      </c>
      <c r="AI37" s="5">
        <f t="shared" si="11"/>
        <v>6.0359522823538203</v>
      </c>
    </row>
    <row r="38" spans="1:35" ht="15" customHeight="1">
      <c r="A38"/>
      <c r="B38" s="5"/>
      <c r="C38" s="5"/>
      <c r="D38" s="5"/>
      <c r="E38" s="54" t="s">
        <v>409</v>
      </c>
      <c r="F38" s="17"/>
      <c r="G38" s="5" t="str">
        <f>Inputs!$I$11</f>
        <v>£m 2020 prices</v>
      </c>
      <c r="H38" s="50"/>
      <c r="I38" s="16"/>
      <c r="J38" s="17"/>
      <c r="K38" s="5">
        <f t="shared" ref="K38:AI38" si="12">0.5 * K$34 + 0.5 * K$35 / (1 + $I32)</f>
        <v>218.68443981576934</v>
      </c>
      <c r="L38" s="5">
        <f t="shared" si="12"/>
        <v>209.75777594331424</v>
      </c>
      <c r="M38" s="5">
        <f t="shared" si="12"/>
        <v>200.83111207085909</v>
      </c>
      <c r="N38" s="5">
        <f t="shared" si="12"/>
        <v>191.90444819840397</v>
      </c>
      <c r="O38" s="5">
        <f t="shared" si="12"/>
        <v>182.97778432594885</v>
      </c>
      <c r="P38" s="5">
        <f t="shared" si="12"/>
        <v>174.0511204534937</v>
      </c>
      <c r="Q38" s="5">
        <f t="shared" si="12"/>
        <v>167.81929362633321</v>
      </c>
      <c r="R38" s="5">
        <f t="shared" si="12"/>
        <v>161.4151169988092</v>
      </c>
      <c r="S38" s="5">
        <f t="shared" si="12"/>
        <v>152.19028437860911</v>
      </c>
      <c r="T38" s="5">
        <f t="shared" si="12"/>
        <v>142.96545175840902</v>
      </c>
      <c r="U38" s="5">
        <f t="shared" si="12"/>
        <v>133.74061913820896</v>
      </c>
      <c r="V38" s="5">
        <f t="shared" si="12"/>
        <v>124.51578651800887</v>
      </c>
      <c r="W38" s="5">
        <f t="shared" si="12"/>
        <v>115.29095389780881</v>
      </c>
      <c r="X38" s="5">
        <f t="shared" si="12"/>
        <v>106.06612127760873</v>
      </c>
      <c r="Y38" s="5">
        <f t="shared" si="12"/>
        <v>98.727672567982069</v>
      </c>
      <c r="Z38" s="5">
        <f t="shared" si="12"/>
        <v>91.184739842449261</v>
      </c>
      <c r="AA38" s="5">
        <f t="shared" si="12"/>
        <v>81.584215002619374</v>
      </c>
      <c r="AB38" s="5">
        <f t="shared" si="12"/>
        <v>71.983690162789486</v>
      </c>
      <c r="AC38" s="5">
        <f t="shared" si="12"/>
        <v>62.383165322959613</v>
      </c>
      <c r="AD38" s="5">
        <f t="shared" si="12"/>
        <v>59.11551663466993</v>
      </c>
      <c r="AE38" s="5">
        <f t="shared" si="12"/>
        <v>54.528096556399262</v>
      </c>
      <c r="AF38" s="5">
        <f t="shared" si="12"/>
        <v>42.405060487887908</v>
      </c>
      <c r="AG38" s="5">
        <f t="shared" si="12"/>
        <v>30.282024419376548</v>
      </c>
      <c r="AH38" s="5">
        <f t="shared" si="12"/>
        <v>18.158988350865183</v>
      </c>
      <c r="AI38" s="5">
        <f t="shared" si="12"/>
        <v>6.0359522823538203</v>
      </c>
    </row>
    <row r="39" spans="1:35" ht="15" customHeight="1">
      <c r="A39"/>
      <c r="B39" s="5"/>
      <c r="C39" s="5"/>
      <c r="D39" s="5"/>
      <c r="E39" s="54"/>
      <c r="F39" s="17"/>
      <c r="G39" s="17"/>
      <c r="H39" s="50"/>
      <c r="I39" s="16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</row>
    <row r="40" spans="1:35" ht="15" customHeight="1">
      <c r="A40"/>
      <c r="B40" s="5"/>
      <c r="C40" s="5"/>
      <c r="D40" s="5"/>
      <c r="E40" s="16" t="s">
        <v>410</v>
      </c>
      <c r="F40" s="5"/>
      <c r="G40" s="5" t="str">
        <f>Inputs!$I$11</f>
        <v>£m 2020 prices</v>
      </c>
      <c r="H40" s="5"/>
      <c r="I40" s="6"/>
      <c r="J40" s="6"/>
      <c r="K40" s="43">
        <f t="shared" ref="K40:AI40" si="13">K37 * $I31</f>
        <v>16.992838144936623</v>
      </c>
      <c r="L40" s="43">
        <f t="shared" si="13"/>
        <v>16.299803432940283</v>
      </c>
      <c r="M40" s="43">
        <f t="shared" si="13"/>
        <v>15.606768720943947</v>
      </c>
      <c r="N40" s="43">
        <f t="shared" si="13"/>
        <v>14.913734008947612</v>
      </c>
      <c r="O40" s="43">
        <f t="shared" si="13"/>
        <v>14.220699296951276</v>
      </c>
      <c r="P40" s="43">
        <f t="shared" si="13"/>
        <v>13.527664584954939</v>
      </c>
      <c r="Q40" s="43">
        <f t="shared" si="13"/>
        <v>13.034859506208599</v>
      </c>
      <c r="R40" s="43">
        <f t="shared" si="13"/>
        <v>12.547149159241618</v>
      </c>
      <c r="S40" s="43">
        <f t="shared" si="13"/>
        <v>11.83096567686788</v>
      </c>
      <c r="T40" s="43">
        <f t="shared" si="13"/>
        <v>11.114782194494138</v>
      </c>
      <c r="U40" s="43">
        <f t="shared" si="13"/>
        <v>10.3985987121204</v>
      </c>
      <c r="V40" s="43">
        <f t="shared" si="13"/>
        <v>9.6824152297466579</v>
      </c>
      <c r="W40" s="43">
        <f t="shared" si="13"/>
        <v>8.9662317473729178</v>
      </c>
      <c r="X40" s="43">
        <f t="shared" si="13"/>
        <v>8.2500482649991795</v>
      </c>
      <c r="Y40" s="43">
        <f t="shared" si="13"/>
        <v>7.6740253757278385</v>
      </c>
      <c r="Z40" s="43">
        <f t="shared" si="13"/>
        <v>7.0953394351875501</v>
      </c>
      <c r="AA40" s="43">
        <f t="shared" si="13"/>
        <v>6.349988533389201</v>
      </c>
      <c r="AB40" s="43">
        <f t="shared" si="13"/>
        <v>5.604637631590851</v>
      </c>
      <c r="AC40" s="43">
        <f t="shared" si="13"/>
        <v>4.8592867297925029</v>
      </c>
      <c r="AD40" s="43">
        <f t="shared" si="13"/>
        <v>4.5844761419083513</v>
      </c>
      <c r="AE40" s="43">
        <f t="shared" si="13"/>
        <v>4.2536712566684098</v>
      </c>
      <c r="AF40" s="43">
        <f t="shared" si="13"/>
        <v>3.3124814762189727</v>
      </c>
      <c r="AG40" s="43">
        <f t="shared" si="13"/>
        <v>2.3712916957695351</v>
      </c>
      <c r="AH40" s="43">
        <f t="shared" si="13"/>
        <v>1.4301019153200971</v>
      </c>
      <c r="AI40" s="43">
        <f t="shared" si="13"/>
        <v>0.48891213487065949</v>
      </c>
    </row>
    <row r="41" spans="1:35" ht="15" customHeight="1">
      <c r="A41"/>
      <c r="B41" s="5"/>
      <c r="C41" s="5"/>
      <c r="D41" s="5"/>
      <c r="E41" s="16" t="s">
        <v>411</v>
      </c>
      <c r="F41" s="5"/>
      <c r="G41" s="5" t="str">
        <f>Inputs!$I$11</f>
        <v>£m 2020 prices</v>
      </c>
      <c r="H41" s="5"/>
      <c r="I41" s="6"/>
      <c r="J41" s="6"/>
      <c r="K41" s="43">
        <f t="shared" ref="K41:AI41" si="14">K38 * $I32</f>
        <v>-1.8369492944524624</v>
      </c>
      <c r="L41" s="43">
        <f t="shared" si="14"/>
        <v>-1.7619653179238395</v>
      </c>
      <c r="M41" s="43">
        <f t="shared" si="14"/>
        <v>-1.6869813413952162</v>
      </c>
      <c r="N41" s="43">
        <f t="shared" si="14"/>
        <v>-1.6119973648665933</v>
      </c>
      <c r="O41" s="43">
        <f t="shared" si="14"/>
        <v>-1.5370133883379702</v>
      </c>
      <c r="P41" s="43">
        <f t="shared" si="14"/>
        <v>-1.4620294118093469</v>
      </c>
      <c r="Q41" s="43">
        <f t="shared" si="14"/>
        <v>-1.4096820664611989</v>
      </c>
      <c r="R41" s="43">
        <f t="shared" si="14"/>
        <v>-1.3558869827899971</v>
      </c>
      <c r="S41" s="43">
        <f t="shared" si="14"/>
        <v>-1.2783983887803163</v>
      </c>
      <c r="T41" s="43">
        <f t="shared" si="14"/>
        <v>-1.2009097947706358</v>
      </c>
      <c r="U41" s="43">
        <f t="shared" si="14"/>
        <v>-1.1234212007609552</v>
      </c>
      <c r="V41" s="43">
        <f t="shared" si="14"/>
        <v>-1.0459326067512744</v>
      </c>
      <c r="W41" s="43">
        <f t="shared" si="14"/>
        <v>-0.96844401274159386</v>
      </c>
      <c r="X41" s="43">
        <f t="shared" si="14"/>
        <v>-0.89095541873191331</v>
      </c>
      <c r="Y41" s="43">
        <f t="shared" si="14"/>
        <v>-0.82931244957104933</v>
      </c>
      <c r="Z41" s="43">
        <f t="shared" si="14"/>
        <v>-0.76595181467657369</v>
      </c>
      <c r="AA41" s="43">
        <f t="shared" si="14"/>
        <v>-0.68530740602200269</v>
      </c>
      <c r="AB41" s="43">
        <f t="shared" si="14"/>
        <v>-0.60466299736743168</v>
      </c>
      <c r="AC41" s="43">
        <f t="shared" si="14"/>
        <v>-0.52401858871286067</v>
      </c>
      <c r="AD41" s="43">
        <f t="shared" si="14"/>
        <v>-0.49657033973122738</v>
      </c>
      <c r="AE41" s="43">
        <f t="shared" si="14"/>
        <v>-0.4580360110737538</v>
      </c>
      <c r="AF41" s="43">
        <f t="shared" si="14"/>
        <v>-0.35620250809825843</v>
      </c>
      <c r="AG41" s="43">
        <f t="shared" si="14"/>
        <v>-0.254369005122763</v>
      </c>
      <c r="AH41" s="43">
        <f t="shared" si="14"/>
        <v>-0.15253550214726752</v>
      </c>
      <c r="AI41" s="43">
        <f t="shared" si="14"/>
        <v>-5.0701999171772087E-2</v>
      </c>
    </row>
    <row r="42" spans="1:35" ht="15" customHeight="1">
      <c r="A42"/>
      <c r="B42" s="5"/>
      <c r="C42" s="5"/>
      <c r="D42" s="5"/>
      <c r="E42" s="5"/>
      <c r="F42" s="5"/>
      <c r="G42" s="5"/>
      <c r="H42" s="5"/>
      <c r="I42" s="24"/>
      <c r="J42" s="6"/>
      <c r="K42" s="6"/>
      <c r="L42" s="6"/>
      <c r="M42" s="6"/>
      <c r="N42" s="6"/>
      <c r="O42" s="6"/>
      <c r="P42" s="6"/>
      <c r="Q42" s="6"/>
      <c r="R42" s="6"/>
      <c r="S42" s="5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</row>
    <row r="43" spans="1:35" ht="15" customHeight="1">
      <c r="A43"/>
      <c r="B43" s="267" t="s">
        <v>47</v>
      </c>
      <c r="C43" s="56"/>
      <c r="D43" s="56"/>
      <c r="E43" s="56"/>
      <c r="F43" s="56"/>
      <c r="G43" s="56"/>
      <c r="H43" s="56"/>
      <c r="I43" s="79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  <c r="AF43" s="56"/>
      <c r="AG43" s="56"/>
      <c r="AH43" s="56"/>
      <c r="AI43" s="56"/>
    </row>
    <row r="44" spans="1:35" ht="15" customHeight="1">
      <c r="A44"/>
    </row>
    <row r="45" spans="1:35" ht="15" hidden="1" customHeight="1">
      <c r="A45"/>
    </row>
    <row r="46" spans="1:35" ht="15" hidden="1" customHeight="1">
      <c r="A46"/>
    </row>
    <row r="47" spans="1:35" ht="15" hidden="1" customHeight="1">
      <c r="A47"/>
    </row>
    <row r="48" spans="1:35" ht="15" hidden="1" customHeight="1">
      <c r="A48"/>
    </row>
    <row r="49" spans="1:1" ht="15" hidden="1" customHeight="1">
      <c r="A49"/>
    </row>
    <row r="50" spans="1:1" ht="15" hidden="1" customHeight="1">
      <c r="A50"/>
    </row>
    <row r="51" spans="1:1" ht="15" hidden="1" customHeight="1">
      <c r="A51"/>
    </row>
    <row r="52" spans="1:1" ht="15" hidden="1" customHeight="1">
      <c r="A52"/>
    </row>
    <row r="53" spans="1:1" ht="15" hidden="1" customHeight="1">
      <c r="A53"/>
    </row>
    <row r="54" spans="1:1" ht="15" hidden="1" customHeight="1">
      <c r="A54"/>
    </row>
    <row r="55" spans="1:1" ht="15" hidden="1" customHeight="1">
      <c r="A55"/>
    </row>
    <row r="56" spans="1:1" ht="15" hidden="1" customHeight="1">
      <c r="A56"/>
    </row>
    <row r="57" spans="1:1" ht="15" hidden="1" customHeight="1">
      <c r="A57"/>
    </row>
    <row r="58" spans="1:1" ht="15" hidden="1" customHeight="1">
      <c r="A58"/>
    </row>
    <row r="59" spans="1:1" ht="15" hidden="1" customHeight="1">
      <c r="A59"/>
    </row>
    <row r="60" spans="1:1" ht="15" customHeight="1"/>
    <row r="61" spans="1:1" ht="15" customHeight="1"/>
    <row r="62" spans="1:1" ht="15" customHeight="1"/>
    <row r="63" spans="1:1" ht="15" customHeight="1"/>
    <row r="64" spans="1:1" ht="15" customHeight="1"/>
    <row r="65" ht="15" customHeight="1"/>
    <row r="66" ht="15" customHeight="1"/>
    <row r="67" ht="15" customHeight="1"/>
    <row r="68" ht="15" customHeight="1"/>
  </sheetData>
  <conditionalFormatting sqref="S21:AI21">
    <cfRule type="cellIs" dxfId="5" priority="2" operator="equal">
      <formula>FALSE()</formula>
    </cfRule>
  </conditionalFormatting>
  <conditionalFormatting sqref="K23:AI23">
    <cfRule type="cellIs" dxfId="4" priority="1" operator="equal">
      <formula>FALSE()</formula>
    </cfRule>
  </conditionalFormatting>
  <pageMargins left="0.23622047244094491" right="0.23622047244094491" top="0.74803149606299213" bottom="0.74803149606299213" header="0.31496062992125984" footer="0.31496062992125984"/>
  <pageSetup paperSize="8" scale="43" fitToHeight="0" orientation="landscape" r:id="rId1"/>
  <headerFooter>
    <oddHeader>&amp;C&amp;"Aptos"&amp;10&amp;K000000 OFFICIAL&amp;1#_x000D_</oddHeader>
    <oddFooter>&amp;C_x000D_&amp;1#&amp;"Aptos"&amp;10&amp;K000000 OFFICIAL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7">
    <tabColor theme="7" tint="0.59999389629810485"/>
    <pageSetUpPr fitToPage="1"/>
  </sheetPr>
  <dimension ref="A1:AY40"/>
  <sheetViews>
    <sheetView zoomScaleNormal="100" workbookViewId="0">
      <pane xSplit="10" ySplit="4" topLeftCell="K5" activePane="bottomRight" state="frozen"/>
      <selection pane="topRight" activeCell="G26" sqref="G26"/>
      <selection pane="bottomLeft" activeCell="G26" sqref="G26"/>
      <selection pane="bottomRight" activeCell="B36" activeCellId="2" sqref="B6 B15 B36"/>
    </sheetView>
  </sheetViews>
  <sheetFormatPr defaultColWidth="0" defaultRowHeight="15" customHeight="1" zeroHeight="1"/>
  <cols>
    <col min="1" max="3" width="2.5703125" style="27" customWidth="1"/>
    <col min="4" max="4" width="2.5703125" style="17" customWidth="1"/>
    <col min="5" max="5" width="50.5703125" style="17" customWidth="1"/>
    <col min="6" max="6" width="1.5703125" style="17" customWidth="1"/>
    <col min="7" max="7" width="15.5703125" style="17" customWidth="1"/>
    <col min="8" max="8" width="10.7109375" style="17" bestFit="1" customWidth="1"/>
    <col min="9" max="9" width="10.5703125" style="17" customWidth="1"/>
    <col min="10" max="10" width="1.5703125" style="17" customWidth="1"/>
    <col min="11" max="35" width="10.5703125" style="17" customWidth="1"/>
    <col min="36" max="36" width="3.140625" customWidth="1"/>
    <col min="37" max="50" width="10.5703125" hidden="1" customWidth="1"/>
    <col min="51" max="51" width="2.5703125" hidden="1" customWidth="1"/>
    <col min="52" max="16384" width="9.140625" hidden="1"/>
  </cols>
  <sheetData>
    <row r="1" spans="1:35" ht="15" customHeight="1">
      <c r="A1" s="157" t="s">
        <v>32</v>
      </c>
      <c r="B1" s="12"/>
      <c r="C1" s="12"/>
      <c r="D1" s="12"/>
      <c r="E1" s="12"/>
      <c r="F1" s="12"/>
      <c r="G1" s="12"/>
      <c r="H1" s="12" t="s">
        <v>108</v>
      </c>
      <c r="I1" s="12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2"/>
      <c r="AH1" s="12"/>
      <c r="AI1" s="12"/>
    </row>
    <row r="2" spans="1:35" ht="15" customHeight="1">
      <c r="A2" s="12"/>
      <c r="B2" s="12"/>
      <c r="C2" s="12"/>
      <c r="D2" s="12"/>
      <c r="E2" s="14" t="s">
        <v>109</v>
      </c>
      <c r="F2" s="14"/>
      <c r="G2" s="14" t="s">
        <v>110</v>
      </c>
      <c r="H2" s="14" t="s">
        <v>111</v>
      </c>
      <c r="I2" s="22" t="s">
        <v>112</v>
      </c>
      <c r="J2" s="15"/>
      <c r="K2" s="14" t="s">
        <v>113</v>
      </c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</row>
    <row r="3" spans="1:35" ht="15" customHeight="1">
      <c r="A3" s="12"/>
      <c r="B3" s="12"/>
      <c r="C3" s="12"/>
      <c r="D3" s="12"/>
      <c r="E3" s="15" t="s">
        <v>393</v>
      </c>
      <c r="F3" s="14"/>
      <c r="G3" s="14"/>
      <c r="H3" s="14"/>
      <c r="I3" s="22"/>
      <c r="J3" s="15"/>
      <c r="K3" s="116" t="s">
        <v>142</v>
      </c>
      <c r="L3" s="116" t="s">
        <v>143</v>
      </c>
      <c r="M3" s="116" t="s">
        <v>144</v>
      </c>
      <c r="N3" s="116" t="s">
        <v>145</v>
      </c>
      <c r="O3" s="116" t="s">
        <v>146</v>
      </c>
      <c r="P3" s="116" t="s">
        <v>147</v>
      </c>
      <c r="Q3" s="116" t="s">
        <v>148</v>
      </c>
      <c r="R3" s="116" t="s">
        <v>149</v>
      </c>
      <c r="S3" s="116" t="s">
        <v>150</v>
      </c>
      <c r="T3" s="116" t="s">
        <v>151</v>
      </c>
      <c r="U3" s="116" t="s">
        <v>152</v>
      </c>
      <c r="V3" s="116" t="s">
        <v>153</v>
      </c>
      <c r="W3" s="116" t="s">
        <v>154</v>
      </c>
      <c r="X3" s="116" t="s">
        <v>155</v>
      </c>
      <c r="Y3" s="116" t="s">
        <v>156</v>
      </c>
      <c r="Z3" s="116" t="s">
        <v>157</v>
      </c>
      <c r="AA3" s="116" t="s">
        <v>158</v>
      </c>
      <c r="AB3" s="116" t="s">
        <v>159</v>
      </c>
      <c r="AC3" s="116" t="s">
        <v>160</v>
      </c>
      <c r="AD3" s="116" t="s">
        <v>161</v>
      </c>
      <c r="AE3" s="116" t="s">
        <v>162</v>
      </c>
      <c r="AF3" s="116" t="s">
        <v>163</v>
      </c>
      <c r="AG3" s="116" t="s">
        <v>164</v>
      </c>
      <c r="AH3" s="116" t="s">
        <v>165</v>
      </c>
      <c r="AI3" s="116" t="s">
        <v>166</v>
      </c>
    </row>
    <row r="4" spans="1:35" ht="15" customHeight="1">
      <c r="A4" s="12"/>
      <c r="B4" s="12"/>
      <c r="C4" s="12"/>
      <c r="D4" s="12"/>
      <c r="E4" s="8" t="s">
        <v>205</v>
      </c>
      <c r="F4" s="14"/>
      <c r="G4" s="14"/>
      <c r="H4" s="14"/>
      <c r="I4" s="14"/>
      <c r="J4" s="15"/>
      <c r="K4" s="117">
        <v>1</v>
      </c>
      <c r="L4" s="117">
        <f>+K4+1</f>
        <v>2</v>
      </c>
      <c r="M4" s="117">
        <f t="shared" ref="M4:AI4" si="0">+L4+1</f>
        <v>3</v>
      </c>
      <c r="N4" s="117">
        <f t="shared" si="0"/>
        <v>4</v>
      </c>
      <c r="O4" s="117">
        <f t="shared" si="0"/>
        <v>5</v>
      </c>
      <c r="P4" s="117">
        <f t="shared" si="0"/>
        <v>6</v>
      </c>
      <c r="Q4" s="117">
        <f t="shared" si="0"/>
        <v>7</v>
      </c>
      <c r="R4" s="117">
        <f t="shared" si="0"/>
        <v>8</v>
      </c>
      <c r="S4" s="117">
        <f t="shared" si="0"/>
        <v>9</v>
      </c>
      <c r="T4" s="117">
        <f t="shared" si="0"/>
        <v>10</v>
      </c>
      <c r="U4" s="117">
        <f t="shared" si="0"/>
        <v>11</v>
      </c>
      <c r="V4" s="117">
        <f t="shared" si="0"/>
        <v>12</v>
      </c>
      <c r="W4" s="117">
        <f t="shared" si="0"/>
        <v>13</v>
      </c>
      <c r="X4" s="117">
        <f t="shared" si="0"/>
        <v>14</v>
      </c>
      <c r="Y4" s="117">
        <f t="shared" si="0"/>
        <v>15</v>
      </c>
      <c r="Z4" s="117">
        <f t="shared" si="0"/>
        <v>16</v>
      </c>
      <c r="AA4" s="117">
        <f t="shared" si="0"/>
        <v>17</v>
      </c>
      <c r="AB4" s="117">
        <f t="shared" si="0"/>
        <v>18</v>
      </c>
      <c r="AC4" s="117">
        <f t="shared" si="0"/>
        <v>19</v>
      </c>
      <c r="AD4" s="117">
        <f t="shared" si="0"/>
        <v>20</v>
      </c>
      <c r="AE4" s="117">
        <f t="shared" si="0"/>
        <v>21</v>
      </c>
      <c r="AF4" s="117">
        <f t="shared" si="0"/>
        <v>22</v>
      </c>
      <c r="AG4" s="117">
        <f t="shared" si="0"/>
        <v>23</v>
      </c>
      <c r="AH4" s="117">
        <f t="shared" si="0"/>
        <v>24</v>
      </c>
      <c r="AI4" s="117">
        <f t="shared" si="0"/>
        <v>25</v>
      </c>
    </row>
    <row r="5" spans="1:35" ht="15" customHeight="1"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</row>
    <row r="6" spans="1:35" ht="15" customHeight="1">
      <c r="A6" t="s">
        <v>412</v>
      </c>
      <c r="B6" s="267" t="s">
        <v>413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</row>
    <row r="7" spans="1:35" ht="15" customHeight="1">
      <c r="A7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</row>
    <row r="8" spans="1:35" ht="15" customHeight="1">
      <c r="A8"/>
      <c r="E8" s="5" t="s">
        <v>170</v>
      </c>
      <c r="F8" s="29"/>
      <c r="G8" s="5" t="str">
        <f>Inputs!$I$11</f>
        <v>£m 2020 prices</v>
      </c>
      <c r="I8" s="28"/>
      <c r="J8" s="28"/>
      <c r="K8" s="42">
        <f>Inputs!K61</f>
        <v>6.2065041758547563</v>
      </c>
      <c r="L8" s="42">
        <f>Inputs!L61</f>
        <v>4.4747305543047622</v>
      </c>
      <c r="M8" s="42">
        <f>Inputs!M61</f>
        <v>6.356454429002981</v>
      </c>
      <c r="N8" s="42">
        <f>Inputs!N61</f>
        <v>4.4146416825120136</v>
      </c>
      <c r="O8" s="42">
        <f>Inputs!O61</f>
        <v>5.5399394443840935</v>
      </c>
      <c r="P8" s="42">
        <f>Inputs!P61</f>
        <v>6.3569319581792119</v>
      </c>
      <c r="Q8" s="42">
        <f>Inputs!Q61</f>
        <v>5.97448256962155</v>
      </c>
      <c r="R8" s="42">
        <f>Inputs!R61</f>
        <v>4.8788477205779133</v>
      </c>
      <c r="S8" s="42">
        <f>Inputs!S61</f>
        <v>4.3798892082642933</v>
      </c>
      <c r="T8" s="42">
        <f>Inputs!T61</f>
        <v>7.2122347330315026</v>
      </c>
      <c r="U8" s="42">
        <f>Inputs!U61</f>
        <v>3.9746975957128128</v>
      </c>
      <c r="V8" s="42">
        <f>Inputs!V61</f>
        <v>4.496752461184685</v>
      </c>
      <c r="W8" s="42">
        <f>Inputs!W61</f>
        <v>3.9752009437313118</v>
      </c>
      <c r="X8" s="42">
        <f>Inputs!X61</f>
        <v>4.1850896339457213</v>
      </c>
      <c r="Y8" s="42">
        <f>Inputs!Y61</f>
        <v>5.626895371229959</v>
      </c>
      <c r="Z8" s="42">
        <f>Inputs!Z61</f>
        <v>4.4505258139217299</v>
      </c>
      <c r="AA8" s="42">
        <f>Inputs!AA61</f>
        <v>3.9762381950114611</v>
      </c>
      <c r="AB8" s="42">
        <f>Inputs!AB61</f>
        <v>4.233390886467121</v>
      </c>
      <c r="AC8" s="42">
        <f>Inputs!AC61</f>
        <v>3.9767725090758641</v>
      </c>
      <c r="AD8" s="42">
        <f>Inputs!AD61</f>
        <v>4.415993104434083</v>
      </c>
      <c r="AE8" s="42">
        <f>Inputs!AE61</f>
        <v>3.9933568361875267</v>
      </c>
      <c r="AF8" s="42">
        <f>Inputs!AF61</f>
        <v>4.1516260287397504</v>
      </c>
      <c r="AG8" s="42">
        <f>Inputs!AG61</f>
        <v>3.9778735722109784</v>
      </c>
      <c r="AH8" s="42">
        <f>Inputs!AH61</f>
        <v>4.4331444515351128</v>
      </c>
      <c r="AI8" s="42">
        <f>Inputs!AI61</f>
        <v>3.9784407573570921</v>
      </c>
    </row>
    <row r="9" spans="1:35" ht="15" customHeight="1">
      <c r="A9"/>
      <c r="E9" s="5" t="s">
        <v>414</v>
      </c>
      <c r="F9" s="29"/>
      <c r="G9" s="5" t="str">
        <f>Inputs!$I$11</f>
        <v>£m 2020 prices</v>
      </c>
      <c r="I9" s="28"/>
      <c r="J9" s="28"/>
      <c r="K9" s="42">
        <f>Inputs!K62</f>
        <v>1.4324846504503725</v>
      </c>
      <c r="L9" s="42">
        <f>Inputs!L62</f>
        <v>1.4324846504503725</v>
      </c>
      <c r="M9" s="42">
        <f>Inputs!M62</f>
        <v>1.4324846504503725</v>
      </c>
      <c r="N9" s="42">
        <f>Inputs!N62</f>
        <v>1.4324846504503725</v>
      </c>
      <c r="O9" s="42">
        <f>Inputs!O62</f>
        <v>1.4324846504503725</v>
      </c>
      <c r="P9" s="42">
        <f>Inputs!P62</f>
        <v>1.4324846504503725</v>
      </c>
      <c r="Q9" s="42">
        <f>Inputs!Q62</f>
        <v>1.4324846504503725</v>
      </c>
      <c r="R9" s="42">
        <f>Inputs!R62</f>
        <v>1.4324846504503725</v>
      </c>
      <c r="S9" s="42">
        <f>Inputs!S62</f>
        <v>1.4324846504503725</v>
      </c>
      <c r="T9" s="42">
        <f>Inputs!T62</f>
        <v>1.4324846504503725</v>
      </c>
      <c r="U9" s="42">
        <f>Inputs!U62</f>
        <v>1.4324846504503725</v>
      </c>
      <c r="V9" s="42">
        <f>Inputs!V62</f>
        <v>1.4324846504503725</v>
      </c>
      <c r="W9" s="42">
        <f>Inputs!W62</f>
        <v>1.4324846504503725</v>
      </c>
      <c r="X9" s="42">
        <f>Inputs!X62</f>
        <v>1.4324846504503725</v>
      </c>
      <c r="Y9" s="42">
        <f>Inputs!Y62</f>
        <v>1.4324846504503725</v>
      </c>
      <c r="Z9" s="42">
        <f>Inputs!Z62</f>
        <v>1.4324846504503725</v>
      </c>
      <c r="AA9" s="42">
        <f>Inputs!AA62</f>
        <v>1.4324846504503725</v>
      </c>
      <c r="AB9" s="42">
        <f>Inputs!AB62</f>
        <v>1.4324846504503725</v>
      </c>
      <c r="AC9" s="42">
        <f>Inputs!AC62</f>
        <v>1.4324846504503725</v>
      </c>
      <c r="AD9" s="42">
        <f>Inputs!AD62</f>
        <v>1.4324846504503725</v>
      </c>
      <c r="AE9" s="42">
        <f>Inputs!AE62</f>
        <v>1.4324846504503725</v>
      </c>
      <c r="AF9" s="42">
        <f>Inputs!AF62</f>
        <v>1.4324846504503725</v>
      </c>
      <c r="AG9" s="42">
        <f>Inputs!AG62</f>
        <v>1.4324846504503725</v>
      </c>
      <c r="AH9" s="42">
        <f>Inputs!AH62</f>
        <v>1.4324846504503725</v>
      </c>
      <c r="AI9" s="42">
        <f>Inputs!AI62</f>
        <v>1.4324846504503725</v>
      </c>
    </row>
    <row r="10" spans="1:35" ht="15" customHeight="1">
      <c r="A10"/>
      <c r="E10" s="5" t="s">
        <v>169</v>
      </c>
      <c r="F10" s="29"/>
      <c r="G10" s="5" t="str">
        <f>Inputs!$I$11</f>
        <v>£m 2020 prices</v>
      </c>
      <c r="I10" s="28"/>
      <c r="J10" s="28"/>
      <c r="K10" s="42">
        <f>Inputs!K60</f>
        <v>0</v>
      </c>
      <c r="L10" s="42">
        <f>Inputs!L60</f>
        <v>0</v>
      </c>
      <c r="M10" s="42">
        <f>Inputs!M60</f>
        <v>0</v>
      </c>
      <c r="N10" s="42">
        <f>Inputs!N60</f>
        <v>0</v>
      </c>
      <c r="O10" s="42">
        <f>Inputs!O60</f>
        <v>0</v>
      </c>
      <c r="P10" s="42">
        <f>Inputs!P60</f>
        <v>0</v>
      </c>
      <c r="Q10" s="42">
        <f>Inputs!Q60</f>
        <v>0</v>
      </c>
      <c r="R10" s="42">
        <f>Inputs!R60</f>
        <v>0</v>
      </c>
      <c r="S10" s="42">
        <f>Inputs!S60</f>
        <v>0</v>
      </c>
      <c r="T10" s="42">
        <f>Inputs!T60</f>
        <v>0</v>
      </c>
      <c r="U10" s="42">
        <f>Inputs!U60</f>
        <v>0</v>
      </c>
      <c r="V10" s="42">
        <f>Inputs!V60</f>
        <v>0</v>
      </c>
      <c r="W10" s="42">
        <f>Inputs!W60</f>
        <v>0</v>
      </c>
      <c r="X10" s="42">
        <f>Inputs!X60</f>
        <v>0</v>
      </c>
      <c r="Y10" s="42">
        <f>Inputs!Y60</f>
        <v>0</v>
      </c>
      <c r="Z10" s="42">
        <f>Inputs!Z60</f>
        <v>0</v>
      </c>
      <c r="AA10" s="42">
        <f>Inputs!AA60</f>
        <v>0</v>
      </c>
      <c r="AB10" s="42">
        <f>Inputs!AB60</f>
        <v>0</v>
      </c>
      <c r="AC10" s="42">
        <f>Inputs!AC60</f>
        <v>0</v>
      </c>
      <c r="AD10" s="42">
        <f>Inputs!AD60</f>
        <v>0</v>
      </c>
      <c r="AE10" s="42">
        <f>Inputs!AE60</f>
        <v>0</v>
      </c>
      <c r="AF10" s="42">
        <f>Inputs!AF60</f>
        <v>0</v>
      </c>
      <c r="AG10" s="42">
        <f>Inputs!AG60</f>
        <v>0</v>
      </c>
      <c r="AH10" s="42">
        <f>Inputs!AH60</f>
        <v>0</v>
      </c>
      <c r="AI10" s="42">
        <f>Inputs!AI60</f>
        <v>3.520054633531112</v>
      </c>
    </row>
    <row r="11" spans="1:35" ht="15" customHeight="1">
      <c r="A11"/>
      <c r="E11" s="5" t="s">
        <v>405</v>
      </c>
      <c r="F11" s="29"/>
      <c r="G11" s="5" t="str">
        <f>Inputs!$I$11</f>
        <v>£m 2020 prices</v>
      </c>
      <c r="I11" s="28"/>
      <c r="J11" s="28"/>
      <c r="K11" s="42">
        <f>'Op Rav'!K25</f>
        <v>8.8890137536920228</v>
      </c>
      <c r="L11" s="42">
        <f>'Op Rav'!L25</f>
        <v>8.8890137536920228</v>
      </c>
      <c r="M11" s="42">
        <f>'Op Rav'!M25</f>
        <v>8.8890137536920228</v>
      </c>
      <c r="N11" s="42">
        <f>'Op Rav'!N25</f>
        <v>8.8890137536920246</v>
      </c>
      <c r="O11" s="42">
        <f>'Op Rav'!O25</f>
        <v>8.8890137536920246</v>
      </c>
      <c r="P11" s="42">
        <f>'Op Rav'!P25</f>
        <v>8.8890137536920246</v>
      </c>
      <c r="Q11" s="42">
        <f>'Op Rav'!Q25</f>
        <v>8.8890137536920264</v>
      </c>
      <c r="R11" s="42">
        <f>'Op Rav'!R25</f>
        <v>9.185924910815821</v>
      </c>
      <c r="S11" s="42">
        <f>'Op Rav'!S25</f>
        <v>9.185924910815821</v>
      </c>
      <c r="T11" s="42">
        <f>'Op Rav'!T25</f>
        <v>9.185924910815821</v>
      </c>
      <c r="U11" s="42">
        <f>'Op Rav'!U25</f>
        <v>9.185924910815821</v>
      </c>
      <c r="V11" s="42">
        <f>'Op Rav'!V25</f>
        <v>9.1859249108158192</v>
      </c>
      <c r="W11" s="42">
        <f>'Op Rav'!W25</f>
        <v>9.185924910815821</v>
      </c>
      <c r="X11" s="42">
        <f>'Op Rav'!X25</f>
        <v>9.185924910815821</v>
      </c>
      <c r="Y11" s="42">
        <f>'Op Rav'!Y25</f>
        <v>9.185924910815821</v>
      </c>
      <c r="Z11" s="42">
        <f>'Op Rav'!Z25</f>
        <v>9.5600325679607412</v>
      </c>
      <c r="AA11" s="42">
        <f>'Op Rav'!AA25</f>
        <v>9.5600325679607394</v>
      </c>
      <c r="AB11" s="42">
        <f>'Op Rav'!AB25</f>
        <v>9.5600325679607394</v>
      </c>
      <c r="AC11" s="42">
        <f>'Op Rav'!AC25</f>
        <v>9.5600325679607376</v>
      </c>
      <c r="AD11" s="42">
        <f>'Op Rav'!AD25</f>
        <v>9.5600325679607376</v>
      </c>
      <c r="AE11" s="42">
        <f>'Op Rav'!AE25</f>
        <v>12.071904564707639</v>
      </c>
      <c r="AF11" s="42">
        <f>'Op Rav'!AF25</f>
        <v>12.071904564707639</v>
      </c>
      <c r="AG11" s="42">
        <f>'Op Rav'!AG25</f>
        <v>12.071904564707639</v>
      </c>
      <c r="AH11" s="42">
        <f>'Op Rav'!AH25</f>
        <v>12.071904564707641</v>
      </c>
      <c r="AI11" s="42">
        <f>'Op Rav'!AI25</f>
        <v>12.071904564707641</v>
      </c>
    </row>
    <row r="12" spans="1:35" ht="15" customHeight="1">
      <c r="A12"/>
      <c r="E12" s="5" t="s">
        <v>410</v>
      </c>
      <c r="G12" s="5" t="str">
        <f>Inputs!$I$11</f>
        <v>£m 2020 prices</v>
      </c>
      <c r="I12" s="5"/>
      <c r="K12" s="42">
        <f>'Op Rav'!K40</f>
        <v>16.992838144936623</v>
      </c>
      <c r="L12" s="42">
        <f>'Op Rav'!L40</f>
        <v>16.299803432940283</v>
      </c>
      <c r="M12" s="42">
        <f>'Op Rav'!M40</f>
        <v>15.606768720943947</v>
      </c>
      <c r="N12" s="42">
        <f>'Op Rav'!N40</f>
        <v>14.913734008947612</v>
      </c>
      <c r="O12" s="42">
        <f>'Op Rav'!O40</f>
        <v>14.220699296951276</v>
      </c>
      <c r="P12" s="42">
        <f>'Op Rav'!P40</f>
        <v>13.527664584954939</v>
      </c>
      <c r="Q12" s="42">
        <f>'Op Rav'!Q40</f>
        <v>13.034859506208599</v>
      </c>
      <c r="R12" s="42">
        <f>'Op Rav'!R40</f>
        <v>12.547149159241618</v>
      </c>
      <c r="S12" s="42">
        <f>'Op Rav'!S40</f>
        <v>11.83096567686788</v>
      </c>
      <c r="T12" s="42">
        <f>'Op Rav'!T40</f>
        <v>11.114782194494138</v>
      </c>
      <c r="U12" s="42">
        <f>'Op Rav'!U40</f>
        <v>10.3985987121204</v>
      </c>
      <c r="V12" s="42">
        <f>'Op Rav'!V40</f>
        <v>9.6824152297466579</v>
      </c>
      <c r="W12" s="42">
        <f>'Op Rav'!W40</f>
        <v>8.9662317473729178</v>
      </c>
      <c r="X12" s="42">
        <f>'Op Rav'!X40</f>
        <v>8.2500482649991795</v>
      </c>
      <c r="Y12" s="42">
        <f>'Op Rav'!Y40</f>
        <v>7.6740253757278385</v>
      </c>
      <c r="Z12" s="42">
        <f>'Op Rav'!Z40</f>
        <v>7.0953394351875501</v>
      </c>
      <c r="AA12" s="42">
        <f>'Op Rav'!AA40</f>
        <v>6.349988533389201</v>
      </c>
      <c r="AB12" s="42">
        <f>'Op Rav'!AB40</f>
        <v>5.604637631590851</v>
      </c>
      <c r="AC12" s="42">
        <f>'Op Rav'!AC40</f>
        <v>4.8592867297925029</v>
      </c>
      <c r="AD12" s="42">
        <f>'Op Rav'!AD40</f>
        <v>4.5844761419083513</v>
      </c>
      <c r="AE12" s="42">
        <f>'Op Rav'!AE40</f>
        <v>4.2536712566684098</v>
      </c>
      <c r="AF12" s="42">
        <f>'Op Rav'!AF40</f>
        <v>3.3124814762189727</v>
      </c>
      <c r="AG12" s="42">
        <f>'Op Rav'!AG40</f>
        <v>2.3712916957695351</v>
      </c>
      <c r="AH12" s="42">
        <f>'Op Rav'!AH40</f>
        <v>1.4301019153200971</v>
      </c>
      <c r="AI12" s="42">
        <f>'Op Rav'!AI40</f>
        <v>0.48891213487065949</v>
      </c>
    </row>
    <row r="13" spans="1:35" ht="15" customHeight="1">
      <c r="A13"/>
      <c r="C13" s="17"/>
      <c r="E13" s="17" t="s">
        <v>413</v>
      </c>
      <c r="G13" s="5" t="str">
        <f>Inputs!$I$11</f>
        <v>£m 2020 prices</v>
      </c>
      <c r="I13" s="5"/>
      <c r="K13" s="59">
        <f>SUM(K8:K12)</f>
        <v>33.520840724933777</v>
      </c>
      <c r="L13" s="59">
        <f t="shared" ref="L13:AI13" si="1">SUM(L8:L12)</f>
        <v>31.096032391387439</v>
      </c>
      <c r="M13" s="59">
        <f t="shared" si="1"/>
        <v>32.284721554089323</v>
      </c>
      <c r="N13" s="59">
        <f t="shared" si="1"/>
        <v>29.649874095602023</v>
      </c>
      <c r="O13" s="59">
        <f t="shared" si="1"/>
        <v>30.082137145477766</v>
      </c>
      <c r="P13" s="59">
        <f t="shared" si="1"/>
        <v>30.206094947276547</v>
      </c>
      <c r="Q13" s="59">
        <f t="shared" si="1"/>
        <v>29.330840479972551</v>
      </c>
      <c r="R13" s="59">
        <f t="shared" si="1"/>
        <v>28.044406441085727</v>
      </c>
      <c r="S13" s="59">
        <f t="shared" si="1"/>
        <v>26.829264446398366</v>
      </c>
      <c r="T13" s="59">
        <f t="shared" si="1"/>
        <v>28.945426488791838</v>
      </c>
      <c r="U13" s="59">
        <f t="shared" si="1"/>
        <v>24.991705869099405</v>
      </c>
      <c r="V13" s="59">
        <f t="shared" si="1"/>
        <v>24.797577252197534</v>
      </c>
      <c r="W13" s="59">
        <f t="shared" si="1"/>
        <v>23.559842252370423</v>
      </c>
      <c r="X13" s="59">
        <f t="shared" si="1"/>
        <v>23.053547460211092</v>
      </c>
      <c r="Y13" s="59">
        <f t="shared" si="1"/>
        <v>23.919330308223991</v>
      </c>
      <c r="Z13" s="59">
        <f t="shared" si="1"/>
        <v>22.538382467520393</v>
      </c>
      <c r="AA13" s="59">
        <f t="shared" si="1"/>
        <v>21.318743946811775</v>
      </c>
      <c r="AB13" s="59">
        <f t="shared" si="1"/>
        <v>20.830545736469084</v>
      </c>
      <c r="AC13" s="59">
        <f t="shared" si="1"/>
        <v>19.828576457279475</v>
      </c>
      <c r="AD13" s="59">
        <f t="shared" si="1"/>
        <v>19.992986464753542</v>
      </c>
      <c r="AE13" s="59">
        <f t="shared" si="1"/>
        <v>21.751417308013949</v>
      </c>
      <c r="AF13" s="59">
        <f t="shared" si="1"/>
        <v>20.968496720116736</v>
      </c>
      <c r="AG13" s="59">
        <f t="shared" si="1"/>
        <v>19.853554483138524</v>
      </c>
      <c r="AH13" s="59">
        <f t="shared" si="1"/>
        <v>19.367635582013225</v>
      </c>
      <c r="AI13" s="59">
        <f t="shared" si="1"/>
        <v>21.491796740916875</v>
      </c>
    </row>
    <row r="14" spans="1:35" ht="15" customHeight="1">
      <c r="A14"/>
    </row>
    <row r="15" spans="1:35" ht="15" customHeight="1">
      <c r="A15"/>
      <c r="B15" s="267" t="s">
        <v>415</v>
      </c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</row>
    <row r="16" spans="1:35" ht="15" customHeight="1">
      <c r="A16"/>
      <c r="B16" s="5"/>
      <c r="C16" s="5"/>
      <c r="D16" s="5"/>
    </row>
    <row r="17" spans="1:35" ht="15" customHeight="1">
      <c r="A17"/>
      <c r="B17" s="5"/>
      <c r="C17" s="10" t="s">
        <v>416</v>
      </c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</row>
    <row r="18" spans="1:35" ht="15" customHeight="1">
      <c r="A18"/>
      <c r="B18" s="5"/>
      <c r="C18" s="5"/>
      <c r="D18" s="5"/>
    </row>
    <row r="19" spans="1:35" ht="15" customHeight="1">
      <c r="A19"/>
      <c r="E19" s="16" t="s">
        <v>177</v>
      </c>
      <c r="G19" s="16" t="str">
        <f>Inputs!G68</f>
        <v>real annual %</v>
      </c>
      <c r="I19" s="80">
        <f>Inputs!I68</f>
        <v>8.1000000000000003E-2</v>
      </c>
      <c r="AE19" s="60"/>
    </row>
    <row r="20" spans="1:35" ht="15" customHeight="1">
      <c r="A20"/>
      <c r="B20" s="5"/>
      <c r="C20" s="5"/>
      <c r="D20" s="5"/>
      <c r="E20" s="16" t="s">
        <v>250</v>
      </c>
      <c r="G20" s="16" t="str">
        <f>Inputs!G155</f>
        <v>full years</v>
      </c>
      <c r="I20" s="108">
        <f>Inputs!I155</f>
        <v>25</v>
      </c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</row>
    <row r="21" spans="1:35" ht="15" customHeight="1">
      <c r="A21"/>
      <c r="B21" s="5"/>
      <c r="C21" s="5"/>
      <c r="D21" s="5"/>
      <c r="E21" s="17" t="s">
        <v>417</v>
      </c>
      <c r="G21" s="17" t="s">
        <v>274</v>
      </c>
      <c r="I21" s="58">
        <f>I19 / (1 - (1 + I19)^(-I20))</f>
        <v>9.4480276733656082E-2</v>
      </c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</row>
    <row r="22" spans="1:35" ht="15" customHeight="1">
      <c r="A22"/>
      <c r="E22" s="16"/>
      <c r="G22" s="16"/>
      <c r="I22" s="16"/>
    </row>
    <row r="23" spans="1:35" ht="15" customHeight="1">
      <c r="A23"/>
      <c r="B23" s="5"/>
      <c r="C23" s="5"/>
      <c r="D23" s="5"/>
      <c r="E23" s="5" t="s">
        <v>418</v>
      </c>
      <c r="F23" s="5"/>
      <c r="G23" s="5" t="s">
        <v>256</v>
      </c>
      <c r="H23" s="5"/>
      <c r="I23" s="26"/>
      <c r="J23" s="6"/>
      <c r="K23" s="20" t="b">
        <f t="shared" ref="K23:AI23" si="2">AND(K4 &gt; 0, K4&lt;= $I20)</f>
        <v>1</v>
      </c>
      <c r="L23" s="20" t="b">
        <f t="shared" si="2"/>
        <v>1</v>
      </c>
      <c r="M23" s="20" t="b">
        <f t="shared" si="2"/>
        <v>1</v>
      </c>
      <c r="N23" s="20" t="b">
        <f t="shared" si="2"/>
        <v>1</v>
      </c>
      <c r="O23" s="20" t="b">
        <f t="shared" si="2"/>
        <v>1</v>
      </c>
      <c r="P23" s="20" t="b">
        <f t="shared" si="2"/>
        <v>1</v>
      </c>
      <c r="Q23" s="20" t="b">
        <f t="shared" si="2"/>
        <v>1</v>
      </c>
      <c r="R23" s="20" t="b">
        <f t="shared" si="2"/>
        <v>1</v>
      </c>
      <c r="S23" s="20" t="b">
        <f t="shared" si="2"/>
        <v>1</v>
      </c>
      <c r="T23" s="20" t="b">
        <f t="shared" si="2"/>
        <v>1</v>
      </c>
      <c r="U23" s="20" t="b">
        <f t="shared" si="2"/>
        <v>1</v>
      </c>
      <c r="V23" s="20" t="b">
        <f t="shared" si="2"/>
        <v>1</v>
      </c>
      <c r="W23" s="20" t="b">
        <f t="shared" si="2"/>
        <v>1</v>
      </c>
      <c r="X23" s="20" t="b">
        <f t="shared" si="2"/>
        <v>1</v>
      </c>
      <c r="Y23" s="20" t="b">
        <f t="shared" si="2"/>
        <v>1</v>
      </c>
      <c r="Z23" s="20" t="b">
        <f t="shared" si="2"/>
        <v>1</v>
      </c>
      <c r="AA23" s="20" t="b">
        <f t="shared" si="2"/>
        <v>1</v>
      </c>
      <c r="AB23" s="20" t="b">
        <f t="shared" si="2"/>
        <v>1</v>
      </c>
      <c r="AC23" s="20" t="b">
        <f t="shared" si="2"/>
        <v>1</v>
      </c>
      <c r="AD23" s="20" t="b">
        <f t="shared" si="2"/>
        <v>1</v>
      </c>
      <c r="AE23" s="20" t="b">
        <f t="shared" si="2"/>
        <v>1</v>
      </c>
      <c r="AF23" s="20" t="b">
        <f t="shared" si="2"/>
        <v>1</v>
      </c>
      <c r="AG23" s="20" t="b">
        <f t="shared" si="2"/>
        <v>1</v>
      </c>
      <c r="AH23" s="20" t="b">
        <f t="shared" si="2"/>
        <v>1</v>
      </c>
      <c r="AI23" s="20" t="b">
        <f t="shared" si="2"/>
        <v>1</v>
      </c>
    </row>
    <row r="24" spans="1:35" ht="15" customHeight="1">
      <c r="A24"/>
      <c r="B24" s="5"/>
      <c r="C24" s="5"/>
      <c r="D24" s="5"/>
      <c r="E24" s="17" t="s">
        <v>419</v>
      </c>
      <c r="G24" s="17" t="s">
        <v>274</v>
      </c>
      <c r="I24" s="28"/>
      <c r="J24" s="28"/>
      <c r="K24" s="96">
        <f t="shared" ref="K24:AI24" si="3">(1 + $I19) ^ - K4</f>
        <v>0.92506938020351526</v>
      </c>
      <c r="L24" s="96">
        <f t="shared" si="3"/>
        <v>0.85575335819011589</v>
      </c>
      <c r="M24" s="96">
        <f t="shared" si="3"/>
        <v>0.79163122866800739</v>
      </c>
      <c r="N24" s="96">
        <f t="shared" si="3"/>
        <v>0.73231381005366081</v>
      </c>
      <c r="O24" s="96">
        <f t="shared" si="3"/>
        <v>0.67744108238081491</v>
      </c>
      <c r="P24" s="96">
        <f t="shared" si="3"/>
        <v>0.62668000220241893</v>
      </c>
      <c r="Q24" s="96">
        <f t="shared" si="3"/>
        <v>0.57972248122332926</v>
      </c>
      <c r="R24" s="96">
        <f t="shared" si="3"/>
        <v>0.53628351639530925</v>
      </c>
      <c r="S24" s="96">
        <f t="shared" si="3"/>
        <v>0.49609946012517048</v>
      </c>
      <c r="T24" s="96">
        <f t="shared" si="3"/>
        <v>0.45892642009728996</v>
      </c>
      <c r="U24" s="96">
        <f t="shared" si="3"/>
        <v>0.42453877899841808</v>
      </c>
      <c r="V24" s="96">
        <f t="shared" si="3"/>
        <v>0.39272782516042376</v>
      </c>
      <c r="W24" s="96">
        <f t="shared" si="3"/>
        <v>0.36330048580982777</v>
      </c>
      <c r="X24" s="96">
        <f t="shared" si="3"/>
        <v>0.33607815523573337</v>
      </c>
      <c r="Y24" s="96">
        <f t="shared" si="3"/>
        <v>0.31089561076386063</v>
      </c>
      <c r="Z24" s="96">
        <f t="shared" si="3"/>
        <v>0.28760000995731788</v>
      </c>
      <c r="AA24" s="96">
        <f t="shared" si="3"/>
        <v>0.26604996295774092</v>
      </c>
      <c r="AB24" s="96">
        <f t="shared" si="3"/>
        <v>0.24611467433648557</v>
      </c>
      <c r="AC24" s="96">
        <f t="shared" si="3"/>
        <v>0.22767314924744272</v>
      </c>
      <c r="AD24" s="96">
        <f t="shared" si="3"/>
        <v>0.21061345906331425</v>
      </c>
      <c r="AE24" s="96">
        <f t="shared" si="3"/>
        <v>0.19483206203821857</v>
      </c>
      <c r="AF24" s="96">
        <f t="shared" si="3"/>
        <v>0.18023317487346768</v>
      </c>
      <c r="AG24" s="96">
        <f t="shared" si="3"/>
        <v>0.16672819137231054</v>
      </c>
      <c r="AH24" s="96">
        <f t="shared" si="3"/>
        <v>0.15423514465523638</v>
      </c>
      <c r="AI24" s="96">
        <f t="shared" si="3"/>
        <v>0.14267820967181905</v>
      </c>
    </row>
    <row r="25" spans="1:35" ht="15" customHeight="1">
      <c r="A25"/>
      <c r="B25" s="5"/>
      <c r="C25" s="5"/>
      <c r="D25" s="5"/>
    </row>
    <row r="26" spans="1:35" ht="15" customHeight="1">
      <c r="A26"/>
      <c r="B26" s="5"/>
      <c r="C26" s="10" t="s">
        <v>420</v>
      </c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</row>
    <row r="27" spans="1:35" ht="15" customHeight="1">
      <c r="A27"/>
      <c r="B27" s="5"/>
      <c r="C27" s="5"/>
      <c r="D27" s="5"/>
    </row>
    <row r="28" spans="1:35" ht="15" customHeight="1">
      <c r="A28"/>
      <c r="B28" s="5"/>
      <c r="C28" s="5"/>
      <c r="D28" s="5"/>
      <c r="E28" s="5" t="s">
        <v>421</v>
      </c>
      <c r="G28" s="5" t="str">
        <f>Inputs!$I$11</f>
        <v>£m 2020 prices</v>
      </c>
      <c r="I28" s="28"/>
      <c r="J28" s="28"/>
      <c r="K28" s="5">
        <f>K13 * K$24</f>
        <v>31.009103353315243</v>
      </c>
      <c r="L28" s="5">
        <f t="shared" ref="L28:X28" si="4">L13 * L$24</f>
        <v>26.610534145318422</v>
      </c>
      <c r="M28" s="5">
        <f t="shared" si="4"/>
        <v>25.557593791068232</v>
      </c>
      <c r="N28" s="5">
        <f t="shared" si="4"/>
        <v>21.713012266561659</v>
      </c>
      <c r="O28" s="5">
        <f t="shared" si="4"/>
        <v>20.378875548160575</v>
      </c>
      <c r="P28" s="5">
        <f t="shared" si="4"/>
        <v>18.929555648085742</v>
      </c>
      <c r="Q28" s="5">
        <f t="shared" si="4"/>
        <v>17.003747619415353</v>
      </c>
      <c r="R28" s="5">
        <f t="shared" si="4"/>
        <v>15.039752901444713</v>
      </c>
      <c r="S28" s="5">
        <f t="shared" si="4"/>
        <v>13.30998360741366</v>
      </c>
      <c r="T28" s="5">
        <f t="shared" si="4"/>
        <v>13.283820956690509</v>
      </c>
      <c r="U28" s="5">
        <f t="shared" si="4"/>
        <v>10.609948294755061</v>
      </c>
      <c r="V28" s="5">
        <f t="shared" si="4"/>
        <v>9.738698583503135</v>
      </c>
      <c r="W28" s="5">
        <f t="shared" si="4"/>
        <v>8.559302135889082</v>
      </c>
      <c r="X28" s="5">
        <f t="shared" si="4"/>
        <v>7.7477937020671703</v>
      </c>
      <c r="Y28" s="5">
        <f>Y13 * Y$24</f>
        <v>7.4364148052378205</v>
      </c>
      <c r="Z28" s="5">
        <f t="shared" ref="Z28:AI28" si="5">Z13 * Z$24</f>
        <v>6.4820390220807038</v>
      </c>
      <c r="AA28" s="5">
        <f t="shared" si="5"/>
        <v>5.6718510373548359</v>
      </c>
      <c r="AB28" s="5">
        <f t="shared" si="5"/>
        <v>5.1267029801823565</v>
      </c>
      <c r="AC28" s="5">
        <f t="shared" si="5"/>
        <v>4.5144344471225191</v>
      </c>
      <c r="AD28" s="5">
        <f t="shared" si="5"/>
        <v>4.2107920363477662</v>
      </c>
      <c r="AE28" s="5">
        <f t="shared" si="5"/>
        <v>4.2378734863741547</v>
      </c>
      <c r="AF28" s="5">
        <f t="shared" si="5"/>
        <v>3.7792187361905332</v>
      </c>
      <c r="AG28" s="5">
        <f t="shared" si="5"/>
        <v>3.3101472312853137</v>
      </c>
      <c r="AH28" s="5">
        <f t="shared" si="5"/>
        <v>2.9871700756217132</v>
      </c>
      <c r="AI28" s="5">
        <f t="shared" si="5"/>
        <v>3.066411081624655</v>
      </c>
    </row>
    <row r="29" spans="1:35" ht="15" customHeight="1">
      <c r="A29"/>
      <c r="B29" s="5"/>
      <c r="C29" s="5"/>
      <c r="D29" s="5"/>
      <c r="E29" s="17" t="s">
        <v>422</v>
      </c>
      <c r="G29" s="5" t="str">
        <f>Inputs!$I$11</f>
        <v>£m 2020 prices</v>
      </c>
      <c r="I29" s="255">
        <f>SUM(K28:AI28)</f>
        <v>290.31477749311097</v>
      </c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</row>
    <row r="30" spans="1:35" ht="15" customHeight="1">
      <c r="A30"/>
      <c r="B30" s="5"/>
      <c r="C30" s="5"/>
      <c r="D30" s="5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</row>
    <row r="31" spans="1:35" ht="15" customHeight="1">
      <c r="A31"/>
      <c r="B31" s="5"/>
      <c r="C31" s="5"/>
      <c r="D31" s="5"/>
      <c r="E31" s="58" t="s">
        <v>417</v>
      </c>
      <c r="G31" s="58" t="str">
        <f>G$21</f>
        <v>scalar</v>
      </c>
      <c r="I31" s="169">
        <f>I$21</f>
        <v>9.4480276733656082E-2</v>
      </c>
    </row>
    <row r="32" spans="1:35" ht="15" customHeight="1">
      <c r="A32"/>
      <c r="B32" s="5"/>
      <c r="C32" s="5"/>
      <c r="D32" s="5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</row>
    <row r="33" spans="1:35" ht="15" customHeight="1">
      <c r="A33"/>
      <c r="B33" s="5"/>
      <c r="C33" s="5"/>
      <c r="D33" s="5"/>
      <c r="E33" s="17" t="s">
        <v>423</v>
      </c>
      <c r="G33" s="5" t="str">
        <f>Inputs!$I$11</f>
        <v>£m 2020 prices</v>
      </c>
      <c r="I33" s="256">
        <f>I29 * I31</f>
        <v>27.429020517418916</v>
      </c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</row>
    <row r="34" spans="1:35" ht="15" customHeight="1">
      <c r="A34"/>
      <c r="B34" s="5"/>
      <c r="C34" s="5"/>
      <c r="D34" s="5"/>
      <c r="E34" s="5" t="s">
        <v>424</v>
      </c>
      <c r="G34" s="5" t="str">
        <f>Inputs!$I$11</f>
        <v>£m 2020 prices</v>
      </c>
      <c r="J34" s="28"/>
      <c r="K34" s="43">
        <f t="shared" ref="K34:W34" si="6">K$23 * $I33</f>
        <v>27.429020517418916</v>
      </c>
      <c r="L34" s="43">
        <f t="shared" si="6"/>
        <v>27.429020517418916</v>
      </c>
      <c r="M34" s="43">
        <f t="shared" si="6"/>
        <v>27.429020517418916</v>
      </c>
      <c r="N34" s="43">
        <f t="shared" si="6"/>
        <v>27.429020517418916</v>
      </c>
      <c r="O34" s="43">
        <f t="shared" si="6"/>
        <v>27.429020517418916</v>
      </c>
      <c r="P34" s="43">
        <f t="shared" si="6"/>
        <v>27.429020517418916</v>
      </c>
      <c r="Q34" s="43">
        <f t="shared" si="6"/>
        <v>27.429020517418916</v>
      </c>
      <c r="R34" s="43">
        <f t="shared" si="6"/>
        <v>27.429020517418916</v>
      </c>
      <c r="S34" s="43">
        <f t="shared" si="6"/>
        <v>27.429020517418916</v>
      </c>
      <c r="T34" s="43">
        <f t="shared" si="6"/>
        <v>27.429020517418916</v>
      </c>
      <c r="U34" s="43">
        <f t="shared" si="6"/>
        <v>27.429020517418916</v>
      </c>
      <c r="V34" s="43">
        <f t="shared" si="6"/>
        <v>27.429020517418916</v>
      </c>
      <c r="W34" s="43">
        <f t="shared" si="6"/>
        <v>27.429020517418916</v>
      </c>
      <c r="X34" s="43">
        <f>X$23 * $I33</f>
        <v>27.429020517418916</v>
      </c>
      <c r="Y34" s="43">
        <f t="shared" ref="Y34:AI34" si="7">Y$23 * $I33</f>
        <v>27.429020517418916</v>
      </c>
      <c r="Z34" s="43">
        <f t="shared" si="7"/>
        <v>27.429020517418916</v>
      </c>
      <c r="AA34" s="43">
        <f t="shared" si="7"/>
        <v>27.429020517418916</v>
      </c>
      <c r="AB34" s="43">
        <f t="shared" si="7"/>
        <v>27.429020517418916</v>
      </c>
      <c r="AC34" s="43">
        <f t="shared" si="7"/>
        <v>27.429020517418916</v>
      </c>
      <c r="AD34" s="43">
        <f t="shared" si="7"/>
        <v>27.429020517418916</v>
      </c>
      <c r="AE34" s="43">
        <f t="shared" si="7"/>
        <v>27.429020517418916</v>
      </c>
      <c r="AF34" s="43">
        <f t="shared" si="7"/>
        <v>27.429020517418916</v>
      </c>
      <c r="AG34" s="43">
        <f t="shared" si="7"/>
        <v>27.429020517418916</v>
      </c>
      <c r="AH34" s="43">
        <f t="shared" si="7"/>
        <v>27.429020517418916</v>
      </c>
      <c r="AI34" s="43">
        <f t="shared" si="7"/>
        <v>27.429020517418916</v>
      </c>
    </row>
    <row r="35" spans="1:35" ht="15" customHeight="1">
      <c r="A35"/>
      <c r="B35" s="5"/>
      <c r="C35" s="5"/>
      <c r="D35" s="5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</row>
    <row r="36" spans="1:35" ht="15" customHeight="1">
      <c r="A36"/>
      <c r="B36" s="267" t="s">
        <v>47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6"/>
      <c r="AG36" s="56"/>
      <c r="AH36" s="56"/>
      <c r="AI36" s="56"/>
    </row>
    <row r="37" spans="1:35" ht="15" customHeight="1">
      <c r="A37"/>
    </row>
    <row r="38" spans="1:35" ht="15" hidden="1" customHeight="1">
      <c r="A38"/>
    </row>
    <row r="39" spans="1:35" ht="15" hidden="1" customHeight="1">
      <c r="A39"/>
    </row>
    <row r="40" spans="1:35" ht="15" hidden="1" customHeight="1">
      <c r="A40"/>
    </row>
  </sheetData>
  <conditionalFormatting sqref="K23:AI23">
    <cfRule type="cellIs" dxfId="3" priority="1" operator="equal">
      <formula>FALSE()</formula>
    </cfRule>
  </conditionalFormatting>
  <pageMargins left="0.23622047244094491" right="0.23622047244094491" top="0.74803149606299213" bottom="0.74803149606299213" header="0.31496062992125984" footer="0.31496062992125984"/>
  <pageSetup paperSize="8" scale="43" fitToHeight="0" orientation="landscape" r:id="rId1"/>
  <headerFooter>
    <oddHeader>&amp;C&amp;"Aptos"&amp;10&amp;K000000 OFFICIAL&amp;1#_x000D_</oddHeader>
    <oddFooter>&amp;C_x000D_&amp;1#&amp;"Aptos"&amp;10&amp;K000000 OFFICIAL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tabColor theme="7" tint="0.59999389629810485"/>
    <pageSetUpPr fitToPage="1"/>
  </sheetPr>
  <dimension ref="A1:AY80"/>
  <sheetViews>
    <sheetView zoomScale="130" zoomScaleNormal="130" workbookViewId="0">
      <pane xSplit="10" ySplit="4" topLeftCell="K5" activePane="bottomRight" state="frozen"/>
      <selection pane="topRight" activeCell="G26" sqref="G26"/>
      <selection pane="bottomLeft" activeCell="G26" sqref="G26"/>
      <selection pane="bottomRight" activeCell="B79" activeCellId="4" sqref="B6 B15 B36 B45 B79"/>
    </sheetView>
  </sheetViews>
  <sheetFormatPr defaultColWidth="0" defaultRowHeight="15" customHeight="1" zeroHeight="1"/>
  <cols>
    <col min="1" max="3" width="2.5703125" style="27" customWidth="1"/>
    <col min="4" max="4" width="2.5703125" style="17" customWidth="1"/>
    <col min="5" max="5" width="50.5703125" style="17" customWidth="1"/>
    <col min="6" max="6" width="1.5703125" style="17" customWidth="1"/>
    <col min="7" max="7" width="15.5703125" style="17" customWidth="1"/>
    <col min="8" max="8" width="10.7109375" style="17" bestFit="1" customWidth="1"/>
    <col min="9" max="9" width="10.5703125" style="17" customWidth="1"/>
    <col min="10" max="10" width="1.5703125" style="17" customWidth="1"/>
    <col min="11" max="35" width="10.5703125" style="17" customWidth="1"/>
    <col min="36" max="36" width="3.140625" customWidth="1"/>
    <col min="37" max="50" width="10.5703125" hidden="1" customWidth="1"/>
    <col min="51" max="51" width="2.5703125" hidden="1" customWidth="1"/>
    <col min="52" max="16384" width="9.140625" hidden="1"/>
  </cols>
  <sheetData>
    <row r="1" spans="1:35" ht="15" customHeight="1">
      <c r="A1" s="157" t="s">
        <v>34</v>
      </c>
      <c r="B1" s="12"/>
      <c r="C1" s="12"/>
      <c r="D1" s="12"/>
      <c r="E1" s="12"/>
      <c r="F1" s="12"/>
      <c r="G1" s="12"/>
      <c r="H1" s="12" t="s">
        <v>108</v>
      </c>
      <c r="I1" s="12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2"/>
      <c r="AH1" s="12"/>
      <c r="AI1" s="12"/>
    </row>
    <row r="2" spans="1:35" ht="15" customHeight="1">
      <c r="A2" s="12"/>
      <c r="B2" s="12"/>
      <c r="C2" s="12"/>
      <c r="D2" s="12"/>
      <c r="E2" s="14" t="s">
        <v>109</v>
      </c>
      <c r="F2" s="14"/>
      <c r="G2" s="14" t="s">
        <v>110</v>
      </c>
      <c r="H2" s="14" t="s">
        <v>111</v>
      </c>
      <c r="I2" s="22" t="s">
        <v>112</v>
      </c>
      <c r="J2" s="15"/>
      <c r="K2" s="14" t="s">
        <v>113</v>
      </c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</row>
    <row r="3" spans="1:35" ht="15" customHeight="1">
      <c r="A3" s="12"/>
      <c r="B3" s="12"/>
      <c r="C3" s="12"/>
      <c r="D3" s="12"/>
      <c r="E3" s="15" t="s">
        <v>393</v>
      </c>
      <c r="F3" s="14"/>
      <c r="G3" s="14"/>
      <c r="H3" s="14"/>
      <c r="I3" s="22"/>
      <c r="J3" s="15"/>
      <c r="K3" s="116" t="s">
        <v>142</v>
      </c>
      <c r="L3" s="116" t="s">
        <v>143</v>
      </c>
      <c r="M3" s="116" t="s">
        <v>144</v>
      </c>
      <c r="N3" s="116" t="s">
        <v>145</v>
      </c>
      <c r="O3" s="116" t="s">
        <v>146</v>
      </c>
      <c r="P3" s="116" t="s">
        <v>147</v>
      </c>
      <c r="Q3" s="116" t="s">
        <v>148</v>
      </c>
      <c r="R3" s="116" t="s">
        <v>149</v>
      </c>
      <c r="S3" s="116" t="s">
        <v>150</v>
      </c>
      <c r="T3" s="116" t="s">
        <v>151</v>
      </c>
      <c r="U3" s="116" t="s">
        <v>152</v>
      </c>
      <c r="V3" s="116" t="s">
        <v>153</v>
      </c>
      <c r="W3" s="116" t="s">
        <v>154</v>
      </c>
      <c r="X3" s="116" t="s">
        <v>155</v>
      </c>
      <c r="Y3" s="116" t="s">
        <v>156</v>
      </c>
      <c r="Z3" s="116" t="s">
        <v>157</v>
      </c>
      <c r="AA3" s="116" t="s">
        <v>158</v>
      </c>
      <c r="AB3" s="116" t="s">
        <v>159</v>
      </c>
      <c r="AC3" s="116" t="s">
        <v>160</v>
      </c>
      <c r="AD3" s="116" t="s">
        <v>161</v>
      </c>
      <c r="AE3" s="116" t="s">
        <v>162</v>
      </c>
      <c r="AF3" s="116" t="s">
        <v>163</v>
      </c>
      <c r="AG3" s="116" t="s">
        <v>164</v>
      </c>
      <c r="AH3" s="116" t="s">
        <v>165</v>
      </c>
      <c r="AI3" s="116" t="s">
        <v>166</v>
      </c>
    </row>
    <row r="4" spans="1:35" ht="15" customHeight="1">
      <c r="A4" s="12"/>
      <c r="B4" s="12"/>
      <c r="C4" s="12"/>
      <c r="D4" s="12"/>
      <c r="E4" s="8" t="s">
        <v>205</v>
      </c>
      <c r="F4" s="14"/>
      <c r="G4" s="14"/>
      <c r="H4" s="14"/>
      <c r="I4" s="14"/>
      <c r="J4" s="15"/>
      <c r="K4" s="117">
        <v>1</v>
      </c>
      <c r="L4" s="117">
        <f>+K4+1</f>
        <v>2</v>
      </c>
      <c r="M4" s="117">
        <f t="shared" ref="M4:AI4" si="0">+L4+1</f>
        <v>3</v>
      </c>
      <c r="N4" s="117">
        <f t="shared" si="0"/>
        <v>4</v>
      </c>
      <c r="O4" s="117">
        <f t="shared" si="0"/>
        <v>5</v>
      </c>
      <c r="P4" s="117">
        <f t="shared" si="0"/>
        <v>6</v>
      </c>
      <c r="Q4" s="117">
        <f t="shared" si="0"/>
        <v>7</v>
      </c>
      <c r="R4" s="117">
        <f t="shared" si="0"/>
        <v>8</v>
      </c>
      <c r="S4" s="117">
        <f t="shared" si="0"/>
        <v>9</v>
      </c>
      <c r="T4" s="117">
        <f t="shared" si="0"/>
        <v>10</v>
      </c>
      <c r="U4" s="117">
        <f t="shared" si="0"/>
        <v>11</v>
      </c>
      <c r="V4" s="117">
        <f t="shared" si="0"/>
        <v>12</v>
      </c>
      <c r="W4" s="117">
        <f t="shared" si="0"/>
        <v>13</v>
      </c>
      <c r="X4" s="117">
        <f t="shared" si="0"/>
        <v>14</v>
      </c>
      <c r="Y4" s="117">
        <f t="shared" si="0"/>
        <v>15</v>
      </c>
      <c r="Z4" s="117">
        <f t="shared" si="0"/>
        <v>16</v>
      </c>
      <c r="AA4" s="117">
        <f t="shared" si="0"/>
        <v>17</v>
      </c>
      <c r="AB4" s="117">
        <f t="shared" si="0"/>
        <v>18</v>
      </c>
      <c r="AC4" s="117">
        <f t="shared" si="0"/>
        <v>19</v>
      </c>
      <c r="AD4" s="117">
        <f t="shared" si="0"/>
        <v>20</v>
      </c>
      <c r="AE4" s="117">
        <f t="shared" si="0"/>
        <v>21</v>
      </c>
      <c r="AF4" s="117">
        <f t="shared" si="0"/>
        <v>22</v>
      </c>
      <c r="AG4" s="117">
        <f t="shared" si="0"/>
        <v>23</v>
      </c>
      <c r="AH4" s="117">
        <f t="shared" si="0"/>
        <v>24</v>
      </c>
      <c r="AI4" s="117">
        <f t="shared" si="0"/>
        <v>25</v>
      </c>
    </row>
    <row r="5" spans="1:35" ht="15" customHeight="1"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</row>
    <row r="6" spans="1:35" ht="15" customHeight="1">
      <c r="A6" s="5"/>
      <c r="B6" s="267" t="s">
        <v>425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</row>
    <row r="7" spans="1:35" ht="15" customHeight="1"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</row>
    <row r="8" spans="1:35" ht="15" customHeight="1">
      <c r="A8"/>
      <c r="E8" s="5" t="s">
        <v>170</v>
      </c>
      <c r="F8" s="29"/>
      <c r="G8" s="5" t="str">
        <f>Inputs!$I$11</f>
        <v>£m 2020 prices</v>
      </c>
      <c r="I8" s="28"/>
      <c r="J8" s="28"/>
      <c r="K8" s="42">
        <f>Inputs!K61</f>
        <v>6.2065041758547563</v>
      </c>
      <c r="L8" s="42">
        <f>Inputs!L61</f>
        <v>4.4747305543047622</v>
      </c>
      <c r="M8" s="42">
        <f>Inputs!M61</f>
        <v>6.356454429002981</v>
      </c>
      <c r="N8" s="42">
        <f>Inputs!N61</f>
        <v>4.4146416825120136</v>
      </c>
      <c r="O8" s="42">
        <f>Inputs!O61</f>
        <v>5.5399394443840935</v>
      </c>
      <c r="P8" s="42">
        <f>Inputs!P61</f>
        <v>6.3569319581792119</v>
      </c>
      <c r="Q8" s="42">
        <f>Inputs!Q61</f>
        <v>5.97448256962155</v>
      </c>
      <c r="R8" s="42">
        <f>Inputs!R61</f>
        <v>4.8788477205779133</v>
      </c>
      <c r="S8" s="42">
        <f>Inputs!S61</f>
        <v>4.3798892082642933</v>
      </c>
      <c r="T8" s="42">
        <f>Inputs!T61</f>
        <v>7.2122347330315026</v>
      </c>
      <c r="U8" s="42">
        <f>Inputs!U61</f>
        <v>3.9746975957128128</v>
      </c>
      <c r="V8" s="42">
        <f>Inputs!V61</f>
        <v>4.496752461184685</v>
      </c>
      <c r="W8" s="42">
        <f>Inputs!W61</f>
        <v>3.9752009437313118</v>
      </c>
      <c r="X8" s="42">
        <f>Inputs!X61</f>
        <v>4.1850896339457213</v>
      </c>
      <c r="Y8" s="42">
        <f>Inputs!Y61</f>
        <v>5.626895371229959</v>
      </c>
      <c r="Z8" s="42">
        <f>Inputs!Z61</f>
        <v>4.4505258139217299</v>
      </c>
      <c r="AA8" s="42">
        <f>Inputs!AA61</f>
        <v>3.9762381950114611</v>
      </c>
      <c r="AB8" s="42">
        <f>Inputs!AB61</f>
        <v>4.233390886467121</v>
      </c>
      <c r="AC8" s="42">
        <f>Inputs!AC61</f>
        <v>3.9767725090758641</v>
      </c>
      <c r="AD8" s="42">
        <f>Inputs!AD61</f>
        <v>4.415993104434083</v>
      </c>
      <c r="AE8" s="42">
        <f>Inputs!AE61</f>
        <v>3.9933568361875267</v>
      </c>
      <c r="AF8" s="42">
        <f>Inputs!AF61</f>
        <v>4.1516260287397504</v>
      </c>
      <c r="AG8" s="42">
        <f>Inputs!AG61</f>
        <v>3.9778735722109784</v>
      </c>
      <c r="AH8" s="42">
        <f>Inputs!AH61</f>
        <v>4.4331444515351128</v>
      </c>
      <c r="AI8" s="42">
        <f>Inputs!AI61</f>
        <v>3.9784407573570921</v>
      </c>
    </row>
    <row r="9" spans="1:35" ht="15" customHeight="1">
      <c r="A9"/>
      <c r="E9" s="5" t="s">
        <v>414</v>
      </c>
      <c r="F9" s="29"/>
      <c r="G9" s="5" t="str">
        <f>Inputs!$I$11</f>
        <v>£m 2020 prices</v>
      </c>
      <c r="I9" s="28"/>
      <c r="J9" s="28"/>
      <c r="K9" s="42">
        <f>Inputs!K62</f>
        <v>1.4324846504503725</v>
      </c>
      <c r="L9" s="42">
        <f>Inputs!L62</f>
        <v>1.4324846504503725</v>
      </c>
      <c r="M9" s="42">
        <f>Inputs!M62</f>
        <v>1.4324846504503725</v>
      </c>
      <c r="N9" s="42">
        <f>Inputs!N62</f>
        <v>1.4324846504503725</v>
      </c>
      <c r="O9" s="42">
        <f>Inputs!O62</f>
        <v>1.4324846504503725</v>
      </c>
      <c r="P9" s="42">
        <f>Inputs!P62</f>
        <v>1.4324846504503725</v>
      </c>
      <c r="Q9" s="42">
        <f>Inputs!Q62</f>
        <v>1.4324846504503725</v>
      </c>
      <c r="R9" s="42">
        <f>Inputs!R62</f>
        <v>1.4324846504503725</v>
      </c>
      <c r="S9" s="42">
        <f>Inputs!S62</f>
        <v>1.4324846504503725</v>
      </c>
      <c r="T9" s="42">
        <f>Inputs!T62</f>
        <v>1.4324846504503725</v>
      </c>
      <c r="U9" s="42">
        <f>Inputs!U62</f>
        <v>1.4324846504503725</v>
      </c>
      <c r="V9" s="42">
        <f>Inputs!V62</f>
        <v>1.4324846504503725</v>
      </c>
      <c r="W9" s="42">
        <f>Inputs!W62</f>
        <v>1.4324846504503725</v>
      </c>
      <c r="X9" s="42">
        <f>Inputs!X62</f>
        <v>1.4324846504503725</v>
      </c>
      <c r="Y9" s="42">
        <f>Inputs!Y62</f>
        <v>1.4324846504503725</v>
      </c>
      <c r="Z9" s="42">
        <f>Inputs!Z62</f>
        <v>1.4324846504503725</v>
      </c>
      <c r="AA9" s="42">
        <f>Inputs!AA62</f>
        <v>1.4324846504503725</v>
      </c>
      <c r="AB9" s="42">
        <f>Inputs!AB62</f>
        <v>1.4324846504503725</v>
      </c>
      <c r="AC9" s="42">
        <f>Inputs!AC62</f>
        <v>1.4324846504503725</v>
      </c>
      <c r="AD9" s="42">
        <f>Inputs!AD62</f>
        <v>1.4324846504503725</v>
      </c>
      <c r="AE9" s="42">
        <f>Inputs!AE62</f>
        <v>1.4324846504503725</v>
      </c>
      <c r="AF9" s="42">
        <f>Inputs!AF62</f>
        <v>1.4324846504503725</v>
      </c>
      <c r="AG9" s="42">
        <f>Inputs!AG62</f>
        <v>1.4324846504503725</v>
      </c>
      <c r="AH9" s="42">
        <f>Inputs!AH62</f>
        <v>1.4324846504503725</v>
      </c>
      <c r="AI9" s="42">
        <f>Inputs!AI62</f>
        <v>1.4324846504503725</v>
      </c>
    </row>
    <row r="10" spans="1:35" ht="15" customHeight="1">
      <c r="A10"/>
      <c r="E10" s="5" t="s">
        <v>169</v>
      </c>
      <c r="F10" s="29"/>
      <c r="G10" s="5" t="str">
        <f>Inputs!$I$11</f>
        <v>£m 2020 prices</v>
      </c>
      <c r="I10" s="28"/>
      <c r="J10" s="28"/>
      <c r="K10" s="42">
        <f>Inputs!K60</f>
        <v>0</v>
      </c>
      <c r="L10" s="42">
        <f>Inputs!L60</f>
        <v>0</v>
      </c>
      <c r="M10" s="42">
        <f>Inputs!M60</f>
        <v>0</v>
      </c>
      <c r="N10" s="42">
        <f>Inputs!N60</f>
        <v>0</v>
      </c>
      <c r="O10" s="42">
        <f>Inputs!O60</f>
        <v>0</v>
      </c>
      <c r="P10" s="42">
        <f>Inputs!P60</f>
        <v>0</v>
      </c>
      <c r="Q10" s="42">
        <f>Inputs!Q60</f>
        <v>0</v>
      </c>
      <c r="R10" s="42">
        <f>Inputs!R60</f>
        <v>0</v>
      </c>
      <c r="S10" s="42">
        <f>Inputs!S60</f>
        <v>0</v>
      </c>
      <c r="T10" s="42">
        <f>Inputs!T60</f>
        <v>0</v>
      </c>
      <c r="U10" s="42">
        <f>Inputs!U60</f>
        <v>0</v>
      </c>
      <c r="V10" s="42">
        <f>Inputs!V60</f>
        <v>0</v>
      </c>
      <c r="W10" s="42">
        <f>Inputs!W60</f>
        <v>0</v>
      </c>
      <c r="X10" s="42">
        <f>Inputs!X60</f>
        <v>0</v>
      </c>
      <c r="Y10" s="42">
        <f>Inputs!Y60</f>
        <v>0</v>
      </c>
      <c r="Z10" s="42">
        <f>Inputs!Z60</f>
        <v>0</v>
      </c>
      <c r="AA10" s="42">
        <f>Inputs!AA60</f>
        <v>0</v>
      </c>
      <c r="AB10" s="42">
        <f>Inputs!AB60</f>
        <v>0</v>
      </c>
      <c r="AC10" s="42">
        <f>Inputs!AC60</f>
        <v>0</v>
      </c>
      <c r="AD10" s="42">
        <f>Inputs!AD60</f>
        <v>0</v>
      </c>
      <c r="AE10" s="42">
        <f>Inputs!AE60</f>
        <v>0</v>
      </c>
      <c r="AF10" s="42">
        <f>Inputs!AF60</f>
        <v>0</v>
      </c>
      <c r="AG10" s="42">
        <f>Inputs!AG60</f>
        <v>0</v>
      </c>
      <c r="AH10" s="42">
        <f>Inputs!AH60</f>
        <v>0</v>
      </c>
      <c r="AI10" s="42">
        <f>Inputs!AI60</f>
        <v>3.520054633531112</v>
      </c>
    </row>
    <row r="11" spans="1:35" ht="15" customHeight="1">
      <c r="A11"/>
      <c r="E11" s="5" t="s">
        <v>405</v>
      </c>
      <c r="F11" s="29"/>
      <c r="G11" s="5" t="str">
        <f>Inputs!$I$11</f>
        <v>£m 2020 prices</v>
      </c>
      <c r="I11" s="28"/>
      <c r="J11" s="28"/>
      <c r="K11" s="42">
        <f>'Op Rav'!K25</f>
        <v>8.8890137536920228</v>
      </c>
      <c r="L11" s="42">
        <f>'Op Rav'!L25</f>
        <v>8.8890137536920228</v>
      </c>
      <c r="M11" s="42">
        <f>'Op Rav'!M25</f>
        <v>8.8890137536920228</v>
      </c>
      <c r="N11" s="42">
        <f>'Op Rav'!N25</f>
        <v>8.8890137536920246</v>
      </c>
      <c r="O11" s="42">
        <f>'Op Rav'!O25</f>
        <v>8.8890137536920246</v>
      </c>
      <c r="P11" s="42">
        <f>'Op Rav'!P25</f>
        <v>8.8890137536920246</v>
      </c>
      <c r="Q11" s="42">
        <f>'Op Rav'!Q25</f>
        <v>8.8890137536920264</v>
      </c>
      <c r="R11" s="42">
        <f>'Op Rav'!R25</f>
        <v>9.185924910815821</v>
      </c>
      <c r="S11" s="42">
        <f>'Op Rav'!S25</f>
        <v>9.185924910815821</v>
      </c>
      <c r="T11" s="42">
        <f>'Op Rav'!T25</f>
        <v>9.185924910815821</v>
      </c>
      <c r="U11" s="42">
        <f>'Op Rav'!U25</f>
        <v>9.185924910815821</v>
      </c>
      <c r="V11" s="42">
        <f>'Op Rav'!V25</f>
        <v>9.1859249108158192</v>
      </c>
      <c r="W11" s="42">
        <f>'Op Rav'!W25</f>
        <v>9.185924910815821</v>
      </c>
      <c r="X11" s="42">
        <f>'Op Rav'!X25</f>
        <v>9.185924910815821</v>
      </c>
      <c r="Y11" s="42">
        <f>'Op Rav'!Y25</f>
        <v>9.185924910815821</v>
      </c>
      <c r="Z11" s="42">
        <f>'Op Rav'!Z25</f>
        <v>9.5600325679607412</v>
      </c>
      <c r="AA11" s="42">
        <f>'Op Rav'!AA25</f>
        <v>9.5600325679607394</v>
      </c>
      <c r="AB11" s="42">
        <f>'Op Rav'!AB25</f>
        <v>9.5600325679607394</v>
      </c>
      <c r="AC11" s="42">
        <f>'Op Rav'!AC25</f>
        <v>9.5600325679607376</v>
      </c>
      <c r="AD11" s="42">
        <f>'Op Rav'!AD25</f>
        <v>9.5600325679607376</v>
      </c>
      <c r="AE11" s="42">
        <f>'Op Rav'!AE25</f>
        <v>12.071904564707639</v>
      </c>
      <c r="AF11" s="42">
        <f>'Op Rav'!AF25</f>
        <v>12.071904564707639</v>
      </c>
      <c r="AG11" s="42">
        <f>'Op Rav'!AG25</f>
        <v>12.071904564707639</v>
      </c>
      <c r="AH11" s="42">
        <f>'Op Rav'!AH25</f>
        <v>12.071904564707641</v>
      </c>
      <c r="AI11" s="42">
        <f>'Op Rav'!AI25</f>
        <v>12.071904564707641</v>
      </c>
    </row>
    <row r="12" spans="1:35" ht="15" customHeight="1">
      <c r="A12"/>
      <c r="E12" s="5" t="s">
        <v>411</v>
      </c>
      <c r="G12" s="5" t="str">
        <f>Inputs!$I$11</f>
        <v>£m 2020 prices</v>
      </c>
      <c r="I12" s="5"/>
      <c r="K12" s="42">
        <f>'Op Rav'!K41</f>
        <v>-1.8369492944524624</v>
      </c>
      <c r="L12" s="42">
        <f>'Op Rav'!L41</f>
        <v>-1.7619653179238395</v>
      </c>
      <c r="M12" s="42">
        <f>'Op Rav'!M41</f>
        <v>-1.6869813413952162</v>
      </c>
      <c r="N12" s="42">
        <f>'Op Rav'!N41</f>
        <v>-1.6119973648665933</v>
      </c>
      <c r="O12" s="42">
        <f>'Op Rav'!O41</f>
        <v>-1.5370133883379702</v>
      </c>
      <c r="P12" s="42">
        <f>'Op Rav'!P41</f>
        <v>-1.4620294118093469</v>
      </c>
      <c r="Q12" s="42">
        <f>'Op Rav'!Q41</f>
        <v>-1.4096820664611989</v>
      </c>
      <c r="R12" s="42">
        <f>'Op Rav'!R41</f>
        <v>-1.3558869827899971</v>
      </c>
      <c r="S12" s="42">
        <f>'Op Rav'!S41</f>
        <v>-1.2783983887803163</v>
      </c>
      <c r="T12" s="42">
        <f>'Op Rav'!T41</f>
        <v>-1.2009097947706358</v>
      </c>
      <c r="U12" s="42">
        <f>'Op Rav'!U41</f>
        <v>-1.1234212007609552</v>
      </c>
      <c r="V12" s="42">
        <f>'Op Rav'!V41</f>
        <v>-1.0459326067512744</v>
      </c>
      <c r="W12" s="42">
        <f>'Op Rav'!W41</f>
        <v>-0.96844401274159386</v>
      </c>
      <c r="X12" s="42">
        <f>'Op Rav'!X41</f>
        <v>-0.89095541873191331</v>
      </c>
      <c r="Y12" s="42">
        <f>'Op Rav'!Y41</f>
        <v>-0.82931244957104933</v>
      </c>
      <c r="Z12" s="42">
        <f>'Op Rav'!Z41</f>
        <v>-0.76595181467657369</v>
      </c>
      <c r="AA12" s="42">
        <f>'Op Rav'!AA41</f>
        <v>-0.68530740602200269</v>
      </c>
      <c r="AB12" s="42">
        <f>'Op Rav'!AB41</f>
        <v>-0.60466299736743168</v>
      </c>
      <c r="AC12" s="42">
        <f>'Op Rav'!AC41</f>
        <v>-0.52401858871286067</v>
      </c>
      <c r="AD12" s="42">
        <f>'Op Rav'!AD41</f>
        <v>-0.49657033973122738</v>
      </c>
      <c r="AE12" s="42">
        <f>'Op Rav'!AE41</f>
        <v>-0.4580360110737538</v>
      </c>
      <c r="AF12" s="42">
        <f>'Op Rav'!AF41</f>
        <v>-0.35620250809825843</v>
      </c>
      <c r="AG12" s="42">
        <f>'Op Rav'!AG41</f>
        <v>-0.254369005122763</v>
      </c>
      <c r="AH12" s="42">
        <f>'Op Rav'!AH41</f>
        <v>-0.15253550214726752</v>
      </c>
      <c r="AI12" s="42">
        <f>'Op Rav'!AI41</f>
        <v>-5.0701999171772087E-2</v>
      </c>
    </row>
    <row r="13" spans="1:35" ht="15" customHeight="1">
      <c r="A13"/>
      <c r="E13" s="17" t="s">
        <v>426</v>
      </c>
      <c r="G13" s="5" t="str">
        <f>Inputs!$I$11</f>
        <v>£m 2020 prices</v>
      </c>
      <c r="I13" s="5"/>
      <c r="K13" s="59">
        <f t="shared" ref="K13:AI13" si="1">SUM(K8:K12)</f>
        <v>14.691053285544687</v>
      </c>
      <c r="L13" s="59">
        <f t="shared" si="1"/>
        <v>13.034263640523317</v>
      </c>
      <c r="M13" s="59">
        <f t="shared" si="1"/>
        <v>14.990971491750161</v>
      </c>
      <c r="N13" s="59">
        <f t="shared" si="1"/>
        <v>13.124142721787818</v>
      </c>
      <c r="O13" s="59">
        <f t="shared" si="1"/>
        <v>14.324424460188521</v>
      </c>
      <c r="P13" s="59">
        <f t="shared" si="1"/>
        <v>15.216400950512263</v>
      </c>
      <c r="Q13" s="59">
        <f t="shared" si="1"/>
        <v>14.88629890730275</v>
      </c>
      <c r="R13" s="59">
        <f t="shared" si="1"/>
        <v>14.14137029905411</v>
      </c>
      <c r="S13" s="59">
        <f t="shared" si="1"/>
        <v>13.71990038075017</v>
      </c>
      <c r="T13" s="59">
        <f t="shared" si="1"/>
        <v>16.629734499527064</v>
      </c>
      <c r="U13" s="59">
        <f t="shared" si="1"/>
        <v>13.469685956218051</v>
      </c>
      <c r="V13" s="59">
        <f t="shared" si="1"/>
        <v>14.069229415699603</v>
      </c>
      <c r="W13" s="59">
        <f t="shared" si="1"/>
        <v>13.625166492255911</v>
      </c>
      <c r="X13" s="59">
        <f t="shared" si="1"/>
        <v>13.912543776480002</v>
      </c>
      <c r="Y13" s="59">
        <f t="shared" si="1"/>
        <v>15.415992482925105</v>
      </c>
      <c r="Z13" s="59">
        <f t="shared" si="1"/>
        <v>14.677091217656269</v>
      </c>
      <c r="AA13" s="59">
        <f t="shared" si="1"/>
        <v>14.283448007400571</v>
      </c>
      <c r="AB13" s="59">
        <f t="shared" si="1"/>
        <v>14.6212451075108</v>
      </c>
      <c r="AC13" s="59">
        <f t="shared" si="1"/>
        <v>14.445271138774112</v>
      </c>
      <c r="AD13" s="59">
        <f t="shared" si="1"/>
        <v>14.911939983113964</v>
      </c>
      <c r="AE13" s="59">
        <f t="shared" si="1"/>
        <v>17.039710040271782</v>
      </c>
      <c r="AF13" s="59">
        <f t="shared" si="1"/>
        <v>17.299812735799502</v>
      </c>
      <c r="AG13" s="59">
        <f t="shared" si="1"/>
        <v>17.227893782246227</v>
      </c>
      <c r="AH13" s="59">
        <f t="shared" si="1"/>
        <v>17.784998164545861</v>
      </c>
      <c r="AI13" s="59">
        <f t="shared" si="1"/>
        <v>20.952182606874445</v>
      </c>
    </row>
    <row r="14" spans="1:35" ht="15" customHeight="1">
      <c r="A14"/>
    </row>
    <row r="15" spans="1:35" ht="15" customHeight="1">
      <c r="A15"/>
      <c r="B15" s="267" t="s">
        <v>427</v>
      </c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</row>
    <row r="16" spans="1:35" ht="15" customHeight="1">
      <c r="A16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</row>
    <row r="17" spans="1:35" ht="15" customHeight="1">
      <c r="A17"/>
      <c r="B17" s="5"/>
      <c r="C17" s="10" t="s">
        <v>416</v>
      </c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</row>
    <row r="18" spans="1:35" ht="15" customHeight="1">
      <c r="A18"/>
      <c r="B18" s="5"/>
      <c r="C18" s="5"/>
      <c r="D18" s="5"/>
    </row>
    <row r="19" spans="1:35" ht="15" customHeight="1">
      <c r="A19"/>
      <c r="E19" s="16" t="s">
        <v>179</v>
      </c>
      <c r="G19" s="16" t="str">
        <f>Inputs!G69</f>
        <v>real annual %</v>
      </c>
      <c r="I19" s="80">
        <f>Inputs!I69</f>
        <v>-8.3999999999999995E-3</v>
      </c>
    </row>
    <row r="20" spans="1:35" ht="15" customHeight="1">
      <c r="A20"/>
      <c r="B20" s="5"/>
      <c r="C20" s="5"/>
      <c r="D20" s="5"/>
      <c r="E20" s="30" t="s">
        <v>250</v>
      </c>
      <c r="G20" s="30" t="str">
        <f>Inputs!G155</f>
        <v>full years</v>
      </c>
      <c r="I20" s="108">
        <f>Inputs!I155</f>
        <v>25</v>
      </c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</row>
    <row r="21" spans="1:35" ht="15" customHeight="1">
      <c r="A21"/>
      <c r="B21" s="5"/>
      <c r="C21" s="5"/>
      <c r="D21" s="5"/>
      <c r="E21" s="17" t="s">
        <v>428</v>
      </c>
      <c r="G21" s="17" t="s">
        <v>274</v>
      </c>
      <c r="I21" s="58">
        <f>I19 / (1 - (1 + I19)^(-I20))</f>
        <v>3.5779275382147847E-2</v>
      </c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</row>
    <row r="22" spans="1:35" ht="15" customHeight="1">
      <c r="A22"/>
      <c r="B22" s="5"/>
      <c r="C22" s="5"/>
      <c r="D22" s="5"/>
    </row>
    <row r="23" spans="1:35" ht="15" customHeight="1">
      <c r="A23"/>
      <c r="B23" s="5"/>
      <c r="C23" s="5"/>
      <c r="D23" s="5"/>
      <c r="E23" s="5" t="s">
        <v>418</v>
      </c>
      <c r="F23" s="5"/>
      <c r="G23" s="5" t="s">
        <v>256</v>
      </c>
      <c r="H23" s="5"/>
      <c r="I23" s="26"/>
      <c r="J23" s="6"/>
      <c r="K23" s="20" t="b">
        <f t="shared" ref="K23:AI23" si="2">AND(K4 &gt; 0, K4&lt;= $I20)</f>
        <v>1</v>
      </c>
      <c r="L23" s="20" t="b">
        <f t="shared" si="2"/>
        <v>1</v>
      </c>
      <c r="M23" s="20" t="b">
        <f t="shared" si="2"/>
        <v>1</v>
      </c>
      <c r="N23" s="20" t="b">
        <f t="shared" si="2"/>
        <v>1</v>
      </c>
      <c r="O23" s="20" t="b">
        <f t="shared" si="2"/>
        <v>1</v>
      </c>
      <c r="P23" s="20" t="b">
        <f t="shared" si="2"/>
        <v>1</v>
      </c>
      <c r="Q23" s="20" t="b">
        <f t="shared" si="2"/>
        <v>1</v>
      </c>
      <c r="R23" s="20" t="b">
        <f t="shared" si="2"/>
        <v>1</v>
      </c>
      <c r="S23" s="20" t="b">
        <f t="shared" si="2"/>
        <v>1</v>
      </c>
      <c r="T23" s="20" t="b">
        <f t="shared" si="2"/>
        <v>1</v>
      </c>
      <c r="U23" s="20" t="b">
        <f t="shared" si="2"/>
        <v>1</v>
      </c>
      <c r="V23" s="20" t="b">
        <f t="shared" si="2"/>
        <v>1</v>
      </c>
      <c r="W23" s="20" t="b">
        <f t="shared" si="2"/>
        <v>1</v>
      </c>
      <c r="X23" s="20" t="b">
        <f t="shared" si="2"/>
        <v>1</v>
      </c>
      <c r="Y23" s="20" t="b">
        <f t="shared" si="2"/>
        <v>1</v>
      </c>
      <c r="Z23" s="20" t="b">
        <f t="shared" si="2"/>
        <v>1</v>
      </c>
      <c r="AA23" s="20" t="b">
        <f t="shared" si="2"/>
        <v>1</v>
      </c>
      <c r="AB23" s="20" t="b">
        <f t="shared" si="2"/>
        <v>1</v>
      </c>
      <c r="AC23" s="20" t="b">
        <f t="shared" si="2"/>
        <v>1</v>
      </c>
      <c r="AD23" s="20" t="b">
        <f t="shared" si="2"/>
        <v>1</v>
      </c>
      <c r="AE23" s="20" t="b">
        <f t="shared" si="2"/>
        <v>1</v>
      </c>
      <c r="AF23" s="20" t="b">
        <f t="shared" si="2"/>
        <v>1</v>
      </c>
      <c r="AG23" s="20" t="b">
        <f t="shared" si="2"/>
        <v>1</v>
      </c>
      <c r="AH23" s="20" t="b">
        <f t="shared" si="2"/>
        <v>1</v>
      </c>
      <c r="AI23" s="20" t="b">
        <f t="shared" si="2"/>
        <v>1</v>
      </c>
    </row>
    <row r="24" spans="1:35" ht="15" customHeight="1">
      <c r="A24"/>
      <c r="B24" s="5"/>
      <c r="C24" s="5"/>
      <c r="D24" s="5"/>
      <c r="E24" s="17" t="s">
        <v>429</v>
      </c>
      <c r="G24" s="17" t="s">
        <v>274</v>
      </c>
      <c r="I24" s="28"/>
      <c r="J24" s="28"/>
      <c r="K24" s="96">
        <f t="shared" ref="K24:AI24" si="3">(1 + $I19) ^ - K4</f>
        <v>1.008471157724889</v>
      </c>
      <c r="L24" s="96">
        <f t="shared" si="3"/>
        <v>1.017014075962978</v>
      </c>
      <c r="M24" s="96">
        <f t="shared" si="3"/>
        <v>1.0256293626088926</v>
      </c>
      <c r="N24" s="96">
        <f t="shared" si="3"/>
        <v>1.0343176307068298</v>
      </c>
      <c r="O24" s="96">
        <f t="shared" si="3"/>
        <v>1.0430794984941811</v>
      </c>
      <c r="P24" s="96">
        <f t="shared" si="3"/>
        <v>1.0519155894455232</v>
      </c>
      <c r="Q24" s="96">
        <f t="shared" si="3"/>
        <v>1.0608265323169859</v>
      </c>
      <c r="R24" s="96">
        <f t="shared" si="3"/>
        <v>1.0698129611909901</v>
      </c>
      <c r="S24" s="96">
        <f t="shared" si="3"/>
        <v>1.0788755155213696</v>
      </c>
      <c r="T24" s="96">
        <f t="shared" si="3"/>
        <v>1.0880148401788721</v>
      </c>
      <c r="U24" s="96">
        <f t="shared" si="3"/>
        <v>1.0972315854970471</v>
      </c>
      <c r="V24" s="96">
        <f t="shared" si="3"/>
        <v>1.1065264073185228</v>
      </c>
      <c r="W24" s="96">
        <f t="shared" si="3"/>
        <v>1.1158999670416729</v>
      </c>
      <c r="X24" s="96">
        <f t="shared" si="3"/>
        <v>1.1253529316676811</v>
      </c>
      <c r="Y24" s="96">
        <f t="shared" si="3"/>
        <v>1.1348859738480044</v>
      </c>
      <c r="Z24" s="96">
        <f t="shared" si="3"/>
        <v>1.1444997719322352</v>
      </c>
      <c r="AA24" s="96">
        <f t="shared" si="3"/>
        <v>1.1541950100163727</v>
      </c>
      <c r="AB24" s="96">
        <f t="shared" si="3"/>
        <v>1.1639723779915012</v>
      </c>
      <c r="AC24" s="96">
        <f t="shared" si="3"/>
        <v>1.1738325715928815</v>
      </c>
      <c r="AD24" s="96">
        <f t="shared" si="3"/>
        <v>1.1837762924494568</v>
      </c>
      <c r="AE24" s="96">
        <f t="shared" si="3"/>
        <v>1.1938042481337805</v>
      </c>
      <c r="AF24" s="96">
        <f t="shared" si="3"/>
        <v>1.2039171522123642</v>
      </c>
      <c r="AG24" s="96">
        <f t="shared" si="3"/>
        <v>1.2141157242964542</v>
      </c>
      <c r="AH24" s="96">
        <f t="shared" si="3"/>
        <v>1.2244006900932376</v>
      </c>
      <c r="AI24" s="96">
        <f t="shared" si="3"/>
        <v>1.2347727814574803</v>
      </c>
    </row>
    <row r="25" spans="1:35" ht="15" customHeight="1">
      <c r="A25"/>
      <c r="B25" s="5"/>
      <c r="C25" s="5"/>
      <c r="D25" s="5"/>
    </row>
    <row r="26" spans="1:35" ht="15" customHeight="1">
      <c r="A26"/>
      <c r="C26" s="10" t="s">
        <v>420</v>
      </c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</row>
    <row r="27" spans="1:35" ht="15" customHeight="1">
      <c r="A27"/>
    </row>
    <row r="28" spans="1:35" ht="15" customHeight="1">
      <c r="A28"/>
      <c r="B28" s="5"/>
      <c r="C28" s="5"/>
      <c r="D28" s="5"/>
      <c r="E28" s="5" t="s">
        <v>430</v>
      </c>
      <c r="G28" s="5" t="str">
        <f>Inputs!$I$11</f>
        <v>£m 2020 prices</v>
      </c>
      <c r="I28" s="28"/>
      <c r="J28" s="28"/>
      <c r="K28" s="5">
        <f>K13 * K$24</f>
        <v>14.815503515071285</v>
      </c>
      <c r="L28" s="5">
        <f t="shared" ref="L28:W28" si="4">L13 * L$24</f>
        <v>13.256029592224664</v>
      </c>
      <c r="M28" s="5">
        <f t="shared" si="4"/>
        <v>15.375180535971797</v>
      </c>
      <c r="N28" s="5">
        <f t="shared" si="4"/>
        <v>13.57453220505786</v>
      </c>
      <c r="O28" s="5">
        <f t="shared" si="4"/>
        <v>14.941513482151224</v>
      </c>
      <c r="P28" s="5">
        <f t="shared" si="4"/>
        <v>16.006369375097528</v>
      </c>
      <c r="Q28" s="5">
        <f t="shared" si="4"/>
        <v>15.791780848868113</v>
      </c>
      <c r="R28" s="5">
        <f t="shared" si="4"/>
        <v>15.128621234929394</v>
      </c>
      <c r="S28" s="5">
        <f t="shared" si="4"/>
        <v>14.802064596183675</v>
      </c>
      <c r="T28" s="5">
        <f t="shared" si="4"/>
        <v>18.093397923720016</v>
      </c>
      <c r="U28" s="5">
        <f t="shared" si="4"/>
        <v>14.77936487788844</v>
      </c>
      <c r="V28" s="5">
        <f t="shared" si="4"/>
        <v>15.567973879094161</v>
      </c>
      <c r="W28" s="5">
        <f t="shared" si="4"/>
        <v>15.204322839645677</v>
      </c>
      <c r="X28" s="5">
        <f t="shared" ref="X28:AI28" si="5">X13 * X$24</f>
        <v>15.656521925816721</v>
      </c>
      <c r="Y28" s="5">
        <f t="shared" si="5"/>
        <v>17.495393641817973</v>
      </c>
      <c r="Z28" s="5">
        <f t="shared" si="5"/>
        <v>16.79792755123621</v>
      </c>
      <c r="AA28" s="5">
        <f t="shared" si="5"/>
        <v>16.485884415970041</v>
      </c>
      <c r="AB28" s="5">
        <f t="shared" si="5"/>
        <v>17.01872543698595</v>
      </c>
      <c r="AC28" s="5">
        <f t="shared" si="5"/>
        <v>16.956329768183647</v>
      </c>
      <c r="AD28" s="5">
        <f t="shared" si="5"/>
        <v>17.652401026439463</v>
      </c>
      <c r="AE28" s="5">
        <f t="shared" si="5"/>
        <v>20.342078233044287</v>
      </c>
      <c r="AF28" s="5">
        <f t="shared" si="5"/>
        <v>20.827541282690927</v>
      </c>
      <c r="AG28" s="5">
        <f t="shared" si="5"/>
        <v>20.916656737534257</v>
      </c>
      <c r="AH28" s="5">
        <f t="shared" si="5"/>
        <v>21.775964025976915</v>
      </c>
      <c r="AI28" s="5">
        <f t="shared" si="5"/>
        <v>25.871184795095399</v>
      </c>
    </row>
    <row r="29" spans="1:35" ht="15" customHeight="1">
      <c r="A29"/>
      <c r="B29" s="5"/>
      <c r="C29" s="5"/>
      <c r="D29" s="5"/>
      <c r="E29" s="17" t="s">
        <v>431</v>
      </c>
      <c r="G29" s="5" t="str">
        <f>Inputs!$I$11</f>
        <v>£m 2020 prices</v>
      </c>
      <c r="I29" s="255">
        <f>SUM(K28:AI28)</f>
        <v>425.13326374669555</v>
      </c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</row>
    <row r="30" spans="1:35" ht="15" customHeight="1">
      <c r="A30"/>
      <c r="B30" s="5"/>
      <c r="C30" s="5"/>
      <c r="D30" s="5"/>
      <c r="G30" s="5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</row>
    <row r="31" spans="1:35" ht="15" customHeight="1">
      <c r="A31"/>
      <c r="B31" s="5"/>
      <c r="C31" s="5"/>
      <c r="D31" s="5"/>
      <c r="E31" s="17" t="s">
        <v>428</v>
      </c>
      <c r="G31" s="17" t="str">
        <f>G$21</f>
        <v>scalar</v>
      </c>
      <c r="I31" s="170">
        <f>I$21</f>
        <v>3.5779275382147847E-2</v>
      </c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</row>
    <row r="32" spans="1:35" ht="15" customHeight="1">
      <c r="A32"/>
      <c r="B32" s="5"/>
      <c r="C32" s="5"/>
      <c r="D32" s="5"/>
      <c r="G32" s="5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</row>
    <row r="33" spans="1:35" ht="15" customHeight="1">
      <c r="A33"/>
      <c r="B33" s="5"/>
      <c r="C33" s="5"/>
      <c r="D33" s="5"/>
      <c r="E33" s="17" t="s">
        <v>432</v>
      </c>
      <c r="G33" s="5" t="str">
        <f>Inputs!$I$11</f>
        <v>£m 2020 prices</v>
      </c>
      <c r="I33" s="256">
        <f>I29 * I31</f>
        <v>15.210960117704312</v>
      </c>
      <c r="J33" s="28"/>
    </row>
    <row r="34" spans="1:35" ht="15" customHeight="1">
      <c r="A34"/>
      <c r="B34" s="5"/>
      <c r="C34" s="5"/>
      <c r="D34" s="5"/>
      <c r="E34" s="5" t="s">
        <v>433</v>
      </c>
      <c r="G34" s="5" t="str">
        <f>Inputs!$I$11</f>
        <v>£m 2020 prices</v>
      </c>
      <c r="J34" s="28"/>
      <c r="K34" s="43">
        <f t="shared" ref="K34:W34" si="6">K$23 * $I33</f>
        <v>15.210960117704312</v>
      </c>
      <c r="L34" s="43">
        <f t="shared" si="6"/>
        <v>15.210960117704312</v>
      </c>
      <c r="M34" s="43">
        <f t="shared" si="6"/>
        <v>15.210960117704312</v>
      </c>
      <c r="N34" s="43">
        <f t="shared" si="6"/>
        <v>15.210960117704312</v>
      </c>
      <c r="O34" s="43">
        <f t="shared" si="6"/>
        <v>15.210960117704312</v>
      </c>
      <c r="P34" s="43">
        <f t="shared" si="6"/>
        <v>15.210960117704312</v>
      </c>
      <c r="Q34" s="43">
        <f t="shared" si="6"/>
        <v>15.210960117704312</v>
      </c>
      <c r="R34" s="43">
        <f t="shared" si="6"/>
        <v>15.210960117704312</v>
      </c>
      <c r="S34" s="43">
        <f t="shared" si="6"/>
        <v>15.210960117704312</v>
      </c>
      <c r="T34" s="43">
        <f t="shared" si="6"/>
        <v>15.210960117704312</v>
      </c>
      <c r="U34" s="43">
        <f t="shared" si="6"/>
        <v>15.210960117704312</v>
      </c>
      <c r="V34" s="43">
        <f t="shared" si="6"/>
        <v>15.210960117704312</v>
      </c>
      <c r="W34" s="43">
        <f t="shared" si="6"/>
        <v>15.210960117704312</v>
      </c>
      <c r="X34" s="43">
        <f t="shared" ref="X34:AI34" si="7">X$23 * $I33</f>
        <v>15.210960117704312</v>
      </c>
      <c r="Y34" s="43">
        <f t="shared" si="7"/>
        <v>15.210960117704312</v>
      </c>
      <c r="Z34" s="43">
        <f t="shared" si="7"/>
        <v>15.210960117704312</v>
      </c>
      <c r="AA34" s="43">
        <f t="shared" si="7"/>
        <v>15.210960117704312</v>
      </c>
      <c r="AB34" s="43">
        <f t="shared" si="7"/>
        <v>15.210960117704312</v>
      </c>
      <c r="AC34" s="43">
        <f t="shared" si="7"/>
        <v>15.210960117704312</v>
      </c>
      <c r="AD34" s="43">
        <f t="shared" si="7"/>
        <v>15.210960117704312</v>
      </c>
      <c r="AE34" s="43">
        <f t="shared" si="7"/>
        <v>15.210960117704312</v>
      </c>
      <c r="AF34" s="43">
        <f t="shared" si="7"/>
        <v>15.210960117704312</v>
      </c>
      <c r="AG34" s="43">
        <f t="shared" si="7"/>
        <v>15.210960117704312</v>
      </c>
      <c r="AH34" s="43">
        <f t="shared" si="7"/>
        <v>15.210960117704312</v>
      </c>
      <c r="AI34" s="43">
        <f t="shared" si="7"/>
        <v>15.210960117704312</v>
      </c>
    </row>
    <row r="35" spans="1:35" ht="15" customHeight="1">
      <c r="A35"/>
    </row>
    <row r="36" spans="1:35" ht="15" customHeight="1">
      <c r="A36" s="220"/>
      <c r="B36" s="267" t="s">
        <v>434</v>
      </c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6"/>
      <c r="AG36" s="56"/>
      <c r="AH36" s="56"/>
      <c r="AI36" s="56"/>
    </row>
    <row r="37" spans="1:35" ht="15" customHeight="1">
      <c r="A37" s="230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</row>
    <row r="38" spans="1:35" ht="15" customHeight="1">
      <c r="A38" s="222"/>
      <c r="E38" s="5" t="s">
        <v>170</v>
      </c>
      <c r="F38" s="29"/>
      <c r="G38" s="5" t="str">
        <f>Inputs!$I$11</f>
        <v>£m 2020 prices</v>
      </c>
      <c r="H38" s="5"/>
      <c r="I38" s="28"/>
      <c r="J38" s="28"/>
      <c r="K38" s="42">
        <f>Inputs!K61*K57</f>
        <v>0</v>
      </c>
      <c r="L38" s="42">
        <f>Inputs!L61*L57</f>
        <v>0</v>
      </c>
      <c r="M38" s="42">
        <f>Inputs!M61*M57</f>
        <v>0</v>
      </c>
      <c r="N38" s="42">
        <f>Inputs!N61*N57</f>
        <v>4.4146416825120136</v>
      </c>
      <c r="O38" s="42">
        <f>Inputs!O61*O57</f>
        <v>5.5399394443840935</v>
      </c>
      <c r="P38" s="42">
        <f>Inputs!P61*P57</f>
        <v>6.3569319581792119</v>
      </c>
      <c r="Q38" s="42">
        <f>Inputs!Q61*Q57</f>
        <v>5.97448256962155</v>
      </c>
      <c r="R38" s="42">
        <f>Inputs!R61*R57</f>
        <v>4.8788477205779133</v>
      </c>
      <c r="S38" s="42">
        <f>Inputs!S61*S57</f>
        <v>4.3798892082642933</v>
      </c>
      <c r="T38" s="42">
        <f>Inputs!T61*T57</f>
        <v>7.2122347330315026</v>
      </c>
      <c r="U38" s="42">
        <f>Inputs!U61*U57</f>
        <v>3.9746975957128128</v>
      </c>
      <c r="V38" s="42">
        <f>Inputs!V61*V57</f>
        <v>4.496752461184685</v>
      </c>
      <c r="W38" s="42">
        <f>Inputs!W61*W57</f>
        <v>3.9752009437313118</v>
      </c>
      <c r="X38" s="42">
        <f>Inputs!X61*X57</f>
        <v>4.1850896339457213</v>
      </c>
      <c r="Y38" s="42">
        <f>Inputs!Y61*Y57</f>
        <v>5.626895371229959</v>
      </c>
      <c r="Z38" s="42">
        <f>Inputs!Z61*Z57</f>
        <v>4.4505258139217299</v>
      </c>
      <c r="AA38" s="42">
        <f>Inputs!AA61*AA57</f>
        <v>3.9762381950114611</v>
      </c>
      <c r="AB38" s="42">
        <f>Inputs!AB61*AB57</f>
        <v>4.233390886467121</v>
      </c>
      <c r="AC38" s="42">
        <f>Inputs!AC61*AC57</f>
        <v>3.9767725090758641</v>
      </c>
      <c r="AD38" s="42">
        <f>Inputs!AD61*AD57</f>
        <v>4.415993104434083</v>
      </c>
      <c r="AE38" s="42">
        <f>Inputs!AE61*AE57</f>
        <v>3.9933568361875267</v>
      </c>
      <c r="AF38" s="42">
        <f>Inputs!AF61*AF57</f>
        <v>4.1516260287397504</v>
      </c>
      <c r="AG38" s="42">
        <f>Inputs!AG61*AG57</f>
        <v>3.9778735722109784</v>
      </c>
      <c r="AH38" s="42">
        <f>Inputs!AH61*AH57</f>
        <v>4.4331444515351128</v>
      </c>
      <c r="AI38" s="42">
        <f>Inputs!AI61*AI57</f>
        <v>3.9784407573570921</v>
      </c>
    </row>
    <row r="39" spans="1:35" ht="15" customHeight="1">
      <c r="A39" s="222"/>
      <c r="E39" s="5" t="s">
        <v>414</v>
      </c>
      <c r="F39" s="29"/>
      <c r="G39" s="5" t="str">
        <f>Inputs!$I$11</f>
        <v>£m 2020 prices</v>
      </c>
      <c r="H39" s="5"/>
      <c r="I39" s="28"/>
      <c r="J39" s="28"/>
      <c r="K39" s="42">
        <f>Inputs!K62*K57</f>
        <v>0</v>
      </c>
      <c r="L39" s="42">
        <f>Inputs!L62*L57</f>
        <v>0</v>
      </c>
      <c r="M39" s="42">
        <f>Inputs!M62*M57</f>
        <v>0</v>
      </c>
      <c r="N39" s="42">
        <f>Inputs!N62*N57</f>
        <v>1.4324846504503725</v>
      </c>
      <c r="O39" s="42">
        <f>Inputs!O62*O57</f>
        <v>1.4324846504503725</v>
      </c>
      <c r="P39" s="42">
        <f>Inputs!P62*P57</f>
        <v>1.4324846504503725</v>
      </c>
      <c r="Q39" s="42">
        <f>Inputs!Q62*Q57</f>
        <v>1.4324846504503725</v>
      </c>
      <c r="R39" s="42">
        <f>Inputs!R62*R57</f>
        <v>1.4324846504503725</v>
      </c>
      <c r="S39" s="42">
        <f>Inputs!S62*S57</f>
        <v>1.4324846504503725</v>
      </c>
      <c r="T39" s="42">
        <f>Inputs!T62*T57</f>
        <v>1.4324846504503725</v>
      </c>
      <c r="U39" s="42">
        <f>Inputs!U62*U57</f>
        <v>1.4324846504503725</v>
      </c>
      <c r="V39" s="42">
        <f>Inputs!V62*V57</f>
        <v>1.4324846504503725</v>
      </c>
      <c r="W39" s="42">
        <f>Inputs!W62*W57</f>
        <v>1.4324846504503725</v>
      </c>
      <c r="X39" s="42">
        <f>Inputs!X62*X57</f>
        <v>1.4324846504503725</v>
      </c>
      <c r="Y39" s="42">
        <f>Inputs!Y62*Y57</f>
        <v>1.4324846504503725</v>
      </c>
      <c r="Z39" s="42">
        <f>Inputs!Z62*Z57</f>
        <v>1.4324846504503725</v>
      </c>
      <c r="AA39" s="42">
        <f>Inputs!AA62*AA57</f>
        <v>1.4324846504503725</v>
      </c>
      <c r="AB39" s="42">
        <f>Inputs!AB62*AB57</f>
        <v>1.4324846504503725</v>
      </c>
      <c r="AC39" s="42">
        <f>Inputs!AC62*AC57</f>
        <v>1.4324846504503725</v>
      </c>
      <c r="AD39" s="42">
        <f>Inputs!AD62*AD57</f>
        <v>1.4324846504503725</v>
      </c>
      <c r="AE39" s="42">
        <f>Inputs!AE62*AE57</f>
        <v>1.4324846504503725</v>
      </c>
      <c r="AF39" s="42">
        <f>Inputs!AF62*AF57</f>
        <v>1.4324846504503725</v>
      </c>
      <c r="AG39" s="42">
        <f>Inputs!AG62*AG57</f>
        <v>1.4324846504503725</v>
      </c>
      <c r="AH39" s="42">
        <f>Inputs!AH62*AH57</f>
        <v>1.4324846504503725</v>
      </c>
      <c r="AI39" s="42">
        <f>Inputs!AI62*AI57</f>
        <v>1.4324846504503725</v>
      </c>
    </row>
    <row r="40" spans="1:35" ht="15" customHeight="1">
      <c r="A40" s="222"/>
      <c r="E40" s="5" t="s">
        <v>169</v>
      </c>
      <c r="F40" s="29"/>
      <c r="G40" s="5" t="str">
        <f>Inputs!$I$11</f>
        <v>£m 2020 prices</v>
      </c>
      <c r="H40" s="5"/>
      <c r="I40" s="28"/>
      <c r="J40" s="28"/>
      <c r="K40" s="42">
        <f>Inputs!K60*K57</f>
        <v>0</v>
      </c>
      <c r="L40" s="42">
        <f>Inputs!L60*L57</f>
        <v>0</v>
      </c>
      <c r="M40" s="42">
        <f>Inputs!M60*M57</f>
        <v>0</v>
      </c>
      <c r="N40" s="42">
        <f>Inputs!N60*N57</f>
        <v>0</v>
      </c>
      <c r="O40" s="42">
        <f>Inputs!O60*O57</f>
        <v>0</v>
      </c>
      <c r="P40" s="42">
        <f>Inputs!P60*P57</f>
        <v>0</v>
      </c>
      <c r="Q40" s="42">
        <f>Inputs!Q60*Q57</f>
        <v>0</v>
      </c>
      <c r="R40" s="42">
        <f>Inputs!R60*R57</f>
        <v>0</v>
      </c>
      <c r="S40" s="42">
        <f>Inputs!S60*S57</f>
        <v>0</v>
      </c>
      <c r="T40" s="42">
        <f>Inputs!T60*T57</f>
        <v>0</v>
      </c>
      <c r="U40" s="42">
        <f>Inputs!U60*U57</f>
        <v>0</v>
      </c>
      <c r="V40" s="42">
        <f>Inputs!V60*V57</f>
        <v>0</v>
      </c>
      <c r="W40" s="42">
        <f>Inputs!W60*W57</f>
        <v>0</v>
      </c>
      <c r="X40" s="42">
        <f>Inputs!X60*X57</f>
        <v>0</v>
      </c>
      <c r="Y40" s="42">
        <f>Inputs!Y60*Y57</f>
        <v>0</v>
      </c>
      <c r="Z40" s="42">
        <f>Inputs!Z60*Z57</f>
        <v>0</v>
      </c>
      <c r="AA40" s="42">
        <f>Inputs!AA60*AA57</f>
        <v>0</v>
      </c>
      <c r="AB40" s="42">
        <f>Inputs!AB60*AB57</f>
        <v>0</v>
      </c>
      <c r="AC40" s="42">
        <f>Inputs!AC60*AC57</f>
        <v>0</v>
      </c>
      <c r="AD40" s="42">
        <f>Inputs!AD60*AD57</f>
        <v>0</v>
      </c>
      <c r="AE40" s="42">
        <f>Inputs!AE60*AE57</f>
        <v>0</v>
      </c>
      <c r="AF40" s="42">
        <f>Inputs!AF60*AF57</f>
        <v>0</v>
      </c>
      <c r="AG40" s="42">
        <f>Inputs!AG60*AG57</f>
        <v>0</v>
      </c>
      <c r="AH40" s="42">
        <f>Inputs!AH60*AH57</f>
        <v>0</v>
      </c>
      <c r="AI40" s="42">
        <f>Inputs!AI60*AI57</f>
        <v>3.520054633531112</v>
      </c>
    </row>
    <row r="41" spans="1:35" ht="15" customHeight="1">
      <c r="A41" s="222"/>
      <c r="E41" s="5" t="s">
        <v>167</v>
      </c>
      <c r="F41" s="29"/>
      <c r="G41" s="5" t="str">
        <f>Inputs!$I$11</f>
        <v>£m 2020 prices</v>
      </c>
      <c r="H41" s="5"/>
      <c r="I41" s="28"/>
      <c r="J41" s="28"/>
      <c r="K41" s="42">
        <f>Inputs!K59*K57</f>
        <v>0</v>
      </c>
      <c r="L41" s="42">
        <f>Inputs!L59*L57</f>
        <v>0</v>
      </c>
      <c r="M41" s="42">
        <f>Inputs!M59*M57</f>
        <v>0</v>
      </c>
      <c r="N41" s="42">
        <f>Inputs!N59*N57</f>
        <v>0</v>
      </c>
      <c r="O41" s="42">
        <f>Inputs!O59*O57</f>
        <v>0</v>
      </c>
      <c r="P41" s="42">
        <f>Inputs!P59*P57</f>
        <v>0</v>
      </c>
      <c r="Q41" s="42">
        <f>Inputs!Q59*Q57</f>
        <v>5.3444008282283457</v>
      </c>
      <c r="R41" s="42">
        <f>Inputs!R59*R57</f>
        <v>0</v>
      </c>
      <c r="S41" s="42">
        <f>Inputs!S59*S57</f>
        <v>0</v>
      </c>
      <c r="T41" s="42">
        <f>Inputs!T59*T57</f>
        <v>0</v>
      </c>
      <c r="U41" s="42">
        <f>Inputs!U59*U57</f>
        <v>0</v>
      </c>
      <c r="V41" s="42">
        <f>Inputs!V59*V57</f>
        <v>0</v>
      </c>
      <c r="W41" s="42">
        <f>Inputs!W59*W57</f>
        <v>0</v>
      </c>
      <c r="X41" s="42">
        <f>Inputs!X59*X57</f>
        <v>0</v>
      </c>
      <c r="Y41" s="42">
        <f>Inputs!Y59*Y57</f>
        <v>3.7410765714491996</v>
      </c>
      <c r="Z41" s="42">
        <f>Inputs!Z59*Z57</f>
        <v>0</v>
      </c>
      <c r="AA41" s="42">
        <f>Inputs!AA59*AA57</f>
        <v>0</v>
      </c>
      <c r="AB41" s="42">
        <f>Inputs!AB59*AB57</f>
        <v>0</v>
      </c>
      <c r="AC41" s="42">
        <f>Inputs!AC59*AC57</f>
        <v>0</v>
      </c>
      <c r="AD41" s="42">
        <f>Inputs!AD59*AD57</f>
        <v>12.559359983734502</v>
      </c>
      <c r="AE41" s="42">
        <f>Inputs!AE59*AE57</f>
        <v>0</v>
      </c>
      <c r="AF41" s="42">
        <f>Inputs!AF59*AF57</f>
        <v>0</v>
      </c>
      <c r="AG41" s="42">
        <f>Inputs!AG59*AG57</f>
        <v>0</v>
      </c>
      <c r="AH41" s="42">
        <f>Inputs!AH59*AH57</f>
        <v>0</v>
      </c>
      <c r="AI41" s="42">
        <f>Inputs!AI59*AI57</f>
        <v>0</v>
      </c>
    </row>
    <row r="42" spans="1:35" ht="15" customHeight="1">
      <c r="A42" s="222"/>
      <c r="E42" s="5" t="s">
        <v>390</v>
      </c>
      <c r="F42" s="29"/>
      <c r="G42" s="5" t="str">
        <f>Inputs!$I$11</f>
        <v>£m 2020 prices</v>
      </c>
      <c r="H42" s="5"/>
      <c r="I42" s="28"/>
      <c r="J42" s="28"/>
      <c r="K42" s="42">
        <f>SUMIF(Finance!10:10,'Allowances Floor'!K4,Finance!151:151)</f>
        <v>0</v>
      </c>
      <c r="L42" s="42">
        <f>SUMIF(Finance!10:10,'Allowances Floor'!L4,Finance!151:151)</f>
        <v>0</v>
      </c>
      <c r="M42" s="42">
        <f>SUMIF(Finance!10:10,'Allowances Floor'!M4,Finance!151:151)</f>
        <v>0</v>
      </c>
      <c r="N42" s="42">
        <f>SUMIF(Finance!10:10,'Allowances Floor'!N4,Finance!151:151)</f>
        <v>10.578277093337638</v>
      </c>
      <c r="O42" s="42">
        <f>SUMIF(Finance!10:10,'Allowances Floor'!O4,Finance!151:151)</f>
        <v>11.039657249724392</v>
      </c>
      <c r="P42" s="42">
        <f>SUMIF(Finance!10:10,'Allowances Floor'!P4,Finance!151:151)</f>
        <v>10.774669001330492</v>
      </c>
      <c r="Q42" s="42">
        <f>SUMIF(Finance!10:10,'Allowances Floor'!Q4,Finance!151:151)</f>
        <v>10.854453329215071</v>
      </c>
      <c r="R42" s="42">
        <f>SUMIF(Finance!10:10,'Allowances Floor'!R4,Finance!151:151)</f>
        <v>10.592726102734089</v>
      </c>
      <c r="S42" s="42">
        <f>SUMIF(Finance!10:10,'Allowances Floor'!S4,Finance!151:151)</f>
        <v>10.256342889409076</v>
      </c>
      <c r="T42" s="42">
        <f>SUMIF(Finance!10:10,'Allowances Floor'!T4,Finance!151:151)</f>
        <v>9.0106354052670596</v>
      </c>
      <c r="U42" s="42">
        <f>SUMIF(Finance!10:10,'Allowances Floor'!U4,Finance!151:151)</f>
        <v>9.7450983412701326</v>
      </c>
      <c r="V42" s="42">
        <f>SUMIF(Finance!10:10,'Allowances Floor'!V4,Finance!151:151)</f>
        <v>10.18018628318986</v>
      </c>
      <c r="W42" s="42">
        <f>SUMIF(Finance!10:10,'Allowances Floor'!W4,Finance!151:151)</f>
        <v>9.8240868769545742</v>
      </c>
      <c r="X42" s="42">
        <f>SUMIF(Finance!10:10,'Allowances Floor'!X4,Finance!151:151)</f>
        <v>9.7286704315454919</v>
      </c>
      <c r="Y42" s="42">
        <f>SUMIF(Finance!10:10,'Allowances Floor'!Y4,Finance!151:151)</f>
        <v>9.1324714523326307</v>
      </c>
      <c r="Z42" s="42">
        <f>SUMIF(Finance!10:10,'Allowances Floor'!Z4,Finance!151:151)</f>
        <v>9.3252621110008853</v>
      </c>
      <c r="AA42" s="42">
        <f>SUMIF(Finance!10:10,'Allowances Floor'!AA4,Finance!151:151)</f>
        <v>8.6621945528997131</v>
      </c>
      <c r="AB42" s="42">
        <f>SUMIF(Finance!10:10,'Allowances Floor'!AB4,Finance!151:151)</f>
        <v>7.3684632815110493</v>
      </c>
      <c r="AC42" s="42">
        <f>SUMIF(Finance!10:10,'Allowances Floor'!AC4,Finance!151:151)</f>
        <v>6.9715958634917339</v>
      </c>
      <c r="AD42" s="42">
        <f>SUMIF(Finance!10:10,'Allowances Floor'!AD4,Finance!151:151)</f>
        <v>7.6461949648489442</v>
      </c>
      <c r="AE42" s="42">
        <f>SUMIF(Finance!10:10,'Allowances Floor'!AE4,Finance!151:151)</f>
        <v>7.3229187239086295</v>
      </c>
      <c r="AF42" s="42">
        <f>SUMIF(Finance!10:10,'Allowances Floor'!AF4,Finance!151:151)</f>
        <v>7.2565440192393567</v>
      </c>
      <c r="AG42" s="42">
        <f>SUMIF(Finance!10:10,'Allowances Floor'!AG4,Finance!151:151)</f>
        <v>6.8364384880315514</v>
      </c>
      <c r="AH42" s="42">
        <f>SUMIF(Finance!10:10,'Allowances Floor'!AH4,Finance!151:151)</f>
        <v>6.911018541730793</v>
      </c>
      <c r="AI42" s="42">
        <f>SUMIF(Finance!10:10,'Allowances Floor'!AI4,Finance!151:151)</f>
        <v>8.3824596550913935</v>
      </c>
    </row>
    <row r="43" spans="1:35" ht="15" customHeight="1">
      <c r="A43" s="222"/>
      <c r="B43"/>
      <c r="E43" s="17" t="s">
        <v>426</v>
      </c>
      <c r="G43" s="5" t="str">
        <f>Inputs!$I$11</f>
        <v>£m 2020 prices</v>
      </c>
      <c r="H43" s="5"/>
      <c r="I43" s="5"/>
      <c r="K43" s="59">
        <f t="shared" ref="K43:AI43" si="8">SUM(K38:K42)</f>
        <v>0</v>
      </c>
      <c r="L43" s="59">
        <f t="shared" si="8"/>
        <v>0</v>
      </c>
      <c r="M43" s="59">
        <f t="shared" si="8"/>
        <v>0</v>
      </c>
      <c r="N43" s="59">
        <f t="shared" si="8"/>
        <v>16.425403426300022</v>
      </c>
      <c r="O43" s="59">
        <f t="shared" si="8"/>
        <v>18.012081344558858</v>
      </c>
      <c r="P43" s="59">
        <f t="shared" si="8"/>
        <v>18.564085609960078</v>
      </c>
      <c r="Q43" s="59">
        <f t="shared" si="8"/>
        <v>23.60582137751534</v>
      </c>
      <c r="R43" s="59">
        <f t="shared" si="8"/>
        <v>16.904058473762376</v>
      </c>
      <c r="S43" s="59">
        <f t="shared" si="8"/>
        <v>16.068716748123741</v>
      </c>
      <c r="T43" s="59">
        <f t="shared" si="8"/>
        <v>17.655354788748937</v>
      </c>
      <c r="U43" s="59">
        <f t="shared" si="8"/>
        <v>15.152280587433317</v>
      </c>
      <c r="V43" s="59">
        <f t="shared" si="8"/>
        <v>16.109423394824915</v>
      </c>
      <c r="W43" s="59">
        <f t="shared" si="8"/>
        <v>15.231772471136258</v>
      </c>
      <c r="X43" s="59">
        <f t="shared" si="8"/>
        <v>15.346244715941586</v>
      </c>
      <c r="Y43" s="59">
        <f t="shared" si="8"/>
        <v>19.932928045462162</v>
      </c>
      <c r="Z43" s="59">
        <f t="shared" si="8"/>
        <v>15.208272575372987</v>
      </c>
      <c r="AA43" s="59">
        <f t="shared" si="8"/>
        <v>14.070917398361548</v>
      </c>
      <c r="AB43" s="59">
        <f t="shared" si="8"/>
        <v>13.034338818428543</v>
      </c>
      <c r="AC43" s="59">
        <f t="shared" si="8"/>
        <v>12.38085302301797</v>
      </c>
      <c r="AD43" s="59">
        <f t="shared" si="8"/>
        <v>26.054032703467904</v>
      </c>
      <c r="AE43" s="59">
        <f t="shared" si="8"/>
        <v>12.748760210546529</v>
      </c>
      <c r="AF43" s="59">
        <f t="shared" si="8"/>
        <v>12.840654698429478</v>
      </c>
      <c r="AG43" s="59">
        <f t="shared" si="8"/>
        <v>12.246796710692902</v>
      </c>
      <c r="AH43" s="59">
        <f t="shared" si="8"/>
        <v>12.776647643716277</v>
      </c>
      <c r="AI43" s="59">
        <f t="shared" si="8"/>
        <v>17.31343969642997</v>
      </c>
    </row>
    <row r="44" spans="1:35" ht="15" customHeight="1">
      <c r="A44" s="222"/>
    </row>
    <row r="45" spans="1:35" ht="15" customHeight="1">
      <c r="A45" s="222"/>
      <c r="B45" s="267" t="s">
        <v>435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</row>
    <row r="46" spans="1:35" ht="15" customHeight="1">
      <c r="A46" s="222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</row>
    <row r="47" spans="1:35" ht="15" customHeight="1">
      <c r="A47" s="222"/>
      <c r="B47" s="5"/>
      <c r="C47" s="10" t="s">
        <v>436</v>
      </c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</row>
    <row r="48" spans="1:35" ht="15" customHeight="1">
      <c r="A48" s="222"/>
      <c r="B48" s="5"/>
      <c r="C48" s="5"/>
      <c r="D48" s="5"/>
    </row>
    <row r="49" spans="1:35" ht="15" customHeight="1">
      <c r="A49" s="222"/>
      <c r="B49" s="5"/>
      <c r="C49" s="5"/>
      <c r="D49" s="5"/>
      <c r="E49" s="17" t="s">
        <v>297</v>
      </c>
      <c r="F49" s="29"/>
      <c r="G49" s="17" t="s">
        <v>197</v>
      </c>
      <c r="K49" s="191">
        <f>SUMIF(Finance!10:10,'Allowances Floor'!K4,Finance!125:125)</f>
        <v>0</v>
      </c>
      <c r="L49" s="191">
        <f>SUMIF(Finance!10:10,'Allowances Floor'!L4,Finance!125:125)</f>
        <v>0</v>
      </c>
      <c r="M49" s="191">
        <f>SUMIF(Finance!10:10,'Allowances Floor'!M4,Finance!125:125)</f>
        <v>0</v>
      </c>
      <c r="N49" s="191">
        <f>SUMIF(Finance!10:10,'Allowances Floor'!N4,Finance!125:125)</f>
        <v>2.9215279504157976E-2</v>
      </c>
      <c r="O49" s="191">
        <f>SUMIF(Finance!10:10,'Allowances Floor'!O4,Finance!125:125)</f>
        <v>2.9215279504157976E-2</v>
      </c>
      <c r="P49" s="191">
        <f>SUMIF(Finance!10:10,'Allowances Floor'!P4,Finance!125:125)</f>
        <v>2.9215279504157976E-2</v>
      </c>
      <c r="Q49" s="191">
        <f>SUMIF(Finance!10:10,'Allowances Floor'!Q4,Finance!125:125)</f>
        <v>2.9215279504157976E-2</v>
      </c>
      <c r="R49" s="191">
        <f>SUMIF(Finance!10:10,'Allowances Floor'!R4,Finance!125:125)</f>
        <v>2.9299978957709888E-2</v>
      </c>
      <c r="S49" s="191">
        <f>SUMIF(Finance!10:10,'Allowances Floor'!S4,Finance!125:125)</f>
        <v>3.0215279504157977E-2</v>
      </c>
      <c r="T49" s="191">
        <f>SUMIF(Finance!10:10,'Allowances Floor'!T4,Finance!125:125)</f>
        <v>3.0215279504157977E-2</v>
      </c>
      <c r="U49" s="191">
        <f>SUMIF(Finance!10:10,'Allowances Floor'!U4,Finance!125:125)</f>
        <v>3.0215279504157977E-2</v>
      </c>
      <c r="V49" s="191">
        <f>SUMIF(Finance!10:10,'Allowances Floor'!V4,Finance!125:125)</f>
        <v>3.0215279504157977E-2</v>
      </c>
      <c r="W49" s="191">
        <f>SUMIF(Finance!10:10,'Allowances Floor'!W4,Finance!125:125)</f>
        <v>3.0299978957709889E-2</v>
      </c>
      <c r="X49" s="191">
        <f>SUMIF(Finance!10:10,'Allowances Floor'!X4,Finance!125:125)</f>
        <v>3.1215279504157978E-2</v>
      </c>
      <c r="Y49" s="191">
        <f>SUMIF(Finance!10:10,'Allowances Floor'!Y4,Finance!125:125)</f>
        <v>3.1215279504157978E-2</v>
      </c>
      <c r="Z49" s="191">
        <f>SUMIF(Finance!10:10,'Allowances Floor'!Z4,Finance!125:125)</f>
        <v>3.1215279504157978E-2</v>
      </c>
      <c r="AA49" s="191">
        <f>SUMIF(Finance!10:10,'Allowances Floor'!AA4,Finance!125:125)</f>
        <v>3.1215279504157978E-2</v>
      </c>
      <c r="AB49" s="191">
        <f>SUMIF(Finance!10:10,'Allowances Floor'!AB4,Finance!125:125)</f>
        <v>3.129997895770989E-2</v>
      </c>
      <c r="AC49" s="191">
        <f>SUMIF(Finance!10:10,'Allowances Floor'!AC4,Finance!125:125)</f>
        <v>3.2215279504157979E-2</v>
      </c>
      <c r="AD49" s="191">
        <f>SUMIF(Finance!10:10,'Allowances Floor'!AD4,Finance!125:125)</f>
        <v>3.2215279504157979E-2</v>
      </c>
      <c r="AE49" s="191">
        <f>SUMIF(Finance!10:10,'Allowances Floor'!AE4,Finance!125:125)</f>
        <v>3.2215279504157979E-2</v>
      </c>
      <c r="AF49" s="191">
        <f>SUMIF(Finance!10:10,'Allowances Floor'!AF4,Finance!125:125)</f>
        <v>3.2215279504157979E-2</v>
      </c>
      <c r="AG49" s="191">
        <f>SUMIF(Finance!10:10,'Allowances Floor'!AG4,Finance!125:125)</f>
        <v>3.2299978957709891E-2</v>
      </c>
      <c r="AH49" s="191">
        <f>SUMIF(Finance!10:10,'Allowances Floor'!AH4,Finance!125:125)</f>
        <v>3.321527950415798E-2</v>
      </c>
      <c r="AI49" s="191">
        <f>SUMIF(Finance!10:10,'Allowances Floor'!AI4,Finance!125:125)</f>
        <v>6.6430559008315959E-2</v>
      </c>
    </row>
    <row r="50" spans="1:35" ht="15" customHeight="1">
      <c r="A50" s="222"/>
      <c r="B50" s="5"/>
      <c r="C50" s="5"/>
      <c r="D50" s="5"/>
      <c r="E50" s="17" t="s">
        <v>297</v>
      </c>
      <c r="F50" s="29"/>
      <c r="G50" s="17" t="s">
        <v>437</v>
      </c>
      <c r="K50" s="191">
        <f>IF(K49=0,0,(1+K49)/(1+Inputs!$I$179)-1)</f>
        <v>0</v>
      </c>
      <c r="L50" s="191">
        <f>IF(L49=0,0,(1+L49)/(1+Inputs!$I$179)-1)</f>
        <v>0</v>
      </c>
      <c r="M50" s="191">
        <f>IF(M49=0,0,(1+M49)/(1+Inputs!$I$179)-1)</f>
        <v>0</v>
      </c>
      <c r="N50" s="191">
        <f>IF(N49=0,0,(1+N49)/(1+Inputs!$I$179)-1)</f>
        <v>-1.3027158127965066E-2</v>
      </c>
      <c r="O50" s="191">
        <f>IF(O49=0,0,(1+O49)/(1+Inputs!$I$179)-1)</f>
        <v>-1.3027158127965066E-2</v>
      </c>
      <c r="P50" s="191">
        <f>IF(P49=0,0,(1+P49)/(1+Inputs!$I$179)-1)</f>
        <v>-1.3027158127965066E-2</v>
      </c>
      <c r="Q50" s="191">
        <f>IF(Q49=0,0,(1+Q49)/(1+Inputs!$I$179)-1)</f>
        <v>-1.3027158127965066E-2</v>
      </c>
      <c r="R50" s="191">
        <f>IF(R49=0,0,(1+R49)/(1+Inputs!$I$179)-1)</f>
        <v>-1.2945935023292998E-2</v>
      </c>
      <c r="S50" s="191">
        <f>IF(S49=0,0,(1+S49)/(1+Inputs!$I$179)-1)</f>
        <v>-1.2068201472805962E-2</v>
      </c>
      <c r="T50" s="191">
        <f>IF(T49=0,0,(1+T49)/(1+Inputs!$I$179)-1)</f>
        <v>-1.2068201472805962E-2</v>
      </c>
      <c r="U50" s="191">
        <f>IF(U49=0,0,(1+U49)/(1+Inputs!$I$179)-1)</f>
        <v>-1.2068201472805962E-2</v>
      </c>
      <c r="V50" s="191">
        <f>IF(V49=0,0,(1+V49)/(1+Inputs!$I$179)-1)</f>
        <v>-1.2068201472805962E-2</v>
      </c>
      <c r="W50" s="191">
        <f>IF(W49=0,0,(1+W49)/(1+Inputs!$I$179)-1)</f>
        <v>-1.1986978368134005E-2</v>
      </c>
      <c r="X50" s="191">
        <f>IF(X49=0,0,(1+X49)/(1+Inputs!$I$179)-1)</f>
        <v>-1.1109244817646635E-2</v>
      </c>
      <c r="Y50" s="191">
        <f>IF(Y49=0,0,(1+Y49)/(1+Inputs!$I$179)-1)</f>
        <v>-1.1109244817646635E-2</v>
      </c>
      <c r="Z50" s="191">
        <f>IF(Z49=0,0,(1+Z49)/(1+Inputs!$I$179)-1)</f>
        <v>-1.1109244817646635E-2</v>
      </c>
      <c r="AA50" s="191">
        <f>IF(AA49=0,0,(1+AA49)/(1+Inputs!$I$179)-1)</f>
        <v>-1.1109244817646635E-2</v>
      </c>
      <c r="AB50" s="191">
        <f>IF(AB49=0,0,(1+AB49)/(1+Inputs!$I$179)-1)</f>
        <v>-1.1028021712974678E-2</v>
      </c>
      <c r="AC50" s="191">
        <f>IF(AC49=0,0,(1+AC49)/(1+Inputs!$I$179)-1)</f>
        <v>-1.0150288162487531E-2</v>
      </c>
      <c r="AD50" s="191">
        <f>IF(AD49=0,0,(1+AD49)/(1+Inputs!$I$179)-1)</f>
        <v>-1.0150288162487531E-2</v>
      </c>
      <c r="AE50" s="191">
        <f>IF(AE49=0,0,(1+AE49)/(1+Inputs!$I$179)-1)</f>
        <v>-1.0150288162487531E-2</v>
      </c>
      <c r="AF50" s="191">
        <f>IF(AF49=0,0,(1+AF49)/(1+Inputs!$I$179)-1)</f>
        <v>-1.0150288162487531E-2</v>
      </c>
      <c r="AG50" s="191">
        <f>IF(AG49=0,0,(1+AG49)/(1+Inputs!$I$179)-1)</f>
        <v>-1.0069065057815574E-2</v>
      </c>
      <c r="AH50" s="191">
        <f>IF(AH49=0,0,(1+AH49)/(1+Inputs!$I$179)-1)</f>
        <v>-9.1913315073283153E-3</v>
      </c>
      <c r="AI50" s="191">
        <f>IF(AI49=0,0,(1+AI49)/(1+Inputs!$I$179)-1)</f>
        <v>2.2660681826156548E-2</v>
      </c>
    </row>
    <row r="51" spans="1:35" ht="15" customHeight="1">
      <c r="A51" s="222"/>
      <c r="B51" s="5"/>
      <c r="C51" s="5"/>
      <c r="D51" s="5"/>
      <c r="E51" s="17" t="s">
        <v>438</v>
      </c>
      <c r="F51" s="29"/>
      <c r="G51" s="17" t="s">
        <v>118</v>
      </c>
      <c r="K51" s="191">
        <f>SUMIF(Finance!10:10,'Allowances Floor'!K4,Finance!140:140)/SUM(Finance!$K$140:$AX$140)</f>
        <v>0</v>
      </c>
      <c r="L51" s="191">
        <f>SUMIF(Finance!10:10,'Allowances Floor'!L4,Finance!140:140)/SUM(Finance!$K$140:$AX$140)</f>
        <v>0</v>
      </c>
      <c r="M51" s="191">
        <f>SUMIF(Finance!10:10,'Allowances Floor'!M4,Finance!140:140)/SUM(Finance!$K$140:$AX$140)</f>
        <v>0</v>
      </c>
      <c r="N51" s="191">
        <f>SUMIF(Finance!10:10,'Allowances Floor'!N4,Finance!140:140)/SUM(Finance!$K$140:$AX$140)</f>
        <v>6.8465438058242262E-2</v>
      </c>
      <c r="O51" s="191">
        <f>SUMIF(Finance!10:10,'Allowances Floor'!O4,Finance!140:140)/SUM(Finance!$K$140:$AX$140)</f>
        <v>6.7176338276634759E-2</v>
      </c>
      <c r="P51" s="191">
        <f>SUMIF(Finance!10:10,'Allowances Floor'!P4,Finance!140:140)/SUM(Finance!$K$140:$AX$140)</f>
        <v>6.5559185988338306E-2</v>
      </c>
      <c r="Q51" s="191">
        <f>SUMIF(Finance!10:10,'Allowances Floor'!Q4,Finance!140:140)/SUM(Finance!$K$140:$AX$140)</f>
        <v>6.3831178691345844E-2</v>
      </c>
      <c r="R51" s="191">
        <f>SUMIF(Finance!10:10,'Allowances Floor'!R4,Finance!140:140)/SUM(Finance!$K$140:$AX$140)</f>
        <v>6.2054095645006566E-2</v>
      </c>
      <c r="S51" s="191">
        <f>SUMIF(Finance!10:10,'Allowances Floor'!S4,Finance!140:140)/SUM(Finance!$K$140:$AX$140)</f>
        <v>6.1905116877390386E-2</v>
      </c>
      <c r="T51" s="191">
        <f>SUMIF(Finance!10:10,'Allowances Floor'!T4,Finance!140:140)/SUM(Finance!$K$140:$AX$140)</f>
        <v>5.9708284190812685E-2</v>
      </c>
      <c r="U51" s="191">
        <f>SUMIF(Finance!10:10,'Allowances Floor'!U4,Finance!140:140)/SUM(Finance!$K$140:$AX$140)</f>
        <v>5.7786140769695182E-2</v>
      </c>
      <c r="V51" s="191">
        <f>SUMIF(Finance!10:10,'Allowances Floor'!V4,Finance!140:140)/SUM(Finance!$K$140:$AX$140)</f>
        <v>5.5329707525667536E-2</v>
      </c>
      <c r="W51" s="191">
        <f>SUMIF(Finance!10:10,'Allowances Floor'!W4,Finance!140:140)/SUM(Finance!$K$140:$AX$140)</f>
        <v>5.2576391582445398E-2</v>
      </c>
      <c r="X51" s="191">
        <f>SUMIF(Finance!10:10,'Allowances Floor'!X4,Finance!140:140)/SUM(Finance!$K$140:$AX$140)</f>
        <v>5.1110068243933875E-2</v>
      </c>
      <c r="Y51" s="191">
        <f>SUMIF(Finance!10:10,'Allowances Floor'!Y4,Finance!140:140)/SUM(Finance!$K$140:$AX$140)</f>
        <v>4.7790587799238497E-2</v>
      </c>
      <c r="Z51" s="191">
        <f>SUMIF(Finance!10:10,'Allowances Floor'!Z4,Finance!140:140)/SUM(Finance!$K$140:$AX$140)</f>
        <v>4.4471220549361805E-2</v>
      </c>
      <c r="AA51" s="191">
        <f>SUMIF(Finance!10:10,'Allowances Floor'!AA4,Finance!140:140)/SUM(Finance!$K$140:$AX$140)</f>
        <v>4.0736407619371598E-2</v>
      </c>
      <c r="AB51" s="191">
        <f>SUMIF(Finance!10:10,'Allowances Floor'!AB4,Finance!140:140)/SUM(Finance!$K$140:$AX$140)</f>
        <v>3.7151843411839185E-2</v>
      </c>
      <c r="AC51" s="191">
        <f>SUMIF(Finance!10:10,'Allowances Floor'!AC4,Finance!140:140)/SUM(Finance!$K$140:$AX$140)</f>
        <v>3.4953819401511876E-2</v>
      </c>
      <c r="AD51" s="191">
        <f>SUMIF(Finance!10:10,'Allowances Floor'!AD4,Finance!140:140)/SUM(Finance!$K$140:$AX$140)</f>
        <v>3.1597650381086806E-2</v>
      </c>
      <c r="AE51" s="191">
        <f>SUMIF(Finance!10:10,'Allowances Floor'!AE4,Finance!140:140)/SUM(Finance!$K$140:$AX$140)</f>
        <v>2.7489242606691666E-2</v>
      </c>
      <c r="AF51" s="191">
        <f>SUMIF(Finance!10:10,'Allowances Floor'!AF4,Finance!140:140)/SUM(Finance!$K$140:$AX$140)</f>
        <v>2.3255088753699069E-2</v>
      </c>
      <c r="AG51" s="191">
        <f>SUMIF(Finance!10:10,'Allowances Floor'!AG4,Finance!140:140)/SUM(Finance!$K$140:$AX$140)</f>
        <v>1.8768539904459421E-2</v>
      </c>
      <c r="AH51" s="191">
        <f>SUMIF(Finance!10:10,'Allowances Floor'!AH4,Finance!140:140)/SUM(Finance!$K$140:$AX$140)</f>
        <v>1.4624677940274375E-2</v>
      </c>
      <c r="AI51" s="191">
        <f>SUMIF(Finance!10:10,'Allowances Floor'!AI4,Finance!140:140)/SUM(Finance!$K$140:$AX$140)</f>
        <v>1.3658975782952998E-2</v>
      </c>
    </row>
    <row r="52" spans="1:35" ht="15" customHeight="1">
      <c r="A52" s="222"/>
      <c r="B52" s="5"/>
      <c r="C52" s="5"/>
      <c r="D52" s="5"/>
    </row>
    <row r="53" spans="1:35" ht="15" customHeight="1">
      <c r="A53" s="222"/>
      <c r="E53" s="16" t="s">
        <v>179</v>
      </c>
      <c r="I53" s="80">
        <f>SUMPRODUCT(K50:AI50,K51:AI51)</f>
        <v>-1.137843756972004E-2</v>
      </c>
    </row>
    <row r="54" spans="1:35" ht="15" customHeight="1">
      <c r="A54" s="222"/>
      <c r="B54" s="5"/>
      <c r="C54" s="5"/>
      <c r="D54" s="5"/>
      <c r="E54" s="17" t="s">
        <v>46</v>
      </c>
      <c r="G54" s="30" t="str">
        <f>Inputs!G85</f>
        <v>full years</v>
      </c>
      <c r="I54" s="108">
        <f>Inputs!I85</f>
        <v>22.591780821917808</v>
      </c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</row>
    <row r="55" spans="1:35" ht="15" customHeight="1">
      <c r="A55" s="222"/>
      <c r="B55" s="5"/>
      <c r="C55" s="5"/>
      <c r="D55" s="5"/>
      <c r="E55" s="17" t="s">
        <v>439</v>
      </c>
      <c r="G55" s="17" t="s">
        <v>274</v>
      </c>
      <c r="I55" s="58">
        <f>I53 / (1 - (1 + I53)^(-I54))</f>
        <v>3.8567228484761955E-2</v>
      </c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</row>
    <row r="56" spans="1:35" ht="15" customHeight="1">
      <c r="A56" s="222"/>
      <c r="B56" s="5"/>
      <c r="C56" s="5"/>
      <c r="D56" s="5"/>
      <c r="I56" s="64"/>
    </row>
    <row r="57" spans="1:35" ht="15" customHeight="1">
      <c r="A57" s="222"/>
      <c r="B57" s="5"/>
      <c r="C57" s="5"/>
      <c r="D57" s="5"/>
      <c r="E57" s="5" t="s">
        <v>440</v>
      </c>
      <c r="F57" s="5"/>
      <c r="G57" s="5" t="s">
        <v>256</v>
      </c>
      <c r="H57" s="5"/>
      <c r="I57" s="26"/>
      <c r="J57" s="6"/>
      <c r="K57" s="20" t="b">
        <f>(SUMIF(Inputs!164:164,'Allowances Floor'!K4,Inputs!171:171)&lt;&gt;0)</f>
        <v>0</v>
      </c>
      <c r="L57" s="20" t="b">
        <f>(SUMIF(Inputs!164:164,'Allowances Floor'!L4,Inputs!171:171)&lt;&gt;0)</f>
        <v>0</v>
      </c>
      <c r="M57" s="20" t="b">
        <f>(SUMIF(Inputs!164:164,'Allowances Floor'!M4,Inputs!171:171)&lt;&gt;0)</f>
        <v>0</v>
      </c>
      <c r="N57" s="20" t="b">
        <f>(SUMIF(Inputs!164:164,'Allowances Floor'!N4,Inputs!171:171)&lt;&gt;0)</f>
        <v>1</v>
      </c>
      <c r="O57" s="20" t="b">
        <f>(SUMIF(Inputs!164:164,'Allowances Floor'!O4,Inputs!171:171)&lt;&gt;0)</f>
        <v>1</v>
      </c>
      <c r="P57" s="20" t="b">
        <f>(SUMIF(Inputs!164:164,'Allowances Floor'!P4,Inputs!171:171)&lt;&gt;0)</f>
        <v>1</v>
      </c>
      <c r="Q57" s="20" t="b">
        <f>(SUMIF(Inputs!164:164,'Allowances Floor'!Q4,Inputs!171:171)&lt;&gt;0)</f>
        <v>1</v>
      </c>
      <c r="R57" s="20" t="b">
        <f>(SUMIF(Inputs!164:164,'Allowances Floor'!R4,Inputs!171:171)&lt;&gt;0)</f>
        <v>1</v>
      </c>
      <c r="S57" s="20" t="b">
        <f>(SUMIF(Inputs!164:164,'Allowances Floor'!S4,Inputs!171:171)&lt;&gt;0)</f>
        <v>1</v>
      </c>
      <c r="T57" s="20" t="b">
        <f>(SUMIF(Inputs!164:164,'Allowances Floor'!T4,Inputs!171:171)&lt;&gt;0)</f>
        <v>1</v>
      </c>
      <c r="U57" s="20" t="b">
        <f>(SUMIF(Inputs!164:164,'Allowances Floor'!U4,Inputs!171:171)&lt;&gt;0)</f>
        <v>1</v>
      </c>
      <c r="V57" s="20" t="b">
        <f>(SUMIF(Inputs!164:164,'Allowances Floor'!V4,Inputs!171:171)&lt;&gt;0)</f>
        <v>1</v>
      </c>
      <c r="W57" s="20" t="b">
        <f>(SUMIF(Inputs!164:164,'Allowances Floor'!W4,Inputs!171:171)&lt;&gt;0)</f>
        <v>1</v>
      </c>
      <c r="X57" s="20" t="b">
        <f>(SUMIF(Inputs!164:164,'Allowances Floor'!X4,Inputs!171:171)&lt;&gt;0)</f>
        <v>1</v>
      </c>
      <c r="Y57" s="20" t="b">
        <f>(SUMIF(Inputs!164:164,'Allowances Floor'!Y4,Inputs!171:171)&lt;&gt;0)</f>
        <v>1</v>
      </c>
      <c r="Z57" s="20" t="b">
        <f>(SUMIF(Inputs!164:164,'Allowances Floor'!Z4,Inputs!171:171)&lt;&gt;0)</f>
        <v>1</v>
      </c>
      <c r="AA57" s="20" t="b">
        <f>(SUMIF(Inputs!164:164,'Allowances Floor'!AA4,Inputs!171:171)&lt;&gt;0)</f>
        <v>1</v>
      </c>
      <c r="AB57" s="20" t="b">
        <f>(SUMIF(Inputs!164:164,'Allowances Floor'!AB4,Inputs!171:171)&lt;&gt;0)</f>
        <v>1</v>
      </c>
      <c r="AC57" s="20" t="b">
        <f>(SUMIF(Inputs!164:164,'Allowances Floor'!AC4,Inputs!171:171)&lt;&gt;0)</f>
        <v>1</v>
      </c>
      <c r="AD57" s="20" t="b">
        <f>(SUMIF(Inputs!164:164,'Allowances Floor'!AD4,Inputs!171:171)&lt;&gt;0)</f>
        <v>1</v>
      </c>
      <c r="AE57" s="20" t="b">
        <f>(SUMIF(Inputs!164:164,'Allowances Floor'!AE4,Inputs!171:171)&lt;&gt;0)</f>
        <v>1</v>
      </c>
      <c r="AF57" s="20" t="b">
        <f>(SUMIF(Inputs!164:164,'Allowances Floor'!AF4,Inputs!171:171)&lt;&gt;0)</f>
        <v>1</v>
      </c>
      <c r="AG57" s="20" t="b">
        <f>(SUMIF(Inputs!164:164,'Allowances Floor'!AG4,Inputs!171:171)&lt;&gt;0)</f>
        <v>1</v>
      </c>
      <c r="AH57" s="20" t="b">
        <f>(SUMIF(Inputs!164:164,'Allowances Floor'!AH4,Inputs!171:171)&lt;&gt;0)</f>
        <v>1</v>
      </c>
      <c r="AI57" s="20" t="b">
        <f>(SUMIF(Inputs!164:164,'Allowances Floor'!AI4,Inputs!171:171)&lt;&gt;0)</f>
        <v>1</v>
      </c>
    </row>
    <row r="58" spans="1:35" ht="15" customHeight="1">
      <c r="A58" s="222"/>
      <c r="B58" s="5"/>
      <c r="C58" s="5"/>
      <c r="D58" s="5"/>
      <c r="E58" s="17" t="s">
        <v>441</v>
      </c>
      <c r="G58" s="17" t="s">
        <v>274</v>
      </c>
      <c r="I58" s="28"/>
      <c r="J58" s="28"/>
      <c r="K58" s="96">
        <f>(1 + $I53) ^ - K4</f>
        <v>1.0115093965194821</v>
      </c>
      <c r="L58" s="96">
        <f t="shared" ref="L58:AI58" si="9">(1 + $I53) ^ - L4</f>
        <v>1.023151259247207</v>
      </c>
      <c r="M58" s="96">
        <f t="shared" si="9"/>
        <v>1.0349271127892905</v>
      </c>
      <c r="N58" s="96">
        <f t="shared" si="9"/>
        <v>1.0468384992991453</v>
      </c>
      <c r="O58" s="96">
        <f t="shared" si="9"/>
        <v>1.0588869786794386</v>
      </c>
      <c r="P58" s="96">
        <f t="shared" si="9"/>
        <v>1.0710741287863768</v>
      </c>
      <c r="Q58" s="96">
        <f t="shared" si="9"/>
        <v>1.0834015456363379</v>
      </c>
      <c r="R58" s="96">
        <f t="shared" si="9"/>
        <v>1.0958708436148863</v>
      </c>
      <c r="S58" s="96">
        <f t="shared" si="9"/>
        <v>1.1084836556881896</v>
      </c>
      <c r="T58" s="96">
        <f t="shared" si="9"/>
        <v>1.12124163361687</v>
      </c>
      <c r="U58" s="96">
        <f t="shared" si="9"/>
        <v>1.1341464481723185</v>
      </c>
      <c r="V58" s="96">
        <f t="shared" si="9"/>
        <v>1.1471997893554959</v>
      </c>
      <c r="W58" s="96">
        <f t="shared" si="9"/>
        <v>1.1604033666182545</v>
      </c>
      <c r="X58" s="96">
        <f t="shared" si="9"/>
        <v>1.1737589090872063</v>
      </c>
      <c r="Y58" s="96">
        <f t="shared" si="9"/>
        <v>1.1872681657901656</v>
      </c>
      <c r="Z58" s="96">
        <f t="shared" si="9"/>
        <v>1.2009329058852027</v>
      </c>
      <c r="AA58" s="96">
        <f t="shared" si="9"/>
        <v>1.2147549188923294</v>
      </c>
      <c r="AB58" s="96">
        <f t="shared" si="9"/>
        <v>1.2287360149278526</v>
      </c>
      <c r="AC58" s="96">
        <f t="shared" si="9"/>
        <v>1.2428780249414255</v>
      </c>
      <c r="AD58" s="96">
        <f t="shared" si="9"/>
        <v>1.2571828009558272</v>
      </c>
      <c r="AE58" s="96">
        <f t="shared" si="9"/>
        <v>1.271652216309501</v>
      </c>
      <c r="AF58" s="96">
        <f t="shared" si="9"/>
        <v>1.2862881659018852</v>
      </c>
      <c r="AG58" s="96">
        <f t="shared" si="9"/>
        <v>1.3010925664415676</v>
      </c>
      <c r="AH58" s="96">
        <f t="shared" si="9"/>
        <v>1.316067356697294</v>
      </c>
      <c r="AI58" s="96">
        <f t="shared" si="9"/>
        <v>1.3312144977518701</v>
      </c>
    </row>
    <row r="59" spans="1:35" ht="15" customHeight="1">
      <c r="A59" s="222"/>
      <c r="B59" s="5"/>
      <c r="C59" s="5"/>
      <c r="D59" s="5"/>
    </row>
    <row r="60" spans="1:35" ht="15" customHeight="1">
      <c r="A60" s="222"/>
      <c r="C60" s="10" t="s">
        <v>442</v>
      </c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</row>
    <row r="61" spans="1:35" ht="15" customHeight="1">
      <c r="A61" s="222"/>
    </row>
    <row r="62" spans="1:35" ht="15" customHeight="1">
      <c r="A62" s="222"/>
      <c r="B62" s="5"/>
      <c r="C62" s="5"/>
      <c r="D62" s="5"/>
      <c r="E62" s="5" t="s">
        <v>443</v>
      </c>
      <c r="G62" s="5" t="str">
        <f>Inputs!$I$11</f>
        <v>£m 2020 prices</v>
      </c>
      <c r="I62" s="28"/>
      <c r="J62" s="28"/>
      <c r="K62" s="5">
        <f>K43 * K$58 *K57</f>
        <v>0</v>
      </c>
      <c r="L62" s="5">
        <f t="shared" ref="L62:AI62" si="10">L43 * L$58 *L57</f>
        <v>0</v>
      </c>
      <c r="M62" s="5">
        <f>M43 * M$58 *M57</f>
        <v>0</v>
      </c>
      <c r="N62" s="5">
        <f t="shared" si="10"/>
        <v>17.194744673170955</v>
      </c>
      <c r="O62" s="5">
        <f t="shared" si="10"/>
        <v>19.07275839466821</v>
      </c>
      <c r="P62" s="5">
        <f t="shared" si="10"/>
        <v>19.883511821403705</v>
      </c>
      <c r="Q62" s="5">
        <f t="shared" si="10"/>
        <v>25.574583366415428</v>
      </c>
      <c r="R62" s="5">
        <f t="shared" si="10"/>
        <v>18.524664820157341</v>
      </c>
      <c r="S62" s="5">
        <f t="shared" si="10"/>
        <v>17.811909883178242</v>
      </c>
      <c r="T62" s="5">
        <f t="shared" si="10"/>
        <v>19.795918845422289</v>
      </c>
      <c r="U62" s="5">
        <f t="shared" si="10"/>
        <v>17.184905209947868</v>
      </c>
      <c r="V62" s="5">
        <f t="shared" si="10"/>
        <v>18.480727125181641</v>
      </c>
      <c r="W62" s="5">
        <f t="shared" si="10"/>
        <v>17.675000055069763</v>
      </c>
      <c r="X62" s="5">
        <f t="shared" si="10"/>
        <v>18.012791456368898</v>
      </c>
      <c r="Y62" s="5">
        <f t="shared" si="10"/>
        <v>23.665730919363213</v>
      </c>
      <c r="Z62" s="5">
        <f t="shared" si="10"/>
        <v>18.264114977436918</v>
      </c>
      <c r="AA62" s="5">
        <f t="shared" si="10"/>
        <v>17.092716122987348</v>
      </c>
      <c r="AB62" s="5">
        <f t="shared" si="10"/>
        <v>16.015761536975301</v>
      </c>
      <c r="AC62" s="5">
        <f t="shared" si="10"/>
        <v>15.387890152338652</v>
      </c>
      <c r="AD62" s="5">
        <f t="shared" si="10"/>
        <v>32.7546818103405</v>
      </c>
      <c r="AE62" s="5">
        <f t="shared" si="10"/>
        <v>16.211989176939873</v>
      </c>
      <c r="AF62" s="5">
        <f t="shared" si="10"/>
        <v>16.516782181022279</v>
      </c>
      <c r="AG62" s="5">
        <f t="shared" si="10"/>
        <v>15.934216163003576</v>
      </c>
      <c r="AH62" s="5">
        <f t="shared" si="10"/>
        <v>16.814928891918392</v>
      </c>
      <c r="AI62" s="5">
        <f t="shared" si="10"/>
        <v>23.047901929840311</v>
      </c>
    </row>
    <row r="63" spans="1:35" ht="15" customHeight="1">
      <c r="A63" s="222"/>
      <c r="B63" s="5"/>
      <c r="C63" s="5"/>
      <c r="D63" s="5"/>
      <c r="E63" s="17" t="s">
        <v>444</v>
      </c>
      <c r="G63" s="5" t="str">
        <f>Inputs!$I$11</f>
        <v>£m 2020 prices</v>
      </c>
      <c r="I63" s="255">
        <f>SUM(K62:AI62)</f>
        <v>420.91822951315061</v>
      </c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</row>
    <row r="64" spans="1:35" ht="15" customHeight="1">
      <c r="A64" s="222"/>
      <c r="B64" s="5"/>
      <c r="C64" s="5"/>
      <c r="D64" s="5"/>
      <c r="G64" s="5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</row>
    <row r="65" spans="1:35" ht="15" customHeight="1">
      <c r="A65" s="222"/>
      <c r="B65" s="5"/>
      <c r="C65" s="5"/>
      <c r="D65" s="5"/>
      <c r="E65" s="17" t="s">
        <v>428</v>
      </c>
      <c r="G65" s="17" t="str">
        <f>G$21</f>
        <v>scalar</v>
      </c>
      <c r="I65" s="170">
        <f>I$55</f>
        <v>3.8567228484761955E-2</v>
      </c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</row>
    <row r="66" spans="1:35" ht="15" customHeight="1">
      <c r="A66" s="222"/>
      <c r="B66" s="5"/>
      <c r="C66" s="5"/>
      <c r="D66" s="5"/>
      <c r="G66" s="5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</row>
    <row r="67" spans="1:35" ht="15" customHeight="1">
      <c r="A67" s="222"/>
      <c r="B67" s="5"/>
      <c r="C67" s="5"/>
      <c r="D67" s="5"/>
      <c r="E67" s="17" t="s">
        <v>445</v>
      </c>
      <c r="G67" s="5" t="str">
        <f>Inputs!$I$11</f>
        <v>£m 2020 prices</v>
      </c>
      <c r="I67" s="256">
        <f>I63 * I65</f>
        <v>16.233649531035152</v>
      </c>
      <c r="J67" s="28"/>
    </row>
    <row r="68" spans="1:35" ht="15" customHeight="1">
      <c r="A68" s="222"/>
      <c r="B68" s="5"/>
      <c r="C68" s="5"/>
      <c r="D68" s="5"/>
      <c r="E68" s="5" t="s">
        <v>446</v>
      </c>
      <c r="G68" s="5" t="str">
        <f>Inputs!$I$11</f>
        <v>£m 2020 prices</v>
      </c>
      <c r="J68" s="28"/>
      <c r="K68" s="43">
        <f>K$57 * $I67</f>
        <v>0</v>
      </c>
      <c r="L68" s="43">
        <f>L$57 * $I67</f>
        <v>0</v>
      </c>
      <c r="M68" s="43">
        <f t="shared" ref="M68:AI68" si="11">M$57 * $I67</f>
        <v>0</v>
      </c>
      <c r="N68" s="43">
        <f t="shared" si="11"/>
        <v>16.233649531035152</v>
      </c>
      <c r="O68" s="43">
        <f t="shared" si="11"/>
        <v>16.233649531035152</v>
      </c>
      <c r="P68" s="43">
        <f t="shared" si="11"/>
        <v>16.233649531035152</v>
      </c>
      <c r="Q68" s="43">
        <f t="shared" si="11"/>
        <v>16.233649531035152</v>
      </c>
      <c r="R68" s="43">
        <f t="shared" si="11"/>
        <v>16.233649531035152</v>
      </c>
      <c r="S68" s="43">
        <f t="shared" si="11"/>
        <v>16.233649531035152</v>
      </c>
      <c r="T68" s="43">
        <f t="shared" si="11"/>
        <v>16.233649531035152</v>
      </c>
      <c r="U68" s="43">
        <f t="shared" si="11"/>
        <v>16.233649531035152</v>
      </c>
      <c r="V68" s="43">
        <f t="shared" si="11"/>
        <v>16.233649531035152</v>
      </c>
      <c r="W68" s="43">
        <f t="shared" si="11"/>
        <v>16.233649531035152</v>
      </c>
      <c r="X68" s="43">
        <f t="shared" si="11"/>
        <v>16.233649531035152</v>
      </c>
      <c r="Y68" s="43">
        <f t="shared" si="11"/>
        <v>16.233649531035152</v>
      </c>
      <c r="Z68" s="43">
        <f t="shared" si="11"/>
        <v>16.233649531035152</v>
      </c>
      <c r="AA68" s="43">
        <f t="shared" si="11"/>
        <v>16.233649531035152</v>
      </c>
      <c r="AB68" s="43">
        <f t="shared" si="11"/>
        <v>16.233649531035152</v>
      </c>
      <c r="AC68" s="43">
        <f t="shared" si="11"/>
        <v>16.233649531035152</v>
      </c>
      <c r="AD68" s="43">
        <f t="shared" si="11"/>
        <v>16.233649531035152</v>
      </c>
      <c r="AE68" s="43">
        <f t="shared" si="11"/>
        <v>16.233649531035152</v>
      </c>
      <c r="AF68" s="43">
        <f t="shared" si="11"/>
        <v>16.233649531035152</v>
      </c>
      <c r="AG68" s="43">
        <f t="shared" si="11"/>
        <v>16.233649531035152</v>
      </c>
      <c r="AH68" s="43">
        <f t="shared" si="11"/>
        <v>16.233649531035152</v>
      </c>
      <c r="AI68" s="43">
        <f t="shared" si="11"/>
        <v>16.233649531035152</v>
      </c>
    </row>
    <row r="69" spans="1:35" ht="15" customHeight="1">
      <c r="A69" s="222"/>
      <c r="B69" s="5"/>
    </row>
    <row r="70" spans="1:35" ht="15" customHeight="1">
      <c r="A70" s="222"/>
      <c r="B70" s="5"/>
      <c r="C70" s="10" t="s">
        <v>447</v>
      </c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</row>
    <row r="71" spans="1:35" ht="15" customHeight="1">
      <c r="A71" s="222"/>
      <c r="B71" s="5"/>
    </row>
    <row r="72" spans="1:35" ht="15" customHeight="1">
      <c r="A72" s="222"/>
      <c r="B72" s="5"/>
      <c r="E72" s="17" t="s">
        <v>46</v>
      </c>
      <c r="G72" s="30" t="str">
        <f>Inputs!G85</f>
        <v>full years</v>
      </c>
      <c r="I72" s="108">
        <f>Inputs!I85</f>
        <v>22.591780821917808</v>
      </c>
    </row>
    <row r="73" spans="1:35" ht="15" customHeight="1">
      <c r="A73" s="222"/>
      <c r="B73" s="5"/>
      <c r="E73" s="17" t="s">
        <v>448</v>
      </c>
      <c r="G73" s="30" t="str">
        <f>Inputs!G86</f>
        <v>full years</v>
      </c>
      <c r="I73" s="108">
        <f>Inputs!I86</f>
        <v>0</v>
      </c>
    </row>
    <row r="74" spans="1:35" ht="15" customHeight="1">
      <c r="A74" s="222"/>
      <c r="B74" s="5"/>
    </row>
    <row r="75" spans="1:35" ht="15" customHeight="1">
      <c r="A75" s="222"/>
      <c r="B75" s="5"/>
      <c r="D75" s="5"/>
      <c r="E75" s="5" t="s">
        <v>449</v>
      </c>
      <c r="F75" s="5"/>
      <c r="G75" s="5" t="s">
        <v>256</v>
      </c>
      <c r="H75" s="5"/>
      <c r="I75" s="26"/>
      <c r="J75" s="6"/>
      <c r="K75" s="20" t="b">
        <f>AND((SUMIF(Inputs!164:164,'Allowances Floor'!K4,Inputs!172:172)&lt;&gt;0),K57&lt;&gt;TRUE)</f>
        <v>0</v>
      </c>
      <c r="L75" s="20" t="b">
        <f>AND((SUMIF(Inputs!164:164,'Allowances Floor'!L4,Inputs!172:172)&lt;&gt;0),L57&lt;&gt;TRUE)</f>
        <v>0</v>
      </c>
      <c r="M75" s="20" t="b">
        <f>AND((SUMIF(Inputs!164:164,'Allowances Floor'!M4,Inputs!172:172)&lt;&gt;0),M57&lt;&gt;TRUE)</f>
        <v>0</v>
      </c>
      <c r="N75" s="20" t="b">
        <f>AND((SUMIF(Inputs!164:164,'Allowances Floor'!N4,Inputs!172:172)&lt;&gt;0),N57&lt;&gt;TRUE)</f>
        <v>0</v>
      </c>
      <c r="O75" s="20" t="b">
        <f>AND((SUMIF(Inputs!164:164,'Allowances Floor'!O4,Inputs!172:172)&lt;&gt;0),O57&lt;&gt;TRUE)</f>
        <v>0</v>
      </c>
      <c r="P75" s="20" t="b">
        <f>AND((SUMIF(Inputs!164:164,'Allowances Floor'!P4,Inputs!172:172)&lt;&gt;0),P57&lt;&gt;TRUE)</f>
        <v>0</v>
      </c>
      <c r="Q75" s="20" t="b">
        <f>AND((SUMIF(Inputs!164:164,'Allowances Floor'!Q4,Inputs!172:172)&lt;&gt;0),Q57&lt;&gt;TRUE)</f>
        <v>0</v>
      </c>
      <c r="R75" s="20" t="b">
        <f>AND((SUMIF(Inputs!164:164,'Allowances Floor'!R4,Inputs!172:172)&lt;&gt;0),R57&lt;&gt;TRUE)</f>
        <v>0</v>
      </c>
      <c r="S75" s="20" t="b">
        <f>AND((SUMIF(Inputs!164:164,'Allowances Floor'!S4,Inputs!172:172)&lt;&gt;0),S57&lt;&gt;TRUE)</f>
        <v>0</v>
      </c>
      <c r="T75" s="20" t="b">
        <f>AND((SUMIF(Inputs!164:164,'Allowances Floor'!T4,Inputs!172:172)&lt;&gt;0),T57&lt;&gt;TRUE)</f>
        <v>0</v>
      </c>
      <c r="U75" s="20" t="b">
        <f>AND((SUMIF(Inputs!164:164,'Allowances Floor'!U4,Inputs!172:172)&lt;&gt;0),U57&lt;&gt;TRUE)</f>
        <v>0</v>
      </c>
      <c r="V75" s="20" t="b">
        <f>AND((SUMIF(Inputs!164:164,'Allowances Floor'!V4,Inputs!172:172)&lt;&gt;0),V57&lt;&gt;TRUE)</f>
        <v>0</v>
      </c>
      <c r="W75" s="20" t="b">
        <f>AND((SUMIF(Inputs!164:164,'Allowances Floor'!W4,Inputs!172:172)&lt;&gt;0),W57&lt;&gt;TRUE)</f>
        <v>0</v>
      </c>
      <c r="X75" s="20" t="b">
        <f>AND((SUMIF(Inputs!164:164,'Allowances Floor'!X4,Inputs!172:172)&lt;&gt;0),X57&lt;&gt;TRUE)</f>
        <v>0</v>
      </c>
      <c r="Y75" s="20" t="b">
        <f>AND((SUMIF(Inputs!164:164,'Allowances Floor'!Y4,Inputs!172:172)&lt;&gt;0),Y57&lt;&gt;TRUE)</f>
        <v>0</v>
      </c>
      <c r="Z75" s="20" t="b">
        <f>AND((SUMIF(Inputs!164:164,'Allowances Floor'!Z4,Inputs!172:172)&lt;&gt;0),Z57&lt;&gt;TRUE)</f>
        <v>0</v>
      </c>
      <c r="AA75" s="20" t="b">
        <f>AND((SUMIF(Inputs!164:164,'Allowances Floor'!AA4,Inputs!172:172)&lt;&gt;0),AA57&lt;&gt;TRUE)</f>
        <v>0</v>
      </c>
      <c r="AB75" s="20" t="b">
        <f>AND((SUMIF(Inputs!164:164,'Allowances Floor'!AB4,Inputs!172:172)&lt;&gt;0),AB57&lt;&gt;TRUE)</f>
        <v>0</v>
      </c>
      <c r="AC75" s="20" t="b">
        <f>AND((SUMIF(Inputs!164:164,'Allowances Floor'!AC4,Inputs!172:172)&lt;&gt;0),AC57&lt;&gt;TRUE)</f>
        <v>0</v>
      </c>
      <c r="AD75" s="20" t="b">
        <f>AND((SUMIF(Inputs!164:164,'Allowances Floor'!AD4,Inputs!172:172)&lt;&gt;0),AD57&lt;&gt;TRUE)</f>
        <v>0</v>
      </c>
      <c r="AE75" s="20" t="b">
        <f>AND((SUMIF(Inputs!164:164,'Allowances Floor'!AE4,Inputs!172:172)&lt;&gt;0),AE57&lt;&gt;TRUE)</f>
        <v>0</v>
      </c>
      <c r="AF75" s="20" t="b">
        <f>AND((SUMIF(Inputs!164:164,'Allowances Floor'!AF4,Inputs!172:172)&lt;&gt;0),AF57&lt;&gt;TRUE)</f>
        <v>0</v>
      </c>
      <c r="AG75" s="20" t="b">
        <f>AND((SUMIF(Inputs!164:164,'Allowances Floor'!AG4,Inputs!172:172)&lt;&gt;0),AG57&lt;&gt;TRUE)</f>
        <v>0</v>
      </c>
      <c r="AH75" s="20" t="b">
        <f>AND((SUMIF(Inputs!164:164,'Allowances Floor'!AH4,Inputs!172:172)&lt;&gt;0),AH57&lt;&gt;TRUE)</f>
        <v>0</v>
      </c>
      <c r="AI75" s="20" t="b">
        <f>AND((SUMIF(Inputs!164:164,'Allowances Floor'!AI4,Inputs!172:172)&lt;&gt;0),AI57&lt;&gt;TRUE)</f>
        <v>0</v>
      </c>
    </row>
    <row r="76" spans="1:35" ht="15" customHeight="1">
      <c r="A76" s="222"/>
      <c r="B76" s="5"/>
    </row>
    <row r="77" spans="1:35" ht="15" customHeight="1">
      <c r="A77" s="222"/>
      <c r="B77" s="5"/>
      <c r="C77" s="5"/>
      <c r="D77" s="5"/>
      <c r="E77" s="5" t="s">
        <v>450</v>
      </c>
      <c r="G77" s="5" t="str">
        <f>Inputs!$I$11</f>
        <v>£m 2020 prices</v>
      </c>
      <c r="J77" s="28"/>
      <c r="K77" s="43">
        <f>K$75 * $I67</f>
        <v>0</v>
      </c>
      <c r="L77" s="43">
        <f t="shared" ref="L77:AI77" si="12">L$75 * $I67</f>
        <v>0</v>
      </c>
      <c r="M77" s="43">
        <f t="shared" si="12"/>
        <v>0</v>
      </c>
      <c r="N77" s="43">
        <f t="shared" si="12"/>
        <v>0</v>
      </c>
      <c r="O77" s="43">
        <f t="shared" si="12"/>
        <v>0</v>
      </c>
      <c r="P77" s="43">
        <f t="shared" si="12"/>
        <v>0</v>
      </c>
      <c r="Q77" s="43">
        <f t="shared" si="12"/>
        <v>0</v>
      </c>
      <c r="R77" s="43">
        <f t="shared" si="12"/>
        <v>0</v>
      </c>
      <c r="S77" s="43">
        <f t="shared" si="12"/>
        <v>0</v>
      </c>
      <c r="T77" s="43">
        <f t="shared" si="12"/>
        <v>0</v>
      </c>
      <c r="U77" s="43">
        <f t="shared" si="12"/>
        <v>0</v>
      </c>
      <c r="V77" s="43">
        <f t="shared" si="12"/>
        <v>0</v>
      </c>
      <c r="W77" s="43">
        <f t="shared" si="12"/>
        <v>0</v>
      </c>
      <c r="X77" s="43">
        <f t="shared" si="12"/>
        <v>0</v>
      </c>
      <c r="Y77" s="43">
        <f t="shared" si="12"/>
        <v>0</v>
      </c>
      <c r="Z77" s="43">
        <f t="shared" si="12"/>
        <v>0</v>
      </c>
      <c r="AA77" s="43">
        <f t="shared" si="12"/>
        <v>0</v>
      </c>
      <c r="AB77" s="43">
        <f t="shared" si="12"/>
        <v>0</v>
      </c>
      <c r="AC77" s="43">
        <f t="shared" si="12"/>
        <v>0</v>
      </c>
      <c r="AD77" s="43">
        <f t="shared" si="12"/>
        <v>0</v>
      </c>
      <c r="AE77" s="43">
        <f t="shared" si="12"/>
        <v>0</v>
      </c>
      <c r="AF77" s="43">
        <f t="shared" si="12"/>
        <v>0</v>
      </c>
      <c r="AG77" s="43">
        <f t="shared" si="12"/>
        <v>0</v>
      </c>
      <c r="AH77" s="43">
        <f t="shared" si="12"/>
        <v>0</v>
      </c>
      <c r="AI77" s="43">
        <f t="shared" si="12"/>
        <v>0</v>
      </c>
    </row>
    <row r="78" spans="1:35" ht="15" customHeight="1">
      <c r="A78" s="222"/>
      <c r="B78" s="5"/>
    </row>
    <row r="79" spans="1:35" ht="15" customHeight="1">
      <c r="A79"/>
      <c r="B79" s="267" t="s">
        <v>47</v>
      </c>
      <c r="C79" s="56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6"/>
      <c r="AC79" s="56"/>
      <c r="AD79" s="56"/>
      <c r="AE79" s="56"/>
      <c r="AF79" s="56"/>
      <c r="AG79" s="56"/>
      <c r="AH79" s="56"/>
      <c r="AI79" s="56"/>
    </row>
    <row r="80" spans="1:35" ht="15" customHeight="1"/>
  </sheetData>
  <conditionalFormatting sqref="K23:AI23">
    <cfRule type="cellIs" dxfId="2" priority="4" operator="equal">
      <formula>FALSE()</formula>
    </cfRule>
  </conditionalFormatting>
  <conditionalFormatting sqref="K57:AI57">
    <cfRule type="cellIs" dxfId="1" priority="3" operator="equal">
      <formula>FALSE()</formula>
    </cfRule>
  </conditionalFormatting>
  <conditionalFormatting sqref="K75:AI75">
    <cfRule type="cellIs" dxfId="0" priority="2" operator="equal">
      <formula>FALSE()</formula>
    </cfRule>
  </conditionalFormatting>
  <pageMargins left="0.23622047244094491" right="0.23622047244094491" top="0.74803149606299213" bottom="0.74803149606299213" header="0.31496062992125984" footer="0.31496062992125984"/>
  <pageSetup paperSize="8" scale="43" fitToHeight="0" orientation="landscape" r:id="rId1"/>
  <headerFooter>
    <oddHeader>&amp;C&amp;"Aptos"&amp;10&amp;K000000 OFFICIAL&amp;1#_x000D_</oddHeader>
    <oddFooter>&amp;C_x000D_&amp;1#&amp;"Aptos"&amp;10&amp;K000000 OFFICIAL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4">
    <tabColor theme="7" tint="0.59999389629810485"/>
    <pageSetUpPr fitToPage="1"/>
  </sheetPr>
  <dimension ref="A1:AY77"/>
  <sheetViews>
    <sheetView zoomScaleNormal="100" workbookViewId="0">
      <pane ySplit="4" topLeftCell="A5" activePane="bottomLeft" state="frozen"/>
      <selection pane="bottomLeft" activeCell="B76" activeCellId="3" sqref="B6 B32 B55 B76"/>
    </sheetView>
  </sheetViews>
  <sheetFormatPr defaultColWidth="0" defaultRowHeight="15" customHeight="1" zeroHeight="1"/>
  <cols>
    <col min="1" max="1" width="2.5703125" style="83" customWidth="1"/>
    <col min="2" max="2" width="2.5703125" style="31" customWidth="1"/>
    <col min="3" max="3" width="2.5703125" style="4" customWidth="1"/>
    <col min="4" max="4" width="2.5703125" style="31" customWidth="1"/>
    <col min="5" max="5" width="50.5703125" style="4" customWidth="1"/>
    <col min="6" max="6" width="1.5703125" style="4" customWidth="1"/>
    <col min="7" max="7" width="15.5703125" style="4" customWidth="1"/>
    <col min="8" max="8" width="10.7109375" style="4" customWidth="1"/>
    <col min="9" max="9" width="10.5703125" style="4" customWidth="1"/>
    <col min="10" max="10" width="1.5703125" style="4" customWidth="1"/>
    <col min="11" max="35" width="10.5703125" style="4" customWidth="1"/>
    <col min="36" max="36" width="3.140625" customWidth="1"/>
    <col min="37" max="50" width="10.5703125" hidden="1" customWidth="1"/>
    <col min="51" max="51" width="2.5703125" hidden="1" customWidth="1"/>
    <col min="52" max="16384" width="9.140625" hidden="1"/>
  </cols>
  <sheetData>
    <row r="1" spans="1:35" ht="14.25">
      <c r="A1" s="157" t="s">
        <v>36</v>
      </c>
      <c r="B1" s="12"/>
      <c r="C1" s="12"/>
      <c r="D1" s="12"/>
      <c r="E1" s="12"/>
      <c r="F1" s="12"/>
      <c r="G1" s="12"/>
      <c r="H1" s="12" t="s">
        <v>108</v>
      </c>
      <c r="I1" s="12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2"/>
      <c r="AH1" s="12"/>
      <c r="AI1" s="12"/>
    </row>
    <row r="2" spans="1:35" ht="15" customHeight="1">
      <c r="A2" s="12"/>
      <c r="B2" s="12"/>
      <c r="C2" s="12"/>
      <c r="D2" s="12"/>
      <c r="E2" s="14" t="s">
        <v>109</v>
      </c>
      <c r="F2" s="14"/>
      <c r="G2" s="14" t="s">
        <v>110</v>
      </c>
      <c r="H2" s="14" t="s">
        <v>111</v>
      </c>
      <c r="I2" s="22" t="s">
        <v>112</v>
      </c>
      <c r="J2" s="15"/>
      <c r="K2" s="14" t="s">
        <v>113</v>
      </c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</row>
    <row r="3" spans="1:35" ht="15" customHeight="1">
      <c r="A3" s="12"/>
      <c r="B3" s="12"/>
      <c r="C3" s="12"/>
      <c r="D3" s="12"/>
      <c r="E3" s="15" t="s">
        <v>393</v>
      </c>
      <c r="F3" s="14"/>
      <c r="G3" s="14"/>
      <c r="H3" s="14"/>
      <c r="I3" s="22"/>
      <c r="J3" s="15"/>
      <c r="K3" s="116" t="s">
        <v>142</v>
      </c>
      <c r="L3" s="116" t="s">
        <v>143</v>
      </c>
      <c r="M3" s="116" t="s">
        <v>144</v>
      </c>
      <c r="N3" s="116" t="s">
        <v>145</v>
      </c>
      <c r="O3" s="116" t="s">
        <v>146</v>
      </c>
      <c r="P3" s="116" t="s">
        <v>147</v>
      </c>
      <c r="Q3" s="116" t="s">
        <v>148</v>
      </c>
      <c r="R3" s="116" t="s">
        <v>149</v>
      </c>
      <c r="S3" s="116" t="s">
        <v>150</v>
      </c>
      <c r="T3" s="116" t="s">
        <v>151</v>
      </c>
      <c r="U3" s="116" t="s">
        <v>152</v>
      </c>
      <c r="V3" s="116" t="s">
        <v>153</v>
      </c>
      <c r="W3" s="116" t="s">
        <v>154</v>
      </c>
      <c r="X3" s="116" t="s">
        <v>155</v>
      </c>
      <c r="Y3" s="116" t="s">
        <v>156</v>
      </c>
      <c r="Z3" s="116" t="s">
        <v>157</v>
      </c>
      <c r="AA3" s="116" t="s">
        <v>158</v>
      </c>
      <c r="AB3" s="116" t="s">
        <v>159</v>
      </c>
      <c r="AC3" s="116" t="s">
        <v>160</v>
      </c>
      <c r="AD3" s="116" t="s">
        <v>161</v>
      </c>
      <c r="AE3" s="116" t="s">
        <v>162</v>
      </c>
      <c r="AF3" s="116" t="s">
        <v>163</v>
      </c>
      <c r="AG3" s="116" t="s">
        <v>164</v>
      </c>
      <c r="AH3" s="116" t="s">
        <v>165</v>
      </c>
      <c r="AI3" s="116" t="s">
        <v>166</v>
      </c>
    </row>
    <row r="4" spans="1:35" ht="15" customHeight="1">
      <c r="A4" s="211"/>
      <c r="B4" s="12"/>
      <c r="C4" s="12"/>
      <c r="D4" s="12"/>
      <c r="E4" s="15" t="s">
        <v>205</v>
      </c>
      <c r="F4" s="14"/>
      <c r="G4" s="14"/>
      <c r="H4" s="14"/>
      <c r="I4" s="22"/>
      <c r="J4" s="15"/>
      <c r="K4" s="116">
        <v>1</v>
      </c>
      <c r="L4" s="116">
        <v>2</v>
      </c>
      <c r="M4" s="116">
        <v>3</v>
      </c>
      <c r="N4" s="116">
        <v>4</v>
      </c>
      <c r="O4" s="116">
        <v>5</v>
      </c>
      <c r="P4" s="116">
        <v>6</v>
      </c>
      <c r="Q4" s="116">
        <v>7</v>
      </c>
      <c r="R4" s="116">
        <v>8</v>
      </c>
      <c r="S4" s="116">
        <v>9</v>
      </c>
      <c r="T4" s="116">
        <v>10</v>
      </c>
      <c r="U4" s="116">
        <v>11</v>
      </c>
      <c r="V4" s="116">
        <v>12</v>
      </c>
      <c r="W4" s="116">
        <v>13</v>
      </c>
      <c r="X4" s="116">
        <v>14</v>
      </c>
      <c r="Y4" s="116">
        <v>15</v>
      </c>
      <c r="Z4" s="116">
        <v>16</v>
      </c>
      <c r="AA4" s="116">
        <v>17</v>
      </c>
      <c r="AB4" s="116">
        <v>18</v>
      </c>
      <c r="AC4" s="116">
        <v>19</v>
      </c>
      <c r="AD4" s="116">
        <v>20</v>
      </c>
      <c r="AE4" s="116">
        <v>21</v>
      </c>
      <c r="AF4" s="116">
        <v>22</v>
      </c>
      <c r="AG4" s="116">
        <v>23</v>
      </c>
      <c r="AH4" s="116">
        <v>24</v>
      </c>
      <c r="AI4" s="116">
        <v>25</v>
      </c>
    </row>
    <row r="5" spans="1:35" ht="15" customHeight="1">
      <c r="A5" s="4"/>
      <c r="B5" s="4"/>
      <c r="D5" s="4"/>
    </row>
    <row r="6" spans="1:35" ht="15" customHeight="1">
      <c r="A6"/>
      <c r="B6" s="267" t="s">
        <v>451</v>
      </c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</row>
    <row r="7" spans="1:35" ht="15" customHeight="1">
      <c r="A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5"/>
      <c r="Q7" s="5"/>
      <c r="R7" s="5"/>
      <c r="S7" s="5"/>
      <c r="T7" s="5"/>
      <c r="U7" s="5"/>
      <c r="V7" s="5"/>
      <c r="W7" s="61"/>
      <c r="X7" s="61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35" ht="15" customHeight="1">
      <c r="A8"/>
      <c r="B8" s="17"/>
      <c r="C8" s="10" t="s">
        <v>452</v>
      </c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</row>
    <row r="9" spans="1:35" ht="15" customHeight="1">
      <c r="A9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5"/>
      <c r="Q9" s="5"/>
      <c r="R9" s="5"/>
      <c r="S9" s="5"/>
      <c r="T9" s="5"/>
      <c r="U9" s="5"/>
      <c r="V9" s="5"/>
      <c r="W9" s="61"/>
      <c r="X9" s="61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35" ht="15" customHeight="1">
      <c r="A10"/>
      <c r="B10" s="17"/>
      <c r="C10" s="17"/>
      <c r="D10" s="17"/>
      <c r="E10" s="16" t="str">
        <f>Inputs!E195</f>
        <v>UK RPI uplift from price base to start of regime</v>
      </c>
      <c r="F10" s="16"/>
      <c r="G10" s="16" t="s">
        <v>274</v>
      </c>
      <c r="H10" s="17"/>
      <c r="I10" s="97">
        <f>Inputs!I195</f>
        <v>1.0797233179570656</v>
      </c>
      <c r="J10" s="17"/>
      <c r="K10" s="17"/>
      <c r="L10" s="17"/>
      <c r="M10" s="17"/>
      <c r="N10" s="17"/>
      <c r="O10" s="17"/>
      <c r="P10" s="5"/>
      <c r="Q10" s="5"/>
      <c r="R10" s="5"/>
      <c r="S10" s="5"/>
      <c r="T10" s="5"/>
      <c r="U10" s="5"/>
      <c r="V10" s="5"/>
      <c r="W10" s="61"/>
      <c r="X10" s="61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</row>
    <row r="11" spans="1:35" ht="15" customHeight="1">
      <c r="A11"/>
      <c r="B11" s="17"/>
      <c r="C11" s="17"/>
      <c r="D11" s="17"/>
      <c r="E11" s="4" t="str">
        <f>Inputs!E192</f>
        <v>Long-term expected UK RPI inflation</v>
      </c>
      <c r="G11" s="5" t="s">
        <v>118</v>
      </c>
      <c r="I11" s="80">
        <f>Inputs!I192</f>
        <v>4.2799999999999998E-2</v>
      </c>
      <c r="J11" s="17"/>
      <c r="K11" s="17"/>
      <c r="L11" s="17"/>
      <c r="M11" s="17"/>
      <c r="N11" s="17"/>
      <c r="O11" s="17"/>
      <c r="P11" s="5"/>
      <c r="Q11" s="5"/>
      <c r="R11" s="5"/>
      <c r="S11" s="5"/>
      <c r="T11" s="5"/>
      <c r="U11" s="5"/>
      <c r="V11" s="5"/>
      <c r="W11" s="61"/>
      <c r="X11" s="61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</row>
    <row r="12" spans="1:35" ht="15" customHeight="1">
      <c r="A12"/>
      <c r="B12" s="17"/>
      <c r="C12" s="17"/>
      <c r="D12" s="17"/>
      <c r="E12" s="4" t="s">
        <v>453</v>
      </c>
      <c r="G12" s="16" t="s">
        <v>274</v>
      </c>
      <c r="J12" s="17"/>
      <c r="K12" s="171">
        <f>I10*(1+$I$11)^0.5</f>
        <v>1.1025873153248116</v>
      </c>
      <c r="L12" s="172">
        <f>K12*(1+$I$11)</f>
        <v>1.1497780524207135</v>
      </c>
      <c r="M12" s="173">
        <f t="shared" ref="M12:AI12" si="0">L12*(1+$I$11)</f>
        <v>1.1989885530643201</v>
      </c>
      <c r="N12" s="173">
        <f t="shared" si="0"/>
        <v>1.250305263135473</v>
      </c>
      <c r="O12" s="173">
        <f t="shared" si="0"/>
        <v>1.3038183283976712</v>
      </c>
      <c r="P12" s="173">
        <f t="shared" si="0"/>
        <v>1.3596217528530914</v>
      </c>
      <c r="Q12" s="173">
        <f t="shared" si="0"/>
        <v>1.4178135638752036</v>
      </c>
      <c r="R12" s="173">
        <f t="shared" si="0"/>
        <v>1.4784959844090624</v>
      </c>
      <c r="S12" s="173">
        <f t="shared" si="0"/>
        <v>1.5417756125417701</v>
      </c>
      <c r="T12" s="173">
        <f t="shared" si="0"/>
        <v>1.6077636087585578</v>
      </c>
      <c r="U12" s="173">
        <f t="shared" si="0"/>
        <v>1.6765758912134241</v>
      </c>
      <c r="V12" s="173">
        <f t="shared" si="0"/>
        <v>1.7483333393573586</v>
      </c>
      <c r="W12" s="173">
        <f t="shared" si="0"/>
        <v>1.8231620062818534</v>
      </c>
      <c r="X12" s="173">
        <f t="shared" si="0"/>
        <v>1.9011933401507166</v>
      </c>
      <c r="Y12" s="173">
        <f t="shared" si="0"/>
        <v>1.9825644151091673</v>
      </c>
      <c r="Z12" s="173">
        <f t="shared" si="0"/>
        <v>2.0674181720758393</v>
      </c>
      <c r="AA12" s="173">
        <f t="shared" si="0"/>
        <v>2.155903669840685</v>
      </c>
      <c r="AB12" s="173">
        <f t="shared" si="0"/>
        <v>2.2481763469098661</v>
      </c>
      <c r="AC12" s="173">
        <f t="shared" si="0"/>
        <v>2.3443982945576081</v>
      </c>
      <c r="AD12" s="173">
        <f t="shared" si="0"/>
        <v>2.4447385415646736</v>
      </c>
      <c r="AE12" s="173">
        <f t="shared" si="0"/>
        <v>2.5493733511436414</v>
      </c>
      <c r="AF12" s="173">
        <f t="shared" si="0"/>
        <v>2.6584865305725893</v>
      </c>
      <c r="AG12" s="173">
        <f t="shared" si="0"/>
        <v>2.7722697540810959</v>
      </c>
      <c r="AH12" s="173">
        <f t="shared" si="0"/>
        <v>2.8909228995557665</v>
      </c>
      <c r="AI12" s="173">
        <f t="shared" si="0"/>
        <v>3.0146543996567532</v>
      </c>
    </row>
    <row r="13" spans="1:35" ht="15" customHeight="1">
      <c r="A13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5"/>
      <c r="Q13" s="5"/>
      <c r="R13" s="5"/>
      <c r="S13" s="5"/>
      <c r="T13" s="5"/>
      <c r="U13" s="5"/>
      <c r="V13" s="5"/>
      <c r="W13" s="61"/>
      <c r="X13" s="61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</row>
    <row r="14" spans="1:35" ht="15" customHeight="1">
      <c r="A14"/>
      <c r="B14" s="17"/>
      <c r="C14" s="10" t="s">
        <v>454</v>
      </c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</row>
    <row r="15" spans="1:35" ht="15" customHeight="1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5"/>
      <c r="Q15" s="5"/>
      <c r="R15" s="5"/>
      <c r="S15" s="5"/>
      <c r="T15" s="5"/>
      <c r="U15" s="5"/>
      <c r="V15" s="5"/>
      <c r="W15" s="61"/>
      <c r="X15" s="61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</row>
    <row r="16" spans="1:35" ht="15" customHeight="1">
      <c r="A16" s="17"/>
      <c r="B16" s="17"/>
      <c r="C16" s="17"/>
      <c r="D16" s="17"/>
      <c r="E16" s="5" t="s">
        <v>455</v>
      </c>
      <c r="F16" s="17"/>
      <c r="G16" s="4" t="s">
        <v>456</v>
      </c>
      <c r="H16" s="17"/>
      <c r="I16" s="17"/>
      <c r="J16" s="17"/>
      <c r="K16" s="5">
        <f t="shared" ref="K16:AI16" si="1">K38</f>
        <v>8.4226521817920048</v>
      </c>
      <c r="L16" s="5">
        <f t="shared" si="1"/>
        <v>6.7919863933533851</v>
      </c>
      <c r="M16" s="5">
        <f t="shared" si="1"/>
        <v>9.3388487967799136</v>
      </c>
      <c r="N16" s="5">
        <f t="shared" si="1"/>
        <v>7.3106928283208896</v>
      </c>
      <c r="O16" s="5">
        <f t="shared" si="1"/>
        <v>9.0907743282067184</v>
      </c>
      <c r="P16" s="5">
        <f t="shared" si="1"/>
        <v>10.590660263127937</v>
      </c>
      <c r="Q16" s="5">
        <f t="shared" si="1"/>
        <v>10.501698591796984</v>
      </c>
      <c r="R16" s="5">
        <f t="shared" si="1"/>
        <v>9.3312795668362476</v>
      </c>
      <c r="S16" s="5">
        <f t="shared" si="1"/>
        <v>8.9613762663415759</v>
      </c>
      <c r="T16" s="5">
        <f t="shared" si="1"/>
        <v>13.898665232691876</v>
      </c>
      <c r="U16" s="5">
        <f t="shared" si="1"/>
        <v>9.0655513933144469</v>
      </c>
      <c r="V16" s="5">
        <f t="shared" si="1"/>
        <v>10.366282919226499</v>
      </c>
      <c r="W16" s="5">
        <f t="shared" si="1"/>
        <v>9.8590869172297566</v>
      </c>
      <c r="X16" s="5">
        <f t="shared" si="1"/>
        <v>10.680094817295782</v>
      </c>
      <c r="Y16" s="5">
        <f t="shared" si="1"/>
        <v>13.995675623716007</v>
      </c>
      <c r="Z16" s="5">
        <f t="shared" si="1"/>
        <v>12.162642740555206</v>
      </c>
      <c r="AA16" s="5">
        <f t="shared" si="1"/>
        <v>11.660685431682319</v>
      </c>
      <c r="AB16" s="5">
        <f t="shared" si="1"/>
        <v>12.737887366633146</v>
      </c>
      <c r="AC16" s="5">
        <f t="shared" si="1"/>
        <v>12.681453259616841</v>
      </c>
      <c r="AD16" s="5">
        <f t="shared" si="1"/>
        <v>14.29799897684966</v>
      </c>
      <c r="AE16" s="5">
        <f t="shared" si="1"/>
        <v>13.832495693564258</v>
      </c>
      <c r="AF16" s="5">
        <f t="shared" si="1"/>
        <v>14.845283025853494</v>
      </c>
      <c r="AG16" s="5">
        <f t="shared" si="1"/>
        <v>14.998972459428018</v>
      </c>
      <c r="AH16" s="5">
        <f t="shared" si="1"/>
        <v>16.957081491230568</v>
      </c>
      <c r="AI16" s="5">
        <f t="shared" si="1"/>
        <v>16.312070086861283</v>
      </c>
    </row>
    <row r="17" spans="1:35" ht="15" customHeight="1">
      <c r="A17" s="17"/>
      <c r="B17" s="17"/>
      <c r="C17" s="17"/>
      <c r="D17" s="17"/>
      <c r="E17" s="5" t="s">
        <v>457</v>
      </c>
      <c r="F17" s="17"/>
      <c r="G17" s="4" t="s">
        <v>456</v>
      </c>
      <c r="H17" s="17"/>
      <c r="I17" s="17"/>
      <c r="J17" s="17"/>
      <c r="K17" s="5">
        <f t="shared" ref="K17:AI17" si="2">K53</f>
        <v>13.048147233080142</v>
      </c>
      <c r="L17" s="5">
        <f t="shared" si="2"/>
        <v>12.265258399095336</v>
      </c>
      <c r="M17" s="5">
        <f t="shared" si="2"/>
        <v>11.529342895149615</v>
      </c>
      <c r="N17" s="5">
        <f t="shared" si="2"/>
        <v>10.837582321440637</v>
      </c>
      <c r="O17" s="5">
        <f t="shared" si="2"/>
        <v>10.1873273821542</v>
      </c>
      <c r="P17" s="5">
        <f t="shared" si="2"/>
        <v>9.5760877392249473</v>
      </c>
      <c r="Q17" s="5">
        <f t="shared" si="2"/>
        <v>9.4561643139743303</v>
      </c>
      <c r="R17" s="5">
        <f t="shared" si="2"/>
        <v>8.8887944551358711</v>
      </c>
      <c r="S17" s="5">
        <f t="shared" si="2"/>
        <v>8.3554667878277193</v>
      </c>
      <c r="T17" s="5">
        <f t="shared" si="2"/>
        <v>7.8541387805580563</v>
      </c>
      <c r="U17" s="5">
        <f t="shared" si="2"/>
        <v>7.3828904537245723</v>
      </c>
      <c r="V17" s="5">
        <f t="shared" si="2"/>
        <v>6.9399170265010985</v>
      </c>
      <c r="W17" s="5">
        <f t="shared" si="2"/>
        <v>6.5235220049110332</v>
      </c>
      <c r="X17" s="5">
        <f t="shared" si="2"/>
        <v>6.1321106846163707</v>
      </c>
      <c r="Y17" s="5">
        <f t="shared" si="2"/>
        <v>6.2091995606246169</v>
      </c>
      <c r="Z17" s="5">
        <f t="shared" si="2"/>
        <v>5.8366475869871399</v>
      </c>
      <c r="AA17" s="5">
        <f t="shared" si="2"/>
        <v>5.4864487317679114</v>
      </c>
      <c r="AB17" s="5">
        <f t="shared" si="2"/>
        <v>5.1572618078618371</v>
      </c>
      <c r="AC17" s="5">
        <f t="shared" si="2"/>
        <v>4.8478260993901259</v>
      </c>
      <c r="AD17" s="5">
        <f t="shared" si="2"/>
        <v>6.3992176180039673</v>
      </c>
      <c r="AE17" s="5">
        <f t="shared" si="2"/>
        <v>6.015264560923729</v>
      </c>
      <c r="AF17" s="5">
        <f t="shared" si="2"/>
        <v>5.6543486872683051</v>
      </c>
      <c r="AG17" s="5">
        <f t="shared" si="2"/>
        <v>5.3150877660322067</v>
      </c>
      <c r="AH17" s="5">
        <f t="shared" si="2"/>
        <v>4.9961825000702742</v>
      </c>
      <c r="AI17" s="5">
        <f t="shared" si="2"/>
        <v>78.273525834434295</v>
      </c>
    </row>
    <row r="18" spans="1:35" ht="15" customHeight="1">
      <c r="A18" s="17"/>
      <c r="B18" s="17"/>
      <c r="C18" s="17"/>
      <c r="D18" s="17"/>
      <c r="E18" s="5" t="s">
        <v>458</v>
      </c>
      <c r="F18" s="17"/>
      <c r="G18" s="4" t="s">
        <v>456</v>
      </c>
      <c r="H18" s="17"/>
      <c r="I18" s="17"/>
      <c r="J18" s="17"/>
      <c r="K18" s="5">
        <f t="shared" ref="K18:AI18" si="3">K69</f>
        <v>4.0838684787527919</v>
      </c>
      <c r="L18" s="5">
        <f t="shared" si="3"/>
        <v>3.9776739713516593</v>
      </c>
      <c r="M18" s="5">
        <f t="shared" si="3"/>
        <v>3.867864551945229</v>
      </c>
      <c r="N18" s="5">
        <f t="shared" si="3"/>
        <v>3.7543171671936824</v>
      </c>
      <c r="O18" s="5">
        <f t="shared" si="3"/>
        <v>3.6369045749624482</v>
      </c>
      <c r="P18" s="5">
        <f t="shared" si="3"/>
        <v>3.5154952017336192</v>
      </c>
      <c r="Q18" s="5">
        <f t="shared" si="3"/>
        <v>3.3899529951635814</v>
      </c>
      <c r="R18" s="5">
        <f t="shared" si="3"/>
        <v>3.2601372716216401</v>
      </c>
      <c r="S18" s="5">
        <f t="shared" si="3"/>
        <v>3.1259025585387841</v>
      </c>
      <c r="T18" s="5">
        <f t="shared" si="3"/>
        <v>2.9870984313899251</v>
      </c>
      <c r="U18" s="5">
        <f t="shared" si="3"/>
        <v>2.8435693451269377</v>
      </c>
      <c r="V18" s="5">
        <f t="shared" si="3"/>
        <v>2.695154459873597</v>
      </c>
      <c r="W18" s="5">
        <f t="shared" si="3"/>
        <v>2.5416874606870881</v>
      </c>
      <c r="X18" s="5">
        <f t="shared" si="3"/>
        <v>2.3829963711841105</v>
      </c>
      <c r="Y18" s="5">
        <f t="shared" si="3"/>
        <v>2.2189033608227287</v>
      </c>
      <c r="Z18" s="5">
        <f t="shared" si="3"/>
        <v>2.0492245456240004</v>
      </c>
      <c r="AA18" s="5">
        <f t="shared" si="3"/>
        <v>1.8737697821100763</v>
      </c>
      <c r="AB18" s="5">
        <f t="shared" si="3"/>
        <v>1.6923424542278513</v>
      </c>
      <c r="AC18" s="5">
        <f t="shared" si="3"/>
        <v>1.5047392530193984</v>
      </c>
      <c r="AD18" s="5">
        <f t="shared" si="3"/>
        <v>1.3107499487922729</v>
      </c>
      <c r="AE18" s="5">
        <f t="shared" si="3"/>
        <v>1.1101571555343901</v>
      </c>
      <c r="AF18" s="5">
        <f t="shared" si="3"/>
        <v>0.90273608730946808</v>
      </c>
      <c r="AG18" s="5">
        <f t="shared" si="3"/>
        <v>0.68825430636005702</v>
      </c>
      <c r="AH18" s="5">
        <f t="shared" si="3"/>
        <v>0.46647146263587314</v>
      </c>
      <c r="AI18" s="5">
        <f t="shared" si="3"/>
        <v>0.2371390244555531</v>
      </c>
    </row>
    <row r="19" spans="1:35" ht="15" customHeight="1">
      <c r="A19" s="17"/>
      <c r="B19" s="17"/>
      <c r="C19" s="17"/>
      <c r="D19" s="17"/>
      <c r="E19" s="5" t="s">
        <v>185</v>
      </c>
      <c r="F19" s="17"/>
      <c r="G19" s="4" t="s">
        <v>456</v>
      </c>
      <c r="H19" s="17"/>
      <c r="I19" s="17"/>
      <c r="J19" s="17"/>
      <c r="K19" s="82">
        <f>SUMPRODUCT(Finance!K43:AX43,Inputs!K183:AX183)+SUMPRODUCT(Finance!K45:AX45,Inputs!K183:AX183)</f>
        <v>2.8537639248388524</v>
      </c>
      <c r="L19" s="109"/>
      <c r="M19" s="109"/>
      <c r="N19" s="109"/>
      <c r="O19" s="109"/>
      <c r="P19" s="109"/>
      <c r="Q19" s="109"/>
      <c r="R19" s="109"/>
      <c r="S19" s="109"/>
      <c r="T19" s="109"/>
      <c r="U19" s="109"/>
      <c r="V19" s="109"/>
      <c r="W19" s="109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09"/>
    </row>
    <row r="20" spans="1:35" ht="15" customHeight="1">
      <c r="A20" s="17"/>
      <c r="B20" s="17"/>
      <c r="C20" s="17"/>
      <c r="D20" s="17"/>
      <c r="E20" s="17" t="s">
        <v>459</v>
      </c>
      <c r="F20" s="17"/>
      <c r="G20" s="4" t="s">
        <v>456</v>
      </c>
      <c r="H20" s="17"/>
      <c r="I20" s="17"/>
      <c r="J20" s="17"/>
      <c r="K20" s="43">
        <f t="shared" ref="K20:R20" si="4">SUM(K16:K19)</f>
        <v>28.408431818463789</v>
      </c>
      <c r="L20" s="43">
        <f t="shared" si="4"/>
        <v>23.034918763800381</v>
      </c>
      <c r="M20" s="43">
        <f t="shared" si="4"/>
        <v>24.736056243874756</v>
      </c>
      <c r="N20" s="43">
        <f t="shared" si="4"/>
        <v>21.902592316955211</v>
      </c>
      <c r="O20" s="43">
        <f t="shared" si="4"/>
        <v>22.915006285323365</v>
      </c>
      <c r="P20" s="43">
        <f t="shared" si="4"/>
        <v>23.6822432040865</v>
      </c>
      <c r="Q20" s="43">
        <f t="shared" si="4"/>
        <v>23.347815900934897</v>
      </c>
      <c r="R20" s="43">
        <f t="shared" si="4"/>
        <v>21.480211293593758</v>
      </c>
      <c r="S20" s="43">
        <f t="shared" ref="S20:AI20" si="5">SUM(S16:S19)</f>
        <v>20.44274561270808</v>
      </c>
      <c r="T20" s="43">
        <f t="shared" si="5"/>
        <v>24.739902444639856</v>
      </c>
      <c r="U20" s="43">
        <f t="shared" si="5"/>
        <v>19.292011192165958</v>
      </c>
      <c r="V20" s="43">
        <f t="shared" si="5"/>
        <v>20.001354405601194</v>
      </c>
      <c r="W20" s="43">
        <f t="shared" si="5"/>
        <v>18.924296382827876</v>
      </c>
      <c r="X20" s="43">
        <f t="shared" si="5"/>
        <v>19.195201873096263</v>
      </c>
      <c r="Y20" s="43">
        <f t="shared" si="5"/>
        <v>22.423778545163351</v>
      </c>
      <c r="Z20" s="43">
        <f t="shared" si="5"/>
        <v>20.048514873166347</v>
      </c>
      <c r="AA20" s="43">
        <f t="shared" si="5"/>
        <v>19.02090394556031</v>
      </c>
      <c r="AB20" s="43">
        <f t="shared" si="5"/>
        <v>19.587491628722834</v>
      </c>
      <c r="AC20" s="43">
        <f t="shared" si="5"/>
        <v>19.034018612026365</v>
      </c>
      <c r="AD20" s="43">
        <f t="shared" si="5"/>
        <v>22.007966543645903</v>
      </c>
      <c r="AE20" s="43">
        <f t="shared" si="5"/>
        <v>20.957917410022379</v>
      </c>
      <c r="AF20" s="43">
        <f t="shared" si="5"/>
        <v>21.402367800431268</v>
      </c>
      <c r="AG20" s="43">
        <f t="shared" si="5"/>
        <v>21.002314531820282</v>
      </c>
      <c r="AH20" s="43">
        <f t="shared" si="5"/>
        <v>22.419735453936717</v>
      </c>
      <c r="AI20" s="43">
        <f t="shared" si="5"/>
        <v>94.822734945751137</v>
      </c>
    </row>
    <row r="21" spans="1:35" ht="15" customHeight="1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61"/>
      <c r="X21" s="61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</row>
    <row r="22" spans="1:35" ht="15" customHeight="1">
      <c r="A22" s="222"/>
      <c r="B22" s="17"/>
      <c r="C22" s="10" t="s">
        <v>460</v>
      </c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</row>
    <row r="23" spans="1:35" ht="15" customHeight="1">
      <c r="A23" s="223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5"/>
      <c r="Q23" s="5"/>
      <c r="R23" s="5"/>
      <c r="S23" s="5"/>
      <c r="T23" s="5"/>
      <c r="U23" s="5"/>
      <c r="V23" s="5"/>
      <c r="W23" s="61"/>
      <c r="X23" s="61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</row>
    <row r="24" spans="1:35" ht="15" customHeight="1">
      <c r="A24" s="223"/>
      <c r="B24" s="17"/>
      <c r="C24" s="17"/>
      <c r="D24" s="17"/>
      <c r="E24" s="17" t="s">
        <v>461</v>
      </c>
      <c r="F24" s="17"/>
      <c r="G24" s="17" t="s">
        <v>256</v>
      </c>
      <c r="H24" s="17"/>
      <c r="I24" s="17"/>
      <c r="J24" s="17"/>
      <c r="K24" s="17" t="b">
        <f>OR('Allowances Floor'!K57,'Allowances Floor'!K75)</f>
        <v>0</v>
      </c>
      <c r="L24" s="17" t="b">
        <f>OR('Allowances Floor'!L57,'Allowances Floor'!L75)</f>
        <v>0</v>
      </c>
      <c r="M24" s="17" t="b">
        <f>OR('Allowances Floor'!M57,'Allowances Floor'!M75)</f>
        <v>0</v>
      </c>
      <c r="N24" s="17" t="b">
        <f>OR('Allowances Floor'!N57,'Allowances Floor'!N75)</f>
        <v>1</v>
      </c>
      <c r="O24" s="17" t="b">
        <f>OR('Allowances Floor'!O57,'Allowances Floor'!O75)</f>
        <v>1</v>
      </c>
      <c r="P24" s="17" t="b">
        <f>OR('Allowances Floor'!P57,'Allowances Floor'!P75)</f>
        <v>1</v>
      </c>
      <c r="Q24" s="17" t="b">
        <f>OR('Allowances Floor'!Q57,'Allowances Floor'!Q75)</f>
        <v>1</v>
      </c>
      <c r="R24" s="17" t="b">
        <f>OR('Allowances Floor'!R57,'Allowances Floor'!R75)</f>
        <v>1</v>
      </c>
      <c r="S24" s="17" t="b">
        <f>OR('Allowances Floor'!S57,'Allowances Floor'!S75)</f>
        <v>1</v>
      </c>
      <c r="T24" s="17" t="b">
        <f>OR('Allowances Floor'!T57,'Allowances Floor'!T75)</f>
        <v>1</v>
      </c>
      <c r="U24" s="17" t="b">
        <f>OR('Allowances Floor'!U57,'Allowances Floor'!U75)</f>
        <v>1</v>
      </c>
      <c r="V24" s="17" t="b">
        <f>OR('Allowances Floor'!V57,'Allowances Floor'!V75)</f>
        <v>1</v>
      </c>
      <c r="W24" s="17" t="b">
        <f>OR('Allowances Floor'!W57,'Allowances Floor'!W75)</f>
        <v>1</v>
      </c>
      <c r="X24" s="17" t="b">
        <f>OR('Allowances Floor'!X57,'Allowances Floor'!X75)</f>
        <v>1</v>
      </c>
      <c r="Y24" s="17" t="b">
        <f>OR('Allowances Floor'!Y57,'Allowances Floor'!Y75)</f>
        <v>1</v>
      </c>
      <c r="Z24" s="17" t="b">
        <f>OR('Allowances Floor'!Z57,'Allowances Floor'!Z75)</f>
        <v>1</v>
      </c>
      <c r="AA24" s="17" t="b">
        <f>OR('Allowances Floor'!AA57,'Allowances Floor'!AA75)</f>
        <v>1</v>
      </c>
      <c r="AB24" s="17" t="b">
        <f>OR('Allowances Floor'!AB57,'Allowances Floor'!AB75)</f>
        <v>1</v>
      </c>
      <c r="AC24" s="17" t="b">
        <f>OR('Allowances Floor'!AC57,'Allowances Floor'!AC75)</f>
        <v>1</v>
      </c>
      <c r="AD24" s="17" t="b">
        <f>OR('Allowances Floor'!AD57,'Allowances Floor'!AD75)</f>
        <v>1</v>
      </c>
      <c r="AE24" s="17" t="b">
        <f>OR('Allowances Floor'!AE57,'Allowances Floor'!AE75)</f>
        <v>1</v>
      </c>
      <c r="AF24" s="17" t="b">
        <f>OR('Allowances Floor'!AF57,'Allowances Floor'!AF75)</f>
        <v>1</v>
      </c>
      <c r="AG24" s="17" t="b">
        <f>OR('Allowances Floor'!AG57,'Allowances Floor'!AG75)</f>
        <v>1</v>
      </c>
      <c r="AH24" s="17" t="b">
        <f>OR('Allowances Floor'!AH57,'Allowances Floor'!AH75)</f>
        <v>1</v>
      </c>
      <c r="AI24" s="17" t="b">
        <f>OR('Allowances Floor'!AI57,'Allowances Floor'!AI75)</f>
        <v>1</v>
      </c>
    </row>
    <row r="25" spans="1:35" ht="15" customHeight="1">
      <c r="A25" s="223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5"/>
      <c r="Q25" s="5"/>
      <c r="R25" s="5"/>
      <c r="S25" s="5"/>
      <c r="T25" s="5"/>
      <c r="U25" s="5"/>
      <c r="V25" s="5"/>
      <c r="W25" s="61"/>
      <c r="X25" s="61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</row>
    <row r="26" spans="1:35" ht="15" customHeight="1">
      <c r="A26" s="223"/>
      <c r="B26" s="17"/>
      <c r="C26" s="17"/>
      <c r="D26" s="17"/>
      <c r="E26" s="5" t="s">
        <v>455</v>
      </c>
      <c r="F26" s="17"/>
      <c r="G26" s="4" t="s">
        <v>456</v>
      </c>
      <c r="H26" s="17"/>
      <c r="I26" s="17"/>
      <c r="J26" s="17"/>
      <c r="K26" s="5">
        <f t="shared" ref="K26:AI26" si="6">K38*K$24</f>
        <v>0</v>
      </c>
      <c r="L26" s="5">
        <f t="shared" si="6"/>
        <v>0</v>
      </c>
      <c r="M26" s="5">
        <f t="shared" si="6"/>
        <v>0</v>
      </c>
      <c r="N26" s="5">
        <f t="shared" si="6"/>
        <v>7.3106928283208896</v>
      </c>
      <c r="O26" s="5">
        <f t="shared" si="6"/>
        <v>9.0907743282067184</v>
      </c>
      <c r="P26" s="5">
        <f t="shared" si="6"/>
        <v>10.590660263127937</v>
      </c>
      <c r="Q26" s="5">
        <f t="shared" si="6"/>
        <v>10.501698591796984</v>
      </c>
      <c r="R26" s="5">
        <f t="shared" si="6"/>
        <v>9.3312795668362476</v>
      </c>
      <c r="S26" s="5">
        <f t="shared" si="6"/>
        <v>8.9613762663415759</v>
      </c>
      <c r="T26" s="5">
        <f t="shared" si="6"/>
        <v>13.898665232691876</v>
      </c>
      <c r="U26" s="5">
        <f t="shared" si="6"/>
        <v>9.0655513933144469</v>
      </c>
      <c r="V26" s="5">
        <f t="shared" si="6"/>
        <v>10.366282919226499</v>
      </c>
      <c r="W26" s="5">
        <f t="shared" si="6"/>
        <v>9.8590869172297566</v>
      </c>
      <c r="X26" s="5">
        <f t="shared" si="6"/>
        <v>10.680094817295782</v>
      </c>
      <c r="Y26" s="5">
        <f t="shared" si="6"/>
        <v>13.995675623716007</v>
      </c>
      <c r="Z26" s="5">
        <f t="shared" si="6"/>
        <v>12.162642740555206</v>
      </c>
      <c r="AA26" s="5">
        <f t="shared" si="6"/>
        <v>11.660685431682319</v>
      </c>
      <c r="AB26" s="5">
        <f t="shared" si="6"/>
        <v>12.737887366633146</v>
      </c>
      <c r="AC26" s="5">
        <f t="shared" si="6"/>
        <v>12.681453259616841</v>
      </c>
      <c r="AD26" s="5">
        <f t="shared" si="6"/>
        <v>14.29799897684966</v>
      </c>
      <c r="AE26" s="5">
        <f t="shared" si="6"/>
        <v>13.832495693564258</v>
      </c>
      <c r="AF26" s="5">
        <f t="shared" si="6"/>
        <v>14.845283025853494</v>
      </c>
      <c r="AG26" s="5">
        <f t="shared" si="6"/>
        <v>14.998972459428018</v>
      </c>
      <c r="AH26" s="5">
        <f t="shared" si="6"/>
        <v>16.957081491230568</v>
      </c>
      <c r="AI26" s="5">
        <f t="shared" si="6"/>
        <v>16.312070086861283</v>
      </c>
    </row>
    <row r="27" spans="1:35" ht="15" customHeight="1">
      <c r="A27" s="223"/>
      <c r="B27" s="17"/>
      <c r="C27" s="17"/>
      <c r="D27" s="17"/>
      <c r="E27" s="5" t="s">
        <v>457</v>
      </c>
      <c r="F27" s="17"/>
      <c r="G27" s="4" t="s">
        <v>456</v>
      </c>
      <c r="H27" s="17"/>
      <c r="I27" s="17"/>
      <c r="J27" s="17"/>
      <c r="K27" s="5">
        <f t="shared" ref="K27:AI27" si="7">K53*K$24</f>
        <v>0</v>
      </c>
      <c r="L27" s="5">
        <f t="shared" si="7"/>
        <v>0</v>
      </c>
      <c r="M27" s="5">
        <f t="shared" si="7"/>
        <v>0</v>
      </c>
      <c r="N27" s="5">
        <f t="shared" si="7"/>
        <v>10.837582321440637</v>
      </c>
      <c r="O27" s="5">
        <f>O53*O$24</f>
        <v>10.1873273821542</v>
      </c>
      <c r="P27" s="5">
        <f t="shared" si="7"/>
        <v>9.5760877392249473</v>
      </c>
      <c r="Q27" s="5">
        <f t="shared" si="7"/>
        <v>9.4561643139743303</v>
      </c>
      <c r="R27" s="5">
        <f t="shared" si="7"/>
        <v>8.8887944551358711</v>
      </c>
      <c r="S27" s="5">
        <f t="shared" si="7"/>
        <v>8.3554667878277193</v>
      </c>
      <c r="T27" s="5">
        <f t="shared" si="7"/>
        <v>7.8541387805580563</v>
      </c>
      <c r="U27" s="5">
        <f t="shared" si="7"/>
        <v>7.3828904537245723</v>
      </c>
      <c r="V27" s="5">
        <f t="shared" si="7"/>
        <v>6.9399170265010985</v>
      </c>
      <c r="W27" s="5">
        <f t="shared" si="7"/>
        <v>6.5235220049110332</v>
      </c>
      <c r="X27" s="5">
        <f t="shared" si="7"/>
        <v>6.1321106846163707</v>
      </c>
      <c r="Y27" s="5">
        <f t="shared" si="7"/>
        <v>6.2091995606246169</v>
      </c>
      <c r="Z27" s="5">
        <f t="shared" si="7"/>
        <v>5.8366475869871399</v>
      </c>
      <c r="AA27" s="5">
        <f t="shared" si="7"/>
        <v>5.4864487317679114</v>
      </c>
      <c r="AB27" s="5">
        <f t="shared" si="7"/>
        <v>5.1572618078618371</v>
      </c>
      <c r="AC27" s="5">
        <f t="shared" si="7"/>
        <v>4.8478260993901259</v>
      </c>
      <c r="AD27" s="5">
        <f t="shared" si="7"/>
        <v>6.3992176180039673</v>
      </c>
      <c r="AE27" s="5">
        <f t="shared" si="7"/>
        <v>6.015264560923729</v>
      </c>
      <c r="AF27" s="5">
        <f t="shared" si="7"/>
        <v>5.6543486872683051</v>
      </c>
      <c r="AG27" s="5">
        <f t="shared" si="7"/>
        <v>5.3150877660322067</v>
      </c>
      <c r="AH27" s="5">
        <f t="shared" si="7"/>
        <v>4.9961825000702742</v>
      </c>
      <c r="AI27" s="5">
        <f t="shared" si="7"/>
        <v>78.273525834434295</v>
      </c>
    </row>
    <row r="28" spans="1:35" ht="15" customHeight="1">
      <c r="A28" s="223"/>
      <c r="B28" s="17"/>
      <c r="C28" s="17"/>
      <c r="D28" s="17"/>
      <c r="E28" s="5" t="s">
        <v>381</v>
      </c>
      <c r="F28" s="17"/>
      <c r="G28" s="4" t="s">
        <v>456</v>
      </c>
      <c r="H28" s="17"/>
      <c r="I28" s="17"/>
      <c r="J28" s="17"/>
      <c r="K28" s="5">
        <f>SUMIF(Finance!10:10,'Tax Deductions'!K4,Finance!140:140)*K$24</f>
        <v>0</v>
      </c>
      <c r="L28" s="5">
        <f>SUMIF(Finance!10:10,'Tax Deductions'!L4,Finance!140:140)*L$24</f>
        <v>0</v>
      </c>
      <c r="M28" s="5">
        <f>SUMIF(Finance!10:10,'Tax Deductions'!M4,Finance!140:140)*M$24</f>
        <v>0</v>
      </c>
      <c r="N28" s="5">
        <f>SUMIF(Finance!10:10,'Tax Deductions'!N4,Finance!140:140)*N$24</f>
        <v>7.3649976315691266</v>
      </c>
      <c r="O28" s="5">
        <f>SUMIF(Finance!10:10,'Tax Deductions'!O4,Finance!140:140)*O$24</f>
        <v>7.2263259585664796</v>
      </c>
      <c r="P28" s="5">
        <f>SUMIF(Finance!10:10,'Tax Deductions'!P4,Finance!140:140)*P$24</f>
        <v>7.0523648606610214</v>
      </c>
      <c r="Q28" s="5">
        <f>SUMIF(Finance!10:10,'Tax Deductions'!Q4,Finance!140:140)*Q$24</f>
        <v>6.8664788134724057</v>
      </c>
      <c r="R28" s="5">
        <f>SUMIF(Finance!10:10,'Tax Deductions'!R4,Finance!140:140)*R$24</f>
        <v>6.6753135657417699</v>
      </c>
      <c r="S28" s="5">
        <f>SUMIF(Finance!10:10,'Tax Deductions'!S4,Finance!140:140)*S$24</f>
        <v>6.659287548794155</v>
      </c>
      <c r="T28" s="5">
        <f>SUMIF(Finance!10:10,'Tax Deductions'!T4,Finance!140:140)*T$24</f>
        <v>6.4229687872047725</v>
      </c>
      <c r="U28" s="5">
        <f>SUMIF(Finance!10:10,'Tax Deductions'!U4,Finance!140:140)*U$24</f>
        <v>6.2161990337997937</v>
      </c>
      <c r="V28" s="5">
        <f>SUMIF(Finance!10:10,'Tax Deductions'!V4,Finance!140:140)*V$24</f>
        <v>5.9519543939132999</v>
      </c>
      <c r="W28" s="5">
        <f>SUMIF(Finance!10:10,'Tax Deductions'!W4,Finance!140:140)*W$24</f>
        <v>5.6557733429202086</v>
      </c>
      <c r="X28" s="5">
        <f>SUMIF(Finance!10:10,'Tax Deductions'!X4,Finance!140:140)*X$24</f>
        <v>5.4980372906646897</v>
      </c>
      <c r="Y28" s="5">
        <f>SUMIF(Finance!10:10,'Tax Deductions'!Y4,Finance!140:140)*Y$24</f>
        <v>5.1409525146580854</v>
      </c>
      <c r="Z28" s="5">
        <f>SUMIF(Finance!10:10,'Tax Deductions'!Z4,Finance!140:140)*Z$24</f>
        <v>4.7838799152999503</v>
      </c>
      <c r="AA28" s="5">
        <f>SUMIF(Finance!10:10,'Tax Deductions'!AA4,Finance!140:140)*AA$24</f>
        <v>4.3821167897893529</v>
      </c>
      <c r="AB28" s="5">
        <f>SUMIF(Finance!10:10,'Tax Deductions'!AB4,Finance!140:140)*AB$24</f>
        <v>3.9965162934305116</v>
      </c>
      <c r="AC28" s="5">
        <f>SUMIF(Finance!10:10,'Tax Deductions'!AC4,Finance!140:140)*AC$24</f>
        <v>3.7600693781793235</v>
      </c>
      <c r="AD28" s="5">
        <f>SUMIF(Finance!10:10,'Tax Deductions'!AD4,Finance!140:140)*AD$24</f>
        <v>3.3990379207372627</v>
      </c>
      <c r="AE28" s="5">
        <f>SUMIF(Finance!10:10,'Tax Deductions'!AE4,Finance!140:140)*AE$24</f>
        <v>2.9570862676681609</v>
      </c>
      <c r="AF28" s="5">
        <f>SUMIF(Finance!10:10,'Tax Deductions'!AF4,Finance!140:140)*AF$24</f>
        <v>2.5016077958520353</v>
      </c>
      <c r="AG28" s="5">
        <f>SUMIF(Finance!10:10,'Tax Deductions'!AG4,Finance!140:140)*AG$24</f>
        <v>2.018978565897211</v>
      </c>
      <c r="AH28" s="5">
        <f>SUMIF(Finance!10:10,'Tax Deductions'!AH4,Finance!140:140)*AH$24</f>
        <v>1.5732130173614685</v>
      </c>
      <c r="AI28" s="5">
        <f>SUMIF(Finance!10:10,'Tax Deductions'!AI4,Finance!140:140)*AI$24</f>
        <v>1.4693300319722162</v>
      </c>
    </row>
    <row r="29" spans="1:35" s="186" customFormat="1" ht="15" customHeight="1">
      <c r="A29" s="223"/>
      <c r="B29" s="17"/>
      <c r="C29" s="17"/>
      <c r="D29" s="17"/>
      <c r="E29" s="5" t="s">
        <v>185</v>
      </c>
      <c r="F29" s="17"/>
      <c r="G29" s="4" t="s">
        <v>456</v>
      </c>
      <c r="H29" s="17"/>
      <c r="I29" s="17"/>
      <c r="J29" s="17"/>
      <c r="K29" s="82">
        <f>IF(Inputs!I128=1,'Tax Deductions'!K19,SUMPRODUCT(Finance!108:108,Finance!14:14)+SUMPRODUCT(Finance!109:109,Finance!14:14))</f>
        <v>4.04902737093557</v>
      </c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09"/>
      <c r="AE29" s="109"/>
      <c r="AF29" s="109"/>
      <c r="AG29" s="109"/>
      <c r="AH29" s="109"/>
      <c r="AI29" s="109"/>
    </row>
    <row r="30" spans="1:35" ht="15" customHeight="1">
      <c r="A30" s="223"/>
      <c r="B30" s="17"/>
      <c r="C30" s="17"/>
      <c r="D30" s="17"/>
      <c r="E30" s="17" t="s">
        <v>459</v>
      </c>
      <c r="F30" s="17"/>
      <c r="G30" s="4" t="s">
        <v>456</v>
      </c>
      <c r="H30" s="17"/>
      <c r="I30" s="17"/>
      <c r="J30" s="17"/>
      <c r="K30" s="43">
        <f t="shared" ref="K30:AI30" si="8">SUM(K26:K29)</f>
        <v>4.04902737093557</v>
      </c>
      <c r="L30" s="43">
        <f t="shared" si="8"/>
        <v>0</v>
      </c>
      <c r="M30" s="43">
        <f t="shared" si="8"/>
        <v>0</v>
      </c>
      <c r="N30" s="43">
        <f t="shared" si="8"/>
        <v>25.513272781330656</v>
      </c>
      <c r="O30" s="43">
        <f t="shared" si="8"/>
        <v>26.504427668927399</v>
      </c>
      <c r="P30" s="43">
        <f t="shared" si="8"/>
        <v>27.219112863013905</v>
      </c>
      <c r="Q30" s="43">
        <f t="shared" si="8"/>
        <v>26.824341719243719</v>
      </c>
      <c r="R30" s="43">
        <f t="shared" si="8"/>
        <v>24.895387587713888</v>
      </c>
      <c r="S30" s="43">
        <f t="shared" si="8"/>
        <v>23.976130602963451</v>
      </c>
      <c r="T30" s="43">
        <f t="shared" si="8"/>
        <v>28.175772800454705</v>
      </c>
      <c r="U30" s="43">
        <f t="shared" si="8"/>
        <v>22.664640880838814</v>
      </c>
      <c r="V30" s="43">
        <f t="shared" si="8"/>
        <v>23.2581543396409</v>
      </c>
      <c r="W30" s="43">
        <f t="shared" si="8"/>
        <v>22.038382265060999</v>
      </c>
      <c r="X30" s="43">
        <f t="shared" si="8"/>
        <v>22.310242792576844</v>
      </c>
      <c r="Y30" s="43">
        <f t="shared" si="8"/>
        <v>25.345827698998708</v>
      </c>
      <c r="Z30" s="43">
        <f t="shared" si="8"/>
        <v>22.783170242842296</v>
      </c>
      <c r="AA30" s="43">
        <f t="shared" si="8"/>
        <v>21.529250953239586</v>
      </c>
      <c r="AB30" s="43">
        <f t="shared" si="8"/>
        <v>21.891665467925492</v>
      </c>
      <c r="AC30" s="43">
        <f t="shared" si="8"/>
        <v>21.289348737186291</v>
      </c>
      <c r="AD30" s="43">
        <f t="shared" si="8"/>
        <v>24.096254515590893</v>
      </c>
      <c r="AE30" s="43">
        <f t="shared" si="8"/>
        <v>22.804846522156147</v>
      </c>
      <c r="AF30" s="43">
        <f t="shared" si="8"/>
        <v>23.001239508973836</v>
      </c>
      <c r="AG30" s="43">
        <f t="shared" si="8"/>
        <v>22.333038791357435</v>
      </c>
      <c r="AH30" s="43">
        <f t="shared" si="8"/>
        <v>23.526477008662312</v>
      </c>
      <c r="AI30" s="43">
        <f t="shared" si="8"/>
        <v>96.054925953267798</v>
      </c>
    </row>
    <row r="31" spans="1:35" ht="15" customHeight="1">
      <c r="A31" s="223"/>
      <c r="B31" s="17"/>
      <c r="C31" s="17"/>
      <c r="D31" s="17"/>
      <c r="E31" s="17"/>
      <c r="F31" s="17"/>
      <c r="G31" s="17"/>
      <c r="H31" s="17"/>
      <c r="I31" s="17"/>
      <c r="J31" s="17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61"/>
      <c r="X31" s="61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</row>
    <row r="32" spans="1:35" ht="15" customHeight="1">
      <c r="A32"/>
      <c r="B32" s="267" t="s">
        <v>462</v>
      </c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</row>
    <row r="33" spans="1:35" ht="15" customHeight="1">
      <c r="A33" s="4"/>
      <c r="B33" s="4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</row>
    <row r="34" spans="1:35" ht="15" customHeight="1">
      <c r="A34"/>
      <c r="B34" s="17"/>
      <c r="C34" s="10" t="s">
        <v>463</v>
      </c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</row>
    <row r="35" spans="1:35" ht="15" customHeight="1">
      <c r="A35" s="4"/>
      <c r="C35" s="31"/>
      <c r="D35" s="4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</row>
    <row r="36" spans="1:35" ht="15" customHeight="1">
      <c r="A36" s="4"/>
      <c r="C36" s="31"/>
      <c r="D36" s="4"/>
      <c r="E36" s="32" t="s">
        <v>170</v>
      </c>
      <c r="G36" s="4" t="s">
        <v>456</v>
      </c>
      <c r="K36" s="42">
        <f>Inputs!K61* K$12</f>
        <v>6.8432127768079276</v>
      </c>
      <c r="L36" s="42">
        <f>Inputs!L61* L$12</f>
        <v>5.1449469818359894</v>
      </c>
      <c r="M36" s="42">
        <f>Inputs!M61* M$12</f>
        <v>7.6213160984495731</v>
      </c>
      <c r="N36" s="42">
        <f>Inputs!N61* N$12</f>
        <v>5.5196497305020102</v>
      </c>
      <c r="O36" s="42">
        <f>Inputs!O61* O$12</f>
        <v>7.223074585801192</v>
      </c>
      <c r="P36" s="42">
        <f>Inputs!P61* P$12</f>
        <v>8.6430229717474543</v>
      </c>
      <c r="Q36" s="42">
        <f>Inputs!Q61* Q$12</f>
        <v>8.470702424345415</v>
      </c>
      <c r="R36" s="42">
        <f>Inputs!R61* R$12</f>
        <v>7.2133567634177522</v>
      </c>
      <c r="S36" s="42">
        <f>Inputs!S61* S$12</f>
        <v>6.7528063669367695</v>
      </c>
      <c r="T36" s="42">
        <f>Inputs!T61* T$12</f>
        <v>11.595568541592543</v>
      </c>
      <c r="U36" s="42">
        <f>Inputs!U61* U$12</f>
        <v>6.663882163836063</v>
      </c>
      <c r="V36" s="42">
        <f>Inputs!V61* V$12</f>
        <v>7.8618222467264411</v>
      </c>
      <c r="W36" s="42">
        <f>Inputs!W61* W$12</f>
        <v>7.2474353279466959</v>
      </c>
      <c r="X36" s="42">
        <f>Inputs!X61* X$12</f>
        <v>7.9566645399914062</v>
      </c>
      <c r="Y36" s="42">
        <f>Inputs!Y61* Y$12</f>
        <v>11.155682530543004</v>
      </c>
      <c r="Z36" s="42">
        <f>Inputs!Z61* Z$12</f>
        <v>9.2010979429943998</v>
      </c>
      <c r="AA36" s="42">
        <f>Inputs!AA61* AA$12</f>
        <v>8.5723865167859099</v>
      </c>
      <c r="AB36" s="42">
        <f>Inputs!AB61* AB$12</f>
        <v>9.5174092581791712</v>
      </c>
      <c r="AC36" s="42">
        <f>Inputs!AC61* AC$12</f>
        <v>9.3231386881210359</v>
      </c>
      <c r="AD36" s="42">
        <f>Inputs!AD61* AD$12</f>
        <v>10.795948541693836</v>
      </c>
      <c r="AE36" s="42">
        <f>Inputs!AE61* AE$12</f>
        <v>10.180557499783765</v>
      </c>
      <c r="AF36" s="42">
        <f>Inputs!AF61* AF$12</f>
        <v>11.037041877379195</v>
      </c>
      <c r="AG36" s="42">
        <f>Inputs!AG61* AG$12</f>
        <v>11.02773858979902</v>
      </c>
      <c r="AH36" s="42">
        <f>Inputs!AH61* AH$12</f>
        <v>12.815878811981447</v>
      </c>
      <c r="AI36" s="42">
        <f>Inputs!AI61* AI$12</f>
        <v>11.993623932940302</v>
      </c>
    </row>
    <row r="37" spans="1:35" ht="15" customHeight="1">
      <c r="A37" s="4"/>
      <c r="C37" s="31"/>
      <c r="D37" s="4"/>
      <c r="E37" s="32" t="s">
        <v>414</v>
      </c>
      <c r="G37" s="4" t="s">
        <v>456</v>
      </c>
      <c r="K37" s="42">
        <f>Inputs!K62* K$12</f>
        <v>1.5794394049840774</v>
      </c>
      <c r="L37" s="42">
        <f>Inputs!L62* L$12</f>
        <v>1.6470394115173959</v>
      </c>
      <c r="M37" s="42">
        <f>Inputs!M62* M$12</f>
        <v>1.7175326983303405</v>
      </c>
      <c r="N37" s="42">
        <f>Inputs!N62* N$12</f>
        <v>1.7910430978188792</v>
      </c>
      <c r="O37" s="42">
        <f>Inputs!O62* O$12</f>
        <v>1.8676997424055271</v>
      </c>
      <c r="P37" s="42">
        <f>Inputs!P62* P$12</f>
        <v>1.9476372913804834</v>
      </c>
      <c r="Q37" s="42">
        <f>Inputs!Q62* Q$12</f>
        <v>2.0309961674515682</v>
      </c>
      <c r="R37" s="42">
        <f>Inputs!R62* R$12</f>
        <v>2.1179228034184954</v>
      </c>
      <c r="S37" s="42">
        <f>Inputs!S62* S$12</f>
        <v>2.2085698994048064</v>
      </c>
      <c r="T37" s="42">
        <f>Inputs!T62* T$12</f>
        <v>2.3030966910993325</v>
      </c>
      <c r="U37" s="42">
        <f>Inputs!U62* U$12</f>
        <v>2.4016692294783835</v>
      </c>
      <c r="V37" s="42">
        <f>Inputs!V62* V$12</f>
        <v>2.5044606725000582</v>
      </c>
      <c r="W37" s="42">
        <f>Inputs!W62* W$12</f>
        <v>2.6116515892830607</v>
      </c>
      <c r="X37" s="42">
        <f>Inputs!X62* X$12</f>
        <v>2.7234302773043755</v>
      </c>
      <c r="Y37" s="42">
        <f>Inputs!Y62* Y$12</f>
        <v>2.8399930931730029</v>
      </c>
      <c r="Z37" s="42">
        <f>Inputs!Z62* Z$12</f>
        <v>2.9615447975608067</v>
      </c>
      <c r="AA37" s="42">
        <f>Inputs!AA62* AA$12</f>
        <v>3.0882989148964093</v>
      </c>
      <c r="AB37" s="42">
        <f>Inputs!AB62* AB$12</f>
        <v>3.2204781084539751</v>
      </c>
      <c r="AC37" s="42">
        <f>Inputs!AC62* AC$12</f>
        <v>3.3583145714958049</v>
      </c>
      <c r="AD37" s="42">
        <f>Inputs!AD62* AD$12</f>
        <v>3.5020504351558253</v>
      </c>
      <c r="AE37" s="42">
        <f>Inputs!AE62* AE$12</f>
        <v>3.6519381937804938</v>
      </c>
      <c r="AF37" s="42">
        <f>Inputs!AF62* AF$12</f>
        <v>3.8082411484742993</v>
      </c>
      <c r="AG37" s="42">
        <f>Inputs!AG62* AG$12</f>
        <v>3.9712338696289988</v>
      </c>
      <c r="AH37" s="42">
        <f>Inputs!AH62* AH$12</f>
        <v>4.1412026792491199</v>
      </c>
      <c r="AI37" s="42">
        <f>Inputs!AI62* AI$12</f>
        <v>4.3184461539209815</v>
      </c>
    </row>
    <row r="38" spans="1:35" ht="15" customHeight="1">
      <c r="A38" s="40"/>
      <c r="B38" s="40"/>
      <c r="C38" s="40"/>
      <c r="D38" s="40"/>
      <c r="E38" s="85" t="s">
        <v>455</v>
      </c>
      <c r="F38" s="5"/>
      <c r="G38" s="17" t="s">
        <v>456</v>
      </c>
      <c r="H38" s="40"/>
      <c r="I38" s="86"/>
      <c r="J38" s="40"/>
      <c r="K38" s="252">
        <f t="shared" ref="K38:AI38" si="9">SUM(K36:K37)</f>
        <v>8.4226521817920048</v>
      </c>
      <c r="L38" s="252">
        <f t="shared" si="9"/>
        <v>6.7919863933533851</v>
      </c>
      <c r="M38" s="252">
        <f t="shared" si="9"/>
        <v>9.3388487967799136</v>
      </c>
      <c r="N38" s="252">
        <f t="shared" si="9"/>
        <v>7.3106928283208896</v>
      </c>
      <c r="O38" s="252">
        <f t="shared" si="9"/>
        <v>9.0907743282067184</v>
      </c>
      <c r="P38" s="252">
        <f t="shared" si="9"/>
        <v>10.590660263127937</v>
      </c>
      <c r="Q38" s="252">
        <f t="shared" si="9"/>
        <v>10.501698591796984</v>
      </c>
      <c r="R38" s="252">
        <f t="shared" si="9"/>
        <v>9.3312795668362476</v>
      </c>
      <c r="S38" s="252">
        <f t="shared" si="9"/>
        <v>8.9613762663415759</v>
      </c>
      <c r="T38" s="252">
        <f t="shared" si="9"/>
        <v>13.898665232691876</v>
      </c>
      <c r="U38" s="252">
        <f t="shared" si="9"/>
        <v>9.0655513933144469</v>
      </c>
      <c r="V38" s="252">
        <f t="shared" si="9"/>
        <v>10.366282919226499</v>
      </c>
      <c r="W38" s="252">
        <f t="shared" si="9"/>
        <v>9.8590869172297566</v>
      </c>
      <c r="X38" s="252">
        <f t="shared" si="9"/>
        <v>10.680094817295782</v>
      </c>
      <c r="Y38" s="252">
        <f t="shared" si="9"/>
        <v>13.995675623716007</v>
      </c>
      <c r="Z38" s="252">
        <f t="shared" si="9"/>
        <v>12.162642740555206</v>
      </c>
      <c r="AA38" s="252">
        <f t="shared" si="9"/>
        <v>11.660685431682319</v>
      </c>
      <c r="AB38" s="252">
        <f t="shared" si="9"/>
        <v>12.737887366633146</v>
      </c>
      <c r="AC38" s="252">
        <f t="shared" si="9"/>
        <v>12.681453259616841</v>
      </c>
      <c r="AD38" s="252">
        <f t="shared" si="9"/>
        <v>14.29799897684966</v>
      </c>
      <c r="AE38" s="252">
        <f t="shared" si="9"/>
        <v>13.832495693564258</v>
      </c>
      <c r="AF38" s="252">
        <f t="shared" si="9"/>
        <v>14.845283025853494</v>
      </c>
      <c r="AG38" s="252">
        <f t="shared" si="9"/>
        <v>14.998972459428018</v>
      </c>
      <c r="AH38" s="252">
        <f t="shared" si="9"/>
        <v>16.957081491230568</v>
      </c>
      <c r="AI38" s="252">
        <f t="shared" si="9"/>
        <v>16.312070086861283</v>
      </c>
    </row>
    <row r="39" spans="1:35" ht="15" customHeight="1">
      <c r="A39" s="4"/>
      <c r="C39" s="31"/>
      <c r="D39" s="4"/>
      <c r="O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</row>
    <row r="40" spans="1:35" ht="15" customHeight="1">
      <c r="A40"/>
      <c r="B40" s="17"/>
      <c r="C40" s="10" t="s">
        <v>464</v>
      </c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</row>
    <row r="41" spans="1:35" ht="15" customHeight="1">
      <c r="A41" s="4"/>
      <c r="D41" s="4"/>
      <c r="E41" s="17"/>
      <c r="F41" s="17"/>
      <c r="G41" s="17"/>
      <c r="O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</row>
    <row r="42" spans="1:35" ht="15" customHeight="1">
      <c r="A42" s="4"/>
      <c r="B42" s="4"/>
      <c r="D42" s="4"/>
      <c r="E42" s="16" t="s">
        <v>277</v>
      </c>
      <c r="F42" s="17"/>
      <c r="G42" s="16" t="str">
        <f>Inputs!G190</f>
        <v>%</v>
      </c>
      <c r="H42" s="17"/>
      <c r="J42" s="87"/>
      <c r="K42" s="80">
        <f>Inputs!K190</f>
        <v>0.06</v>
      </c>
      <c r="L42" s="80">
        <f>Inputs!L190</f>
        <v>0.06</v>
      </c>
      <c r="M42" s="80">
        <f>Inputs!M190</f>
        <v>0.06</v>
      </c>
      <c r="N42" s="80">
        <f>Inputs!N190</f>
        <v>0.06</v>
      </c>
      <c r="O42" s="80">
        <f>Inputs!O190</f>
        <v>0.06</v>
      </c>
      <c r="P42" s="80">
        <f>Inputs!P190</f>
        <v>0.06</v>
      </c>
      <c r="Q42" s="80">
        <f>Inputs!Q190</f>
        <v>0.06</v>
      </c>
      <c r="R42" s="80">
        <f>Inputs!R190</f>
        <v>0.06</v>
      </c>
      <c r="S42" s="80">
        <f>Inputs!S190</f>
        <v>0.06</v>
      </c>
      <c r="T42" s="80">
        <f>Inputs!T190</f>
        <v>0.06</v>
      </c>
      <c r="U42" s="80">
        <f>Inputs!U190</f>
        <v>0.06</v>
      </c>
      <c r="V42" s="80">
        <f>Inputs!V190</f>
        <v>0.06</v>
      </c>
      <c r="W42" s="80">
        <f>Inputs!W190</f>
        <v>0.06</v>
      </c>
      <c r="X42" s="80">
        <f>Inputs!X190</f>
        <v>0.06</v>
      </c>
      <c r="Y42" s="80">
        <f>Inputs!Y190</f>
        <v>0.06</v>
      </c>
      <c r="Z42" s="80">
        <f>Inputs!Z190</f>
        <v>0.06</v>
      </c>
      <c r="AA42" s="80">
        <f>Inputs!AA190</f>
        <v>0.06</v>
      </c>
      <c r="AB42" s="80">
        <f>Inputs!AB190</f>
        <v>0.06</v>
      </c>
      <c r="AC42" s="80">
        <f>Inputs!AC190</f>
        <v>0.06</v>
      </c>
      <c r="AD42" s="80">
        <f>Inputs!AD190</f>
        <v>0.06</v>
      </c>
      <c r="AE42" s="80">
        <f>Inputs!AE190</f>
        <v>0.06</v>
      </c>
      <c r="AF42" s="80">
        <f>Inputs!AF190</f>
        <v>0.06</v>
      </c>
      <c r="AG42" s="80">
        <f>Inputs!AG190</f>
        <v>0.06</v>
      </c>
      <c r="AH42" s="80">
        <f>Inputs!AH190</f>
        <v>0.06</v>
      </c>
      <c r="AI42" s="80">
        <f>Inputs!AI190</f>
        <v>0.06</v>
      </c>
    </row>
    <row r="43" spans="1:35" ht="15" customHeight="1">
      <c r="A43" s="4"/>
      <c r="B43" s="4"/>
      <c r="D43" s="4"/>
      <c r="E43" s="17" t="s">
        <v>250</v>
      </c>
      <c r="F43" s="17"/>
      <c r="G43" s="17" t="str">
        <f>Inputs!G155</f>
        <v>full years</v>
      </c>
      <c r="H43" s="17"/>
      <c r="I43" s="88">
        <f>Inputs!I155</f>
        <v>25</v>
      </c>
      <c r="J43" s="87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</row>
    <row r="44" spans="1:35" ht="15" customHeight="1">
      <c r="A44" s="4"/>
      <c r="B44" s="4"/>
      <c r="D44" s="4"/>
      <c r="E44" s="17"/>
      <c r="F44" s="17"/>
      <c r="G44" s="17"/>
      <c r="H44" s="17"/>
      <c r="I44" s="17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</row>
    <row r="45" spans="1:35" ht="15" customHeight="1">
      <c r="A45" s="17"/>
      <c r="B45" s="17"/>
      <c r="C45" s="17"/>
      <c r="D45" s="17"/>
      <c r="E45" s="17" t="s">
        <v>465</v>
      </c>
      <c r="F45" s="17"/>
      <c r="G45" s="17" t="s">
        <v>456</v>
      </c>
      <c r="H45" s="17"/>
      <c r="I45" s="17"/>
      <c r="J45" s="5"/>
      <c r="K45" s="91">
        <f t="shared" ref="K45:AI45" si="10">J51</f>
        <v>0</v>
      </c>
      <c r="L45" s="91">
        <f t="shared" si="10"/>
        <v>204.42097331825559</v>
      </c>
      <c r="M45" s="91">
        <f t="shared" si="10"/>
        <v>192.15571491916026</v>
      </c>
      <c r="N45" s="91">
        <f t="shared" si="10"/>
        <v>180.62637202401064</v>
      </c>
      <c r="O45" s="91">
        <f t="shared" si="10"/>
        <v>169.78878970257</v>
      </c>
      <c r="P45" s="91">
        <f t="shared" si="10"/>
        <v>159.60146232041581</v>
      </c>
      <c r="Q45" s="91">
        <f t="shared" si="10"/>
        <v>150.02537458119085</v>
      </c>
      <c r="R45" s="91">
        <f t="shared" si="10"/>
        <v>148.14657425226451</v>
      </c>
      <c r="S45" s="91">
        <f t="shared" si="10"/>
        <v>139.25777979712865</v>
      </c>
      <c r="T45" s="91">
        <f t="shared" si="10"/>
        <v>130.90231300930094</v>
      </c>
      <c r="U45" s="91">
        <f t="shared" si="10"/>
        <v>123.04817422874288</v>
      </c>
      <c r="V45" s="91">
        <f t="shared" si="10"/>
        <v>115.66528377501831</v>
      </c>
      <c r="W45" s="91">
        <f t="shared" si="10"/>
        <v>108.72536674851722</v>
      </c>
      <c r="X45" s="91">
        <f t="shared" si="10"/>
        <v>102.20184474360619</v>
      </c>
      <c r="Y45" s="91">
        <f t="shared" si="10"/>
        <v>96.069734058989823</v>
      </c>
      <c r="Z45" s="91">
        <f t="shared" si="10"/>
        <v>97.277459783118999</v>
      </c>
      <c r="AA45" s="91">
        <f t="shared" si="10"/>
        <v>91.440812196131859</v>
      </c>
      <c r="AB45" s="91">
        <f t="shared" si="10"/>
        <v>85.954363464363951</v>
      </c>
      <c r="AC45" s="91">
        <f t="shared" si="10"/>
        <v>80.797101656502107</v>
      </c>
      <c r="AD45" s="91">
        <f t="shared" si="10"/>
        <v>75.949275557111974</v>
      </c>
      <c r="AE45" s="91">
        <f t="shared" si="10"/>
        <v>100.25440934872881</v>
      </c>
      <c r="AF45" s="91">
        <f t="shared" si="10"/>
        <v>94.239144787805088</v>
      </c>
      <c r="AG45" s="91">
        <f t="shared" si="10"/>
        <v>88.584796100536778</v>
      </c>
      <c r="AH45" s="91">
        <f t="shared" si="10"/>
        <v>83.269708334504571</v>
      </c>
      <c r="AI45" s="91">
        <f t="shared" si="10"/>
        <v>78.273525834434295</v>
      </c>
    </row>
    <row r="46" spans="1:35" ht="15" customHeight="1">
      <c r="A46" s="4"/>
      <c r="D46" s="4"/>
      <c r="E46" s="32" t="s">
        <v>129</v>
      </c>
      <c r="G46" s="4" t="s">
        <v>456</v>
      </c>
      <c r="K46" s="42">
        <f>SUMPRODUCT('Pre Op RAV'!K21:AX21,Inputs!K183:AX183)</f>
        <v>217.46912055133572</v>
      </c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</row>
    <row r="47" spans="1:35" ht="15" customHeight="1">
      <c r="A47" s="4"/>
      <c r="D47" s="4"/>
      <c r="E47" s="32" t="s">
        <v>167</v>
      </c>
      <c r="G47" s="4" t="s">
        <v>456</v>
      </c>
      <c r="K47" s="42">
        <f>'Op Rav'!K13 * K$12</f>
        <v>0</v>
      </c>
      <c r="L47" s="42">
        <f>'Op Rav'!L13 * L$12</f>
        <v>0</v>
      </c>
      <c r="M47" s="42">
        <f>'Op Rav'!M13 * M$12</f>
        <v>0</v>
      </c>
      <c r="N47" s="42">
        <f>'Op Rav'!N13 * N$12</f>
        <v>0</v>
      </c>
      <c r="O47" s="42">
        <f>'Op Rav'!O13 * O$12</f>
        <v>0</v>
      </c>
      <c r="P47" s="42">
        <f>'Op Rav'!P13 * P$12</f>
        <v>0</v>
      </c>
      <c r="Q47" s="42">
        <f>'Op Rav'!Q13 * Q$12</f>
        <v>7.577363985048021</v>
      </c>
      <c r="R47" s="42">
        <f>'Op Rav'!R13 * R$12</f>
        <v>0</v>
      </c>
      <c r="S47" s="42">
        <f>'Op Rav'!S13 * S$12</f>
        <v>0</v>
      </c>
      <c r="T47" s="42">
        <f>'Op Rav'!T13 * T$12</f>
        <v>0</v>
      </c>
      <c r="U47" s="42">
        <f>'Op Rav'!U13 * U$12</f>
        <v>0</v>
      </c>
      <c r="V47" s="42">
        <f>'Op Rav'!V13 * V$12</f>
        <v>0</v>
      </c>
      <c r="W47" s="42">
        <f>'Op Rav'!W13 * W$12</f>
        <v>0</v>
      </c>
      <c r="X47" s="42">
        <f>'Op Rav'!X13 * X$12</f>
        <v>0</v>
      </c>
      <c r="Y47" s="42">
        <f>'Op Rav'!Y13 * Y$12</f>
        <v>7.4169252847537912</v>
      </c>
      <c r="Z47" s="42">
        <f>'Op Rav'!Z13 * Z$12</f>
        <v>0</v>
      </c>
      <c r="AA47" s="42">
        <f>'Op Rav'!AA13 * AA$12</f>
        <v>0</v>
      </c>
      <c r="AB47" s="42">
        <f>'Op Rav'!AB13 * AB$12</f>
        <v>0</v>
      </c>
      <c r="AC47" s="42">
        <f>'Op Rav'!AC13 * AC$12</f>
        <v>0</v>
      </c>
      <c r="AD47" s="42">
        <f>'Op Rav'!AD13 * AD$12</f>
        <v>30.704351409620809</v>
      </c>
      <c r="AE47" s="42">
        <f>'Op Rav'!AE13 * AE$12</f>
        <v>0</v>
      </c>
      <c r="AF47" s="42">
        <f>'Op Rav'!AF13 * AF$12</f>
        <v>0</v>
      </c>
      <c r="AG47" s="42">
        <f>'Op Rav'!AG13 * AG$12</f>
        <v>0</v>
      </c>
      <c r="AH47" s="42">
        <f>'Op Rav'!AH13 * AH$12</f>
        <v>0</v>
      </c>
      <c r="AI47" s="42">
        <f>'Op Rav'!AI13 * AI$12</f>
        <v>0</v>
      </c>
    </row>
    <row r="48" spans="1:35" ht="15" customHeight="1">
      <c r="A48" s="17"/>
      <c r="B48" s="17"/>
      <c r="C48" s="17"/>
      <c r="D48" s="17"/>
      <c r="E48" s="17" t="s">
        <v>466</v>
      </c>
      <c r="F48" s="17"/>
      <c r="G48" s="17" t="s">
        <v>456</v>
      </c>
      <c r="H48" s="17"/>
      <c r="I48" s="17"/>
      <c r="J48" s="5"/>
      <c r="K48" s="59">
        <f t="shared" ref="K48:AI48" si="11">SUM(K45:K47)</f>
        <v>217.46912055133572</v>
      </c>
      <c r="L48" s="59">
        <f t="shared" si="11"/>
        <v>204.42097331825559</v>
      </c>
      <c r="M48" s="59">
        <f t="shared" si="11"/>
        <v>192.15571491916026</v>
      </c>
      <c r="N48" s="59">
        <f t="shared" si="11"/>
        <v>180.62637202401064</v>
      </c>
      <c r="O48" s="59">
        <f t="shared" si="11"/>
        <v>169.78878970257</v>
      </c>
      <c r="P48" s="59">
        <f t="shared" si="11"/>
        <v>159.60146232041581</v>
      </c>
      <c r="Q48" s="59">
        <f t="shared" si="11"/>
        <v>157.60273856623886</v>
      </c>
      <c r="R48" s="59">
        <f t="shared" si="11"/>
        <v>148.14657425226451</v>
      </c>
      <c r="S48" s="59">
        <f t="shared" si="11"/>
        <v>139.25777979712865</v>
      </c>
      <c r="T48" s="59">
        <f t="shared" si="11"/>
        <v>130.90231300930094</v>
      </c>
      <c r="U48" s="59">
        <f t="shared" si="11"/>
        <v>123.04817422874288</v>
      </c>
      <c r="V48" s="59">
        <f t="shared" si="11"/>
        <v>115.66528377501831</v>
      </c>
      <c r="W48" s="59">
        <f t="shared" si="11"/>
        <v>108.72536674851722</v>
      </c>
      <c r="X48" s="59">
        <f t="shared" si="11"/>
        <v>102.20184474360619</v>
      </c>
      <c r="Y48" s="59">
        <f t="shared" si="11"/>
        <v>103.48665934374361</v>
      </c>
      <c r="Z48" s="59">
        <f t="shared" si="11"/>
        <v>97.277459783118999</v>
      </c>
      <c r="AA48" s="59">
        <f t="shared" si="11"/>
        <v>91.440812196131859</v>
      </c>
      <c r="AB48" s="59">
        <f t="shared" si="11"/>
        <v>85.954363464363951</v>
      </c>
      <c r="AC48" s="59">
        <f t="shared" si="11"/>
        <v>80.797101656502107</v>
      </c>
      <c r="AD48" s="59">
        <f t="shared" si="11"/>
        <v>106.65362696673279</v>
      </c>
      <c r="AE48" s="59">
        <f t="shared" si="11"/>
        <v>100.25440934872881</v>
      </c>
      <c r="AF48" s="59">
        <f t="shared" si="11"/>
        <v>94.239144787805088</v>
      </c>
      <c r="AG48" s="59">
        <f t="shared" si="11"/>
        <v>88.584796100536778</v>
      </c>
      <c r="AH48" s="59">
        <f t="shared" si="11"/>
        <v>83.269708334504571</v>
      </c>
      <c r="AI48" s="59">
        <f t="shared" si="11"/>
        <v>78.273525834434295</v>
      </c>
    </row>
    <row r="49" spans="1:35" ht="15" customHeight="1">
      <c r="A49" s="17"/>
      <c r="B49" s="17"/>
      <c r="C49" s="17"/>
      <c r="D49" s="17"/>
      <c r="E49" s="17" t="s">
        <v>467</v>
      </c>
      <c r="F49" s="17"/>
      <c r="G49" s="17" t="s">
        <v>456</v>
      </c>
      <c r="H49" s="17"/>
      <c r="I49" s="17"/>
      <c r="J49" s="5"/>
      <c r="K49" s="5">
        <f t="shared" ref="K49" si="12">-K48 * K42</f>
        <v>-13.048147233080142</v>
      </c>
      <c r="L49" s="5">
        <f>-L48 * L42</f>
        <v>-12.265258399095336</v>
      </c>
      <c r="M49" s="5">
        <f t="shared" ref="M49:AI49" si="13">-M48 * M42</f>
        <v>-11.529342895149615</v>
      </c>
      <c r="N49" s="5">
        <f t="shared" si="13"/>
        <v>-10.837582321440637</v>
      </c>
      <c r="O49" s="5">
        <f t="shared" si="13"/>
        <v>-10.1873273821542</v>
      </c>
      <c r="P49" s="5">
        <f t="shared" si="13"/>
        <v>-9.5760877392249473</v>
      </c>
      <c r="Q49" s="5">
        <f t="shared" si="13"/>
        <v>-9.4561643139743303</v>
      </c>
      <c r="R49" s="5">
        <f t="shared" si="13"/>
        <v>-8.8887944551358711</v>
      </c>
      <c r="S49" s="5">
        <f t="shared" si="13"/>
        <v>-8.3554667878277193</v>
      </c>
      <c r="T49" s="5">
        <f t="shared" si="13"/>
        <v>-7.8541387805580563</v>
      </c>
      <c r="U49" s="5">
        <f t="shared" si="13"/>
        <v>-7.3828904537245723</v>
      </c>
      <c r="V49" s="5">
        <f t="shared" si="13"/>
        <v>-6.9399170265010985</v>
      </c>
      <c r="W49" s="5">
        <f t="shared" si="13"/>
        <v>-6.5235220049110332</v>
      </c>
      <c r="X49" s="5">
        <f t="shared" si="13"/>
        <v>-6.1321106846163707</v>
      </c>
      <c r="Y49" s="5">
        <f t="shared" si="13"/>
        <v>-6.2091995606246169</v>
      </c>
      <c r="Z49" s="5">
        <f t="shared" si="13"/>
        <v>-5.8366475869871399</v>
      </c>
      <c r="AA49" s="5">
        <f t="shared" si="13"/>
        <v>-5.4864487317679114</v>
      </c>
      <c r="AB49" s="5">
        <f t="shared" si="13"/>
        <v>-5.1572618078618371</v>
      </c>
      <c r="AC49" s="5">
        <f t="shared" si="13"/>
        <v>-4.8478260993901259</v>
      </c>
      <c r="AD49" s="5">
        <f t="shared" si="13"/>
        <v>-6.3992176180039673</v>
      </c>
      <c r="AE49" s="5">
        <f t="shared" si="13"/>
        <v>-6.015264560923729</v>
      </c>
      <c r="AF49" s="5">
        <f t="shared" si="13"/>
        <v>-5.6543486872683051</v>
      </c>
      <c r="AG49" s="5">
        <f t="shared" si="13"/>
        <v>-5.3150877660322067</v>
      </c>
      <c r="AH49" s="5">
        <f t="shared" si="13"/>
        <v>-4.9961825000702742</v>
      </c>
      <c r="AI49" s="5">
        <f t="shared" si="13"/>
        <v>-4.6964115500660579</v>
      </c>
    </row>
    <row r="50" spans="1:35" ht="15" customHeight="1">
      <c r="A50" s="17"/>
      <c r="B50" s="17"/>
      <c r="C50" s="17"/>
      <c r="D50" s="17"/>
      <c r="E50" s="17" t="s">
        <v>468</v>
      </c>
      <c r="F50" s="17"/>
      <c r="G50" s="17" t="s">
        <v>456</v>
      </c>
      <c r="H50" s="17"/>
      <c r="I50" s="17"/>
      <c r="J50" s="5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3"/>
      <c r="AC50" s="53"/>
      <c r="AD50" s="53"/>
      <c r="AE50" s="53"/>
      <c r="AF50" s="53"/>
      <c r="AG50" s="53"/>
      <c r="AH50" s="53"/>
      <c r="AI50" s="5">
        <f>-SUM(AI48:AI49)</f>
        <v>-73.577114284368236</v>
      </c>
    </row>
    <row r="51" spans="1:35" ht="15" customHeight="1">
      <c r="A51" s="17"/>
      <c r="B51" s="17"/>
      <c r="C51" s="17"/>
      <c r="D51" s="17"/>
      <c r="E51" s="17" t="s">
        <v>469</v>
      </c>
      <c r="F51" s="17"/>
      <c r="G51" s="17" t="s">
        <v>456</v>
      </c>
      <c r="H51" s="17"/>
      <c r="I51" s="17"/>
      <c r="J51" s="5"/>
      <c r="K51" s="59">
        <f t="shared" ref="K51" si="14">SUM(K48:K50)</f>
        <v>204.42097331825559</v>
      </c>
      <c r="L51" s="59">
        <f t="shared" ref="L51:AH51" si="15">SUM(L48:L50)</f>
        <v>192.15571491916026</v>
      </c>
      <c r="M51" s="59">
        <f t="shared" si="15"/>
        <v>180.62637202401064</v>
      </c>
      <c r="N51" s="59">
        <f t="shared" si="15"/>
        <v>169.78878970257</v>
      </c>
      <c r="O51" s="59">
        <f t="shared" si="15"/>
        <v>159.60146232041581</v>
      </c>
      <c r="P51" s="59">
        <f t="shared" si="15"/>
        <v>150.02537458119085</v>
      </c>
      <c r="Q51" s="59">
        <f t="shared" si="15"/>
        <v>148.14657425226451</v>
      </c>
      <c r="R51" s="59">
        <f t="shared" si="15"/>
        <v>139.25777979712865</v>
      </c>
      <c r="S51" s="59">
        <f t="shared" si="15"/>
        <v>130.90231300930094</v>
      </c>
      <c r="T51" s="59">
        <f t="shared" si="15"/>
        <v>123.04817422874288</v>
      </c>
      <c r="U51" s="59">
        <f t="shared" si="15"/>
        <v>115.66528377501831</v>
      </c>
      <c r="V51" s="59">
        <f t="shared" si="15"/>
        <v>108.72536674851722</v>
      </c>
      <c r="W51" s="59">
        <f t="shared" si="15"/>
        <v>102.20184474360619</v>
      </c>
      <c r="X51" s="59">
        <f t="shared" si="15"/>
        <v>96.069734058989823</v>
      </c>
      <c r="Y51" s="59">
        <f t="shared" si="15"/>
        <v>97.277459783118999</v>
      </c>
      <c r="Z51" s="59">
        <f t="shared" si="15"/>
        <v>91.440812196131859</v>
      </c>
      <c r="AA51" s="59">
        <f t="shared" si="15"/>
        <v>85.954363464363951</v>
      </c>
      <c r="AB51" s="59">
        <f t="shared" si="15"/>
        <v>80.797101656502107</v>
      </c>
      <c r="AC51" s="59">
        <f t="shared" si="15"/>
        <v>75.949275557111974</v>
      </c>
      <c r="AD51" s="59">
        <f t="shared" si="15"/>
        <v>100.25440934872881</v>
      </c>
      <c r="AE51" s="59">
        <f t="shared" si="15"/>
        <v>94.239144787805088</v>
      </c>
      <c r="AF51" s="59">
        <f t="shared" si="15"/>
        <v>88.584796100536778</v>
      </c>
      <c r="AG51" s="59">
        <f t="shared" si="15"/>
        <v>83.269708334504571</v>
      </c>
      <c r="AH51" s="59">
        <f t="shared" si="15"/>
        <v>78.273525834434295</v>
      </c>
      <c r="AI51" s="59">
        <f>SUM(AI48:AI50)</f>
        <v>0</v>
      </c>
    </row>
    <row r="52" spans="1:35" ht="15" customHeight="1">
      <c r="A52" s="4"/>
      <c r="D52" s="4"/>
      <c r="E52" s="17"/>
      <c r="F52" s="17"/>
      <c r="G52" s="17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40"/>
    </row>
    <row r="53" spans="1:35" ht="15" customHeight="1">
      <c r="A53" s="4"/>
      <c r="B53" s="4"/>
      <c r="D53" s="4"/>
      <c r="E53" s="17" t="s">
        <v>457</v>
      </c>
      <c r="F53" s="17"/>
      <c r="G53" s="17" t="s">
        <v>456</v>
      </c>
      <c r="I53" s="33"/>
      <c r="K53" s="252">
        <f t="shared" ref="K53:AI53" si="16">-(K49 + K50)</f>
        <v>13.048147233080142</v>
      </c>
      <c r="L53" s="252">
        <f t="shared" si="16"/>
        <v>12.265258399095336</v>
      </c>
      <c r="M53" s="252">
        <f t="shared" si="16"/>
        <v>11.529342895149615</v>
      </c>
      <c r="N53" s="252">
        <f t="shared" si="16"/>
        <v>10.837582321440637</v>
      </c>
      <c r="O53" s="252">
        <f t="shared" si="16"/>
        <v>10.1873273821542</v>
      </c>
      <c r="P53" s="252">
        <f t="shared" si="16"/>
        <v>9.5760877392249473</v>
      </c>
      <c r="Q53" s="252">
        <f t="shared" si="16"/>
        <v>9.4561643139743303</v>
      </c>
      <c r="R53" s="252">
        <f t="shared" si="16"/>
        <v>8.8887944551358711</v>
      </c>
      <c r="S53" s="252">
        <f t="shared" si="16"/>
        <v>8.3554667878277193</v>
      </c>
      <c r="T53" s="252">
        <f t="shared" si="16"/>
        <v>7.8541387805580563</v>
      </c>
      <c r="U53" s="252">
        <f t="shared" si="16"/>
        <v>7.3828904537245723</v>
      </c>
      <c r="V53" s="252">
        <f>-(V49 + V50)</f>
        <v>6.9399170265010985</v>
      </c>
      <c r="W53" s="252">
        <f t="shared" si="16"/>
        <v>6.5235220049110332</v>
      </c>
      <c r="X53" s="252">
        <f t="shared" si="16"/>
        <v>6.1321106846163707</v>
      </c>
      <c r="Y53" s="252">
        <f t="shared" si="16"/>
        <v>6.2091995606246169</v>
      </c>
      <c r="Z53" s="252">
        <f t="shared" si="16"/>
        <v>5.8366475869871399</v>
      </c>
      <c r="AA53" s="252">
        <f t="shared" si="16"/>
        <v>5.4864487317679114</v>
      </c>
      <c r="AB53" s="252">
        <f t="shared" si="16"/>
        <v>5.1572618078618371</v>
      </c>
      <c r="AC53" s="252">
        <f t="shared" si="16"/>
        <v>4.8478260993901259</v>
      </c>
      <c r="AD53" s="252">
        <f t="shared" si="16"/>
        <v>6.3992176180039673</v>
      </c>
      <c r="AE53" s="252">
        <f t="shared" si="16"/>
        <v>6.015264560923729</v>
      </c>
      <c r="AF53" s="252">
        <f t="shared" si="16"/>
        <v>5.6543486872683051</v>
      </c>
      <c r="AG53" s="252">
        <f t="shared" si="16"/>
        <v>5.3150877660322067</v>
      </c>
      <c r="AH53" s="252">
        <f t="shared" si="16"/>
        <v>4.9961825000702742</v>
      </c>
      <c r="AI53" s="252">
        <f t="shared" si="16"/>
        <v>78.273525834434295</v>
      </c>
    </row>
    <row r="54" spans="1:35" ht="15" customHeight="1">
      <c r="A54" s="4"/>
      <c r="B54" s="4"/>
      <c r="D54" s="4"/>
      <c r="E54" s="17"/>
      <c r="F54" s="17"/>
      <c r="G54" s="17"/>
      <c r="I54" s="33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  <c r="AF54" s="40"/>
      <c r="AG54" s="40"/>
      <c r="AH54" s="40"/>
      <c r="AI54" s="40"/>
    </row>
    <row r="55" spans="1:35" ht="15" customHeight="1">
      <c r="A55"/>
      <c r="B55" s="267" t="s">
        <v>470</v>
      </c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</row>
    <row r="56" spans="1:35" ht="15" customHeight="1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</row>
    <row r="57" spans="1:35" ht="15" customHeight="1">
      <c r="A57"/>
      <c r="B57" s="17"/>
      <c r="C57" s="10" t="s">
        <v>471</v>
      </c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</row>
    <row r="58" spans="1:35" ht="15" customHeight="1">
      <c r="A58" s="5"/>
      <c r="B58" s="5"/>
      <c r="C58" s="5"/>
      <c r="D58" s="5"/>
      <c r="E58" s="5"/>
      <c r="F58" s="5"/>
      <c r="G58" s="5"/>
      <c r="H58" s="5"/>
      <c r="I58" s="6"/>
      <c r="J58" s="6"/>
      <c r="K58" s="6"/>
      <c r="L58" s="6"/>
      <c r="M58" s="6"/>
      <c r="N58" s="6"/>
      <c r="O58" s="6"/>
      <c r="P58" s="6"/>
      <c r="Q58" s="6"/>
      <c r="R58" s="6"/>
      <c r="S58" s="5"/>
      <c r="T58" s="5"/>
      <c r="U58" s="5"/>
      <c r="V58" s="5"/>
      <c r="W58" s="42"/>
      <c r="X58" s="42"/>
      <c r="Y58" s="42"/>
      <c r="Z58" s="42"/>
      <c r="AA58" s="42"/>
      <c r="AB58" s="42"/>
      <c r="AC58" s="42"/>
      <c r="AD58" s="42"/>
      <c r="AE58" s="42"/>
      <c r="AF58" s="42"/>
      <c r="AG58" s="42"/>
      <c r="AH58" s="42"/>
      <c r="AI58" s="42"/>
    </row>
    <row r="59" spans="1:35" ht="15" customHeight="1">
      <c r="A59" s="5"/>
      <c r="B59" s="5"/>
      <c r="C59" s="5"/>
      <c r="D59" s="5"/>
      <c r="E59" s="16" t="s">
        <v>181</v>
      </c>
      <c r="F59" s="5"/>
      <c r="G59" s="16" t="str">
        <f>Inputs!G69</f>
        <v>real annual %</v>
      </c>
      <c r="H59" s="5"/>
      <c r="I59" s="80">
        <f>Inputs!I71</f>
        <v>-8.3999999999999995E-3</v>
      </c>
      <c r="J59" s="6"/>
      <c r="K59" s="6"/>
      <c r="L59" s="6"/>
      <c r="M59" s="6"/>
      <c r="N59" s="6"/>
      <c r="O59" s="6"/>
      <c r="P59" s="6"/>
      <c r="Q59" s="6"/>
      <c r="R59" s="6"/>
      <c r="S59" s="5"/>
      <c r="T59" s="5"/>
      <c r="U59" s="5"/>
      <c r="V59" s="5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</row>
    <row r="60" spans="1:35" ht="15" customHeight="1">
      <c r="A60" s="5"/>
      <c r="B60" s="5"/>
      <c r="C60" s="5"/>
      <c r="D60" s="5"/>
      <c r="E60" s="16" t="s">
        <v>472</v>
      </c>
      <c r="F60" s="5"/>
      <c r="G60" s="16" t="str">
        <f>Inputs!G192</f>
        <v>%</v>
      </c>
      <c r="H60" s="5"/>
      <c r="I60" s="80">
        <f>Inputs!I192</f>
        <v>4.2799999999999998E-2</v>
      </c>
      <c r="J60" s="6"/>
      <c r="K60" s="6"/>
      <c r="L60" s="6"/>
      <c r="M60" s="6"/>
      <c r="N60" s="6"/>
      <c r="O60" s="6"/>
      <c r="P60" s="6"/>
      <c r="Q60" s="6"/>
      <c r="R60" s="6"/>
      <c r="S60" s="5"/>
      <c r="T60" s="5"/>
      <c r="U60" s="5"/>
      <c r="V60" s="5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</row>
    <row r="61" spans="1:35" ht="15" customHeight="1">
      <c r="A61" s="5"/>
      <c r="B61" s="5"/>
      <c r="C61" s="5"/>
      <c r="D61" s="5"/>
      <c r="E61" s="5" t="s">
        <v>181</v>
      </c>
      <c r="F61" s="5"/>
      <c r="G61" s="5" t="s">
        <v>473</v>
      </c>
      <c r="H61" s="5"/>
      <c r="I61" s="16">
        <f>(1 + I59) * (1 + I$60) - 1</f>
        <v>3.404048000000004E-2</v>
      </c>
      <c r="J61" s="6"/>
      <c r="K61" s="6"/>
      <c r="L61" s="6"/>
      <c r="M61" s="6"/>
      <c r="N61" s="6"/>
      <c r="O61" s="6"/>
      <c r="P61" s="6"/>
      <c r="Q61" s="6"/>
      <c r="R61" s="6"/>
      <c r="S61" s="5"/>
      <c r="T61" s="5"/>
      <c r="U61" s="5"/>
      <c r="V61" s="61"/>
      <c r="W61" s="7"/>
      <c r="X61" s="7"/>
      <c r="Y61" s="7"/>
      <c r="Z61" s="7"/>
      <c r="AA61" s="7"/>
      <c r="AB61" s="7"/>
      <c r="AC61" s="89"/>
      <c r="AD61" s="7"/>
      <c r="AE61" s="7"/>
      <c r="AF61" s="7"/>
      <c r="AG61" s="7"/>
      <c r="AH61" s="7"/>
      <c r="AI61" s="7"/>
    </row>
    <row r="62" spans="1:35" ht="15" customHeight="1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5"/>
      <c r="T62" s="5"/>
      <c r="U62" s="5"/>
      <c r="V62" s="90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</row>
    <row r="63" spans="1:35" ht="15" customHeight="1">
      <c r="A63"/>
      <c r="B63" s="17"/>
      <c r="C63" s="10" t="s">
        <v>474</v>
      </c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</row>
    <row r="64" spans="1:35" ht="15" customHeight="1">
      <c r="A64" s="27"/>
      <c r="B64" s="27"/>
      <c r="C64" s="2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</row>
    <row r="65" spans="1:35" ht="15" customHeight="1">
      <c r="A65" s="27"/>
      <c r="B65" s="27"/>
      <c r="C65" s="27"/>
      <c r="D65" s="17"/>
      <c r="E65" s="17" t="s">
        <v>250</v>
      </c>
      <c r="F65" s="17"/>
      <c r="G65" s="17" t="str">
        <f>Inputs!G155</f>
        <v>full years</v>
      </c>
      <c r="H65" s="17"/>
      <c r="I65" s="88">
        <f>Inputs!I155</f>
        <v>25</v>
      </c>
      <c r="J65" s="17"/>
      <c r="K65" s="17"/>
      <c r="L65" s="17"/>
      <c r="M65" s="17"/>
      <c r="N65" s="17"/>
      <c r="O65" s="17"/>
      <c r="P65" s="17"/>
      <c r="Q65" s="17"/>
      <c r="R65" s="17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</row>
    <row r="66" spans="1:35" ht="15" customHeight="1">
      <c r="A66" s="27"/>
      <c r="B66" s="27"/>
      <c r="C66" s="27"/>
      <c r="D66" s="17"/>
      <c r="E66" s="16" t="s">
        <v>183</v>
      </c>
      <c r="F66" s="17"/>
      <c r="G66" s="16" t="str">
        <f>Inputs!G74</f>
        <v>%</v>
      </c>
      <c r="H66" s="17"/>
      <c r="I66" s="80">
        <f>Inputs!I74</f>
        <v>0.5</v>
      </c>
      <c r="J66" s="17"/>
      <c r="K66" s="17"/>
      <c r="L66" s="17"/>
      <c r="M66" s="17"/>
      <c r="N66" s="17"/>
      <c r="O66" s="17"/>
      <c r="P66" s="17"/>
      <c r="Q66" s="17"/>
      <c r="R66" s="17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</row>
    <row r="67" spans="1:35" ht="15" customHeight="1">
      <c r="A67" s="27"/>
      <c r="B67" s="27"/>
      <c r="C67" s="27"/>
      <c r="D67" s="17"/>
      <c r="E67" s="17"/>
      <c r="F67" s="17"/>
      <c r="G67" s="17"/>
      <c r="H67" s="17"/>
      <c r="I67" s="63"/>
      <c r="J67" s="17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</row>
    <row r="68" spans="1:35" ht="15" customHeight="1">
      <c r="A68" s="27"/>
      <c r="B68" s="27"/>
      <c r="C68" s="27"/>
      <c r="D68" s="17"/>
      <c r="E68" s="17" t="s">
        <v>475</v>
      </c>
      <c r="F68" s="17"/>
      <c r="G68" s="5" t="s">
        <v>456</v>
      </c>
      <c r="H68" s="17"/>
      <c r="I68" s="17"/>
      <c r="J68" s="17"/>
      <c r="K68" s="5">
        <f>K70 - K69</f>
        <v>3.1196536418150433</v>
      </c>
      <c r="L68" s="5">
        <f t="shared" ref="L68:AI68" si="17">L70 - L69</f>
        <v>3.2258481492161759</v>
      </c>
      <c r="M68" s="5">
        <f t="shared" si="17"/>
        <v>3.3356575686226062</v>
      </c>
      <c r="N68" s="5">
        <f t="shared" si="17"/>
        <v>3.4492049533741529</v>
      </c>
      <c r="O68" s="5">
        <f t="shared" si="17"/>
        <v>3.566617545605387</v>
      </c>
      <c r="P68" s="5">
        <f t="shared" si="17"/>
        <v>3.6880269188342161</v>
      </c>
      <c r="Q68" s="5">
        <f t="shared" si="17"/>
        <v>3.8135691254042539</v>
      </c>
      <c r="R68" s="5">
        <f t="shared" si="17"/>
        <v>3.9433848489461951</v>
      </c>
      <c r="S68" s="5">
        <f t="shared" si="17"/>
        <v>4.0776195620290512</v>
      </c>
      <c r="T68" s="5">
        <f t="shared" si="17"/>
        <v>4.2164236891779101</v>
      </c>
      <c r="U68" s="5">
        <f t="shared" si="17"/>
        <v>4.3599527754408971</v>
      </c>
      <c r="V68" s="5">
        <f t="shared" si="17"/>
        <v>4.5083676606942387</v>
      </c>
      <c r="W68" s="5">
        <f t="shared" si="17"/>
        <v>4.6618346598807472</v>
      </c>
      <c r="X68" s="5">
        <f t="shared" si="17"/>
        <v>4.8205257493837248</v>
      </c>
      <c r="Y68" s="5">
        <f t="shared" si="17"/>
        <v>4.984618759745107</v>
      </c>
      <c r="Z68" s="5">
        <f t="shared" si="17"/>
        <v>5.1542975749438344</v>
      </c>
      <c r="AA68" s="5">
        <f t="shared" si="17"/>
        <v>5.3297523384577588</v>
      </c>
      <c r="AB68" s="5">
        <f t="shared" si="17"/>
        <v>5.5111796663399844</v>
      </c>
      <c r="AC68" s="5">
        <f t="shared" si="17"/>
        <v>5.6987828675484371</v>
      </c>
      <c r="AD68" s="5">
        <f t="shared" si="17"/>
        <v>5.8927721717755626</v>
      </c>
      <c r="AE68" s="5">
        <f t="shared" si="17"/>
        <v>6.0933649650334454</v>
      </c>
      <c r="AF68" s="5">
        <f t="shared" si="17"/>
        <v>6.3007860332583672</v>
      </c>
      <c r="AG68" s="5">
        <f t="shared" si="17"/>
        <v>6.5152678142077782</v>
      </c>
      <c r="AH68" s="5">
        <f t="shared" si="17"/>
        <v>6.7370506579319622</v>
      </c>
      <c r="AI68" s="5">
        <f t="shared" si="17"/>
        <v>6.9663830961122821</v>
      </c>
    </row>
    <row r="69" spans="1:35" ht="15" customHeight="1">
      <c r="A69" s="27"/>
      <c r="B69" s="27"/>
      <c r="C69" s="27"/>
      <c r="D69" s="17"/>
      <c r="E69" s="17" t="s">
        <v>476</v>
      </c>
      <c r="F69" s="17"/>
      <c r="G69" s="5" t="s">
        <v>456</v>
      </c>
      <c r="H69" s="17"/>
      <c r="I69" s="17"/>
      <c r="J69" s="17"/>
      <c r="K69" s="252">
        <f t="shared" ref="K69:AI69" si="18">$I61 * K72</f>
        <v>4.0838684787527919</v>
      </c>
      <c r="L69" s="252">
        <f t="shared" si="18"/>
        <v>3.9776739713516593</v>
      </c>
      <c r="M69" s="252">
        <f t="shared" si="18"/>
        <v>3.867864551945229</v>
      </c>
      <c r="N69" s="252">
        <f t="shared" si="18"/>
        <v>3.7543171671936824</v>
      </c>
      <c r="O69" s="252">
        <f t="shared" si="18"/>
        <v>3.6369045749624482</v>
      </c>
      <c r="P69" s="252">
        <f t="shared" si="18"/>
        <v>3.5154952017336192</v>
      </c>
      <c r="Q69" s="252">
        <f t="shared" si="18"/>
        <v>3.3899529951635814</v>
      </c>
      <c r="R69" s="252">
        <f t="shared" si="18"/>
        <v>3.2601372716216401</v>
      </c>
      <c r="S69" s="252">
        <f t="shared" si="18"/>
        <v>3.1259025585387841</v>
      </c>
      <c r="T69" s="252">
        <f t="shared" si="18"/>
        <v>2.9870984313899251</v>
      </c>
      <c r="U69" s="252">
        <f t="shared" si="18"/>
        <v>2.8435693451269377</v>
      </c>
      <c r="V69" s="252">
        <f t="shared" si="18"/>
        <v>2.695154459873597</v>
      </c>
      <c r="W69" s="252">
        <f t="shared" si="18"/>
        <v>2.5416874606870881</v>
      </c>
      <c r="X69" s="252">
        <f t="shared" si="18"/>
        <v>2.3829963711841105</v>
      </c>
      <c r="Y69" s="252">
        <f t="shared" si="18"/>
        <v>2.2189033608227287</v>
      </c>
      <c r="Z69" s="252">
        <f t="shared" si="18"/>
        <v>2.0492245456240004</v>
      </c>
      <c r="AA69" s="252">
        <f t="shared" si="18"/>
        <v>1.8737697821100763</v>
      </c>
      <c r="AB69" s="252">
        <f t="shared" si="18"/>
        <v>1.6923424542278513</v>
      </c>
      <c r="AC69" s="252">
        <f t="shared" si="18"/>
        <v>1.5047392530193984</v>
      </c>
      <c r="AD69" s="252">
        <f t="shared" si="18"/>
        <v>1.3107499487922729</v>
      </c>
      <c r="AE69" s="252">
        <f t="shared" si="18"/>
        <v>1.1101571555343901</v>
      </c>
      <c r="AF69" s="252">
        <f t="shared" si="18"/>
        <v>0.90273608730946808</v>
      </c>
      <c r="AG69" s="252">
        <f t="shared" si="18"/>
        <v>0.68825430636005702</v>
      </c>
      <c r="AH69" s="252">
        <f t="shared" si="18"/>
        <v>0.46647146263587314</v>
      </c>
      <c r="AI69" s="252">
        <f t="shared" si="18"/>
        <v>0.2371390244555531</v>
      </c>
    </row>
    <row r="70" spans="1:35" ht="15" customHeight="1">
      <c r="A70" s="27"/>
      <c r="B70" s="27"/>
      <c r="C70" s="27"/>
      <c r="D70" s="17"/>
      <c r="E70" s="17" t="s">
        <v>477</v>
      </c>
      <c r="F70" s="17"/>
      <c r="G70" s="5" t="s">
        <v>456</v>
      </c>
      <c r="H70" s="17"/>
      <c r="I70" s="17"/>
      <c r="J70" s="17"/>
      <c r="K70" s="5">
        <f>$K$72*$I61/(1-(1+$I61)^(-$I65))</f>
        <v>7.2035221205678353</v>
      </c>
      <c r="L70" s="5">
        <f t="shared" ref="L70:AI70" si="19">$K$72*$I61/(1-(1+$I61)^(-$I65))</f>
        <v>7.2035221205678353</v>
      </c>
      <c r="M70" s="5">
        <f t="shared" si="19"/>
        <v>7.2035221205678353</v>
      </c>
      <c r="N70" s="5">
        <f t="shared" si="19"/>
        <v>7.2035221205678353</v>
      </c>
      <c r="O70" s="5">
        <f t="shared" si="19"/>
        <v>7.2035221205678353</v>
      </c>
      <c r="P70" s="5">
        <f t="shared" si="19"/>
        <v>7.2035221205678353</v>
      </c>
      <c r="Q70" s="5">
        <f t="shared" si="19"/>
        <v>7.2035221205678353</v>
      </c>
      <c r="R70" s="5">
        <f t="shared" si="19"/>
        <v>7.2035221205678353</v>
      </c>
      <c r="S70" s="5">
        <f t="shared" si="19"/>
        <v>7.2035221205678353</v>
      </c>
      <c r="T70" s="5">
        <f t="shared" si="19"/>
        <v>7.2035221205678353</v>
      </c>
      <c r="U70" s="5">
        <f t="shared" si="19"/>
        <v>7.2035221205678353</v>
      </c>
      <c r="V70" s="5">
        <f t="shared" si="19"/>
        <v>7.2035221205678353</v>
      </c>
      <c r="W70" s="5">
        <f t="shared" si="19"/>
        <v>7.2035221205678353</v>
      </c>
      <c r="X70" s="5">
        <f t="shared" si="19"/>
        <v>7.2035221205678353</v>
      </c>
      <c r="Y70" s="5">
        <f t="shared" si="19"/>
        <v>7.2035221205678353</v>
      </c>
      <c r="Z70" s="5">
        <f t="shared" si="19"/>
        <v>7.2035221205678353</v>
      </c>
      <c r="AA70" s="5">
        <f t="shared" si="19"/>
        <v>7.2035221205678353</v>
      </c>
      <c r="AB70" s="5">
        <f t="shared" si="19"/>
        <v>7.2035221205678353</v>
      </c>
      <c r="AC70" s="5">
        <f t="shared" si="19"/>
        <v>7.2035221205678353</v>
      </c>
      <c r="AD70" s="5">
        <f t="shared" si="19"/>
        <v>7.2035221205678353</v>
      </c>
      <c r="AE70" s="5">
        <f t="shared" si="19"/>
        <v>7.2035221205678353</v>
      </c>
      <c r="AF70" s="5">
        <f t="shared" si="19"/>
        <v>7.2035221205678353</v>
      </c>
      <c r="AG70" s="5">
        <f t="shared" si="19"/>
        <v>7.2035221205678353</v>
      </c>
      <c r="AH70" s="5">
        <f t="shared" si="19"/>
        <v>7.2035221205678353</v>
      </c>
      <c r="AI70" s="5">
        <f t="shared" si="19"/>
        <v>7.2035221205678353</v>
      </c>
    </row>
    <row r="71" spans="1:35" ht="15" customHeight="1">
      <c r="A71" s="27"/>
      <c r="B71" s="27"/>
      <c r="C71" s="27"/>
      <c r="D71" s="17"/>
      <c r="E71" s="17"/>
      <c r="F71" s="17"/>
      <c r="G71" s="17"/>
      <c r="H71" s="17"/>
      <c r="I71" s="63"/>
      <c r="J71" s="17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</row>
    <row r="72" spans="1:35" ht="15" customHeight="1">
      <c r="A72" s="27"/>
      <c r="B72" s="27"/>
      <c r="C72" s="27"/>
      <c r="D72" s="17"/>
      <c r="E72" s="17" t="s">
        <v>478</v>
      </c>
      <c r="F72" s="17"/>
      <c r="G72" s="5" t="s">
        <v>456</v>
      </c>
      <c r="H72" s="17"/>
      <c r="I72" s="17"/>
      <c r="J72" s="17"/>
      <c r="K72" s="174">
        <f>'Op Rav'!K12*I10*I66</f>
        <v>119.97094279377926</v>
      </c>
      <c r="L72" s="5">
        <f>K74</f>
        <v>116.85128915196421</v>
      </c>
      <c r="M72" s="5">
        <f t="shared" ref="M72:AI72" si="20">L74</f>
        <v>113.62544100274803</v>
      </c>
      <c r="N72" s="5">
        <f t="shared" si="20"/>
        <v>110.28978343412543</v>
      </c>
      <c r="O72" s="5">
        <f t="shared" si="20"/>
        <v>106.84057848075128</v>
      </c>
      <c r="P72" s="5">
        <f t="shared" si="20"/>
        <v>103.27396093514589</v>
      </c>
      <c r="Q72" s="5">
        <f t="shared" si="20"/>
        <v>99.585934016311683</v>
      </c>
      <c r="R72" s="5">
        <f t="shared" si="20"/>
        <v>95.772364890907426</v>
      </c>
      <c r="S72" s="5">
        <f t="shared" si="20"/>
        <v>91.828980041961231</v>
      </c>
      <c r="T72" s="5">
        <f t="shared" si="20"/>
        <v>87.751360479932174</v>
      </c>
      <c r="U72" s="5">
        <f t="shared" si="20"/>
        <v>83.534936790754259</v>
      </c>
      <c r="V72" s="5">
        <f t="shared" si="20"/>
        <v>79.174984015313356</v>
      </c>
      <c r="W72" s="5">
        <f t="shared" si="20"/>
        <v>74.666616354619123</v>
      </c>
      <c r="X72" s="5">
        <f t="shared" si="20"/>
        <v>70.004781694738369</v>
      </c>
      <c r="Y72" s="5">
        <f t="shared" si="20"/>
        <v>65.18425594535465</v>
      </c>
      <c r="Z72" s="5">
        <f t="shared" si="20"/>
        <v>60.199637185609546</v>
      </c>
      <c r="AA72" s="5">
        <f t="shared" si="20"/>
        <v>55.045339610665714</v>
      </c>
      <c r="AB72" s="5">
        <f t="shared" si="20"/>
        <v>49.715587272207955</v>
      </c>
      <c r="AC72" s="5">
        <f t="shared" si="20"/>
        <v>44.204407605867971</v>
      </c>
      <c r="AD72" s="5">
        <f t="shared" si="20"/>
        <v>38.505624738319533</v>
      </c>
      <c r="AE72" s="5">
        <f t="shared" si="20"/>
        <v>32.612852566543971</v>
      </c>
      <c r="AF72" s="5">
        <f t="shared" si="20"/>
        <v>26.519487601510527</v>
      </c>
      <c r="AG72" s="5">
        <f t="shared" si="20"/>
        <v>20.218701568252158</v>
      </c>
      <c r="AH72" s="5">
        <f t="shared" si="20"/>
        <v>13.703433754044379</v>
      </c>
      <c r="AI72" s="5">
        <f t="shared" si="20"/>
        <v>6.9663830961124171</v>
      </c>
    </row>
    <row r="73" spans="1:35" ht="15" customHeight="1">
      <c r="A73" s="27"/>
      <c r="B73" s="27"/>
      <c r="C73" s="27"/>
      <c r="D73" s="17"/>
      <c r="E73" s="17" t="s">
        <v>479</v>
      </c>
      <c r="F73" s="17"/>
      <c r="G73" s="5" t="s">
        <v>456</v>
      </c>
      <c r="H73" s="17"/>
      <c r="I73" s="63"/>
      <c r="J73" s="17"/>
      <c r="K73" s="5">
        <f t="shared" ref="K73:AI73" si="21">IF(K3 = "Year "&amp;$I65, -K72, -K68)</f>
        <v>-3.1196536418150433</v>
      </c>
      <c r="L73" s="5">
        <f t="shared" si="21"/>
        <v>-3.2258481492161759</v>
      </c>
      <c r="M73" s="5">
        <f t="shared" si="21"/>
        <v>-3.3356575686226062</v>
      </c>
      <c r="N73" s="5">
        <f t="shared" si="21"/>
        <v>-3.4492049533741529</v>
      </c>
      <c r="O73" s="5">
        <f t="shared" si="21"/>
        <v>-3.566617545605387</v>
      </c>
      <c r="P73" s="5">
        <f t="shared" si="21"/>
        <v>-3.6880269188342161</v>
      </c>
      <c r="Q73" s="5">
        <f t="shared" si="21"/>
        <v>-3.8135691254042539</v>
      </c>
      <c r="R73" s="5">
        <f t="shared" si="21"/>
        <v>-3.9433848489461951</v>
      </c>
      <c r="S73" s="5">
        <f t="shared" si="21"/>
        <v>-4.0776195620290512</v>
      </c>
      <c r="T73" s="5">
        <f t="shared" si="21"/>
        <v>-4.2164236891779101</v>
      </c>
      <c r="U73" s="5">
        <f t="shared" si="21"/>
        <v>-4.3599527754408971</v>
      </c>
      <c r="V73" s="5">
        <f t="shared" si="21"/>
        <v>-4.5083676606942387</v>
      </c>
      <c r="W73" s="5">
        <f t="shared" si="21"/>
        <v>-4.6618346598807472</v>
      </c>
      <c r="X73" s="5">
        <f t="shared" si="21"/>
        <v>-4.8205257493837248</v>
      </c>
      <c r="Y73" s="5">
        <f t="shared" si="21"/>
        <v>-4.984618759745107</v>
      </c>
      <c r="Z73" s="5">
        <f t="shared" si="21"/>
        <v>-5.1542975749438344</v>
      </c>
      <c r="AA73" s="5">
        <f t="shared" si="21"/>
        <v>-5.3297523384577588</v>
      </c>
      <c r="AB73" s="5">
        <f t="shared" si="21"/>
        <v>-5.5111796663399844</v>
      </c>
      <c r="AC73" s="5">
        <f t="shared" si="21"/>
        <v>-5.6987828675484371</v>
      </c>
      <c r="AD73" s="5">
        <f t="shared" si="21"/>
        <v>-5.8927721717755626</v>
      </c>
      <c r="AE73" s="5">
        <f t="shared" si="21"/>
        <v>-6.0933649650334454</v>
      </c>
      <c r="AF73" s="5">
        <f t="shared" si="21"/>
        <v>-6.3007860332583672</v>
      </c>
      <c r="AG73" s="5">
        <f t="shared" si="21"/>
        <v>-6.5152678142077782</v>
      </c>
      <c r="AH73" s="5">
        <f t="shared" si="21"/>
        <v>-6.7370506579319622</v>
      </c>
      <c r="AI73" s="5">
        <f t="shared" si="21"/>
        <v>-6.9663830961124171</v>
      </c>
    </row>
    <row r="74" spans="1:35" ht="15" customHeight="1">
      <c r="A74" s="27"/>
      <c r="B74" s="27"/>
      <c r="C74" s="27"/>
      <c r="D74" s="17"/>
      <c r="E74" s="17" t="s">
        <v>480</v>
      </c>
      <c r="F74" s="17"/>
      <c r="G74" s="5" t="s">
        <v>456</v>
      </c>
      <c r="H74" s="17"/>
      <c r="I74" s="63"/>
      <c r="J74" s="17"/>
      <c r="K74" s="5">
        <f>SUM(K72:K73)</f>
        <v>116.85128915196421</v>
      </c>
      <c r="L74" s="5">
        <f t="shared" ref="L74:W74" si="22">SUM(L72:L73)</f>
        <v>113.62544100274803</v>
      </c>
      <c r="M74" s="5">
        <f t="shared" si="22"/>
        <v>110.28978343412543</v>
      </c>
      <c r="N74" s="5">
        <f t="shared" si="22"/>
        <v>106.84057848075128</v>
      </c>
      <c r="O74" s="5">
        <f t="shared" si="22"/>
        <v>103.27396093514589</v>
      </c>
      <c r="P74" s="5">
        <f t="shared" si="22"/>
        <v>99.585934016311683</v>
      </c>
      <c r="Q74" s="5">
        <f t="shared" si="22"/>
        <v>95.772364890907426</v>
      </c>
      <c r="R74" s="5">
        <f t="shared" si="22"/>
        <v>91.828980041961231</v>
      </c>
      <c r="S74" s="5">
        <f t="shared" si="22"/>
        <v>87.751360479932174</v>
      </c>
      <c r="T74" s="5">
        <f t="shared" si="22"/>
        <v>83.534936790754259</v>
      </c>
      <c r="U74" s="5">
        <f t="shared" si="22"/>
        <v>79.174984015313356</v>
      </c>
      <c r="V74" s="5">
        <f t="shared" si="22"/>
        <v>74.666616354619123</v>
      </c>
      <c r="W74" s="5">
        <f t="shared" si="22"/>
        <v>70.004781694738369</v>
      </c>
      <c r="X74" s="5">
        <f>SUM(X72:X73)</f>
        <v>65.18425594535465</v>
      </c>
      <c r="Y74" s="5">
        <f t="shared" ref="Y74:AI74" si="23">SUM(Y72:Y73)</f>
        <v>60.199637185609546</v>
      </c>
      <c r="Z74" s="5">
        <f t="shared" si="23"/>
        <v>55.045339610665714</v>
      </c>
      <c r="AA74" s="5">
        <f t="shared" si="23"/>
        <v>49.715587272207955</v>
      </c>
      <c r="AB74" s="5">
        <f t="shared" si="23"/>
        <v>44.204407605867971</v>
      </c>
      <c r="AC74" s="5">
        <f t="shared" si="23"/>
        <v>38.505624738319533</v>
      </c>
      <c r="AD74" s="5">
        <f t="shared" si="23"/>
        <v>32.612852566543971</v>
      </c>
      <c r="AE74" s="5">
        <f t="shared" si="23"/>
        <v>26.519487601510527</v>
      </c>
      <c r="AF74" s="5">
        <f t="shared" si="23"/>
        <v>20.218701568252158</v>
      </c>
      <c r="AG74" s="5">
        <f t="shared" si="23"/>
        <v>13.703433754044379</v>
      </c>
      <c r="AH74" s="5">
        <f t="shared" si="23"/>
        <v>6.9663830961124171</v>
      </c>
      <c r="AI74" s="5">
        <f t="shared" si="23"/>
        <v>0</v>
      </c>
    </row>
    <row r="75" spans="1:35" ht="15" customHeight="1">
      <c r="A75" s="27"/>
      <c r="B75" s="27"/>
      <c r="C75" s="27"/>
      <c r="D75" s="17"/>
      <c r="E75" s="17"/>
      <c r="F75" s="17"/>
      <c r="G75" s="17"/>
      <c r="H75" s="17"/>
      <c r="I75" s="63"/>
      <c r="J75" s="17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</row>
    <row r="76" spans="1:35" ht="15" customHeight="1">
      <c r="B76" s="267" t="s">
        <v>47</v>
      </c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</row>
    <row r="77" spans="1:35" ht="15" customHeight="1"/>
  </sheetData>
  <pageMargins left="0.23622047244094491" right="0.23622047244094491" top="0.74803149606299213" bottom="0.74803149606299213" header="0.31496062992125984" footer="0.31496062992125984"/>
  <pageSetup paperSize="8" scale="43" fitToHeight="0" orientation="landscape" r:id="rId1"/>
  <headerFooter>
    <oddHeader>&amp;C&amp;"Aptos"&amp;10&amp;K000000 OFFICIAL&amp;1#_x000D_</oddHeader>
    <oddFooter>&amp;C_x000D_&amp;1#&amp;"Aptos"&amp;10&amp;K000000 OFFICIAL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6">
    <tabColor theme="7" tint="0.59999389629810485"/>
    <pageSetUpPr fitToPage="1"/>
  </sheetPr>
  <dimension ref="A1:AY60"/>
  <sheetViews>
    <sheetView zoomScaleNormal="100" workbookViewId="0">
      <pane xSplit="10" ySplit="3" topLeftCell="K4" activePane="bottomRight" state="frozen"/>
      <selection pane="topRight" activeCell="G26" sqref="G26"/>
      <selection pane="bottomLeft" activeCell="G26" sqref="G26"/>
      <selection pane="bottomRight" activeCell="B42" activeCellId="1" sqref="B5 B42"/>
    </sheetView>
  </sheetViews>
  <sheetFormatPr defaultColWidth="0" defaultRowHeight="15" customHeight="1" zeroHeight="1"/>
  <cols>
    <col min="1" max="4" width="2.5703125" style="4" customWidth="1"/>
    <col min="5" max="5" width="50.5703125" style="4" customWidth="1"/>
    <col min="6" max="6" width="1.5703125" style="4" customWidth="1"/>
    <col min="7" max="7" width="15.5703125" style="4" customWidth="1"/>
    <col min="8" max="8" width="10.7109375" style="4" customWidth="1"/>
    <col min="9" max="9" width="10.5703125" style="33" customWidth="1"/>
    <col min="10" max="10" width="1.5703125" style="4" customWidth="1"/>
    <col min="11" max="35" width="10.5703125" style="4" customWidth="1"/>
    <col min="36" max="36" width="3.140625" customWidth="1"/>
    <col min="37" max="50" width="10.5703125" hidden="1" customWidth="1"/>
    <col min="51" max="51" width="2.5703125" hidden="1" customWidth="1"/>
    <col min="52" max="16384" width="9.140625" hidden="1"/>
  </cols>
  <sheetData>
    <row r="1" spans="1:35" ht="14.25">
      <c r="A1" s="157" t="s">
        <v>38</v>
      </c>
      <c r="B1" s="12"/>
      <c r="C1" s="12"/>
      <c r="D1" s="12"/>
      <c r="E1" s="12"/>
      <c r="F1" s="12"/>
      <c r="G1" s="12"/>
      <c r="H1" s="12" t="s">
        <v>108</v>
      </c>
      <c r="I1" s="21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2"/>
      <c r="AH1" s="12"/>
      <c r="AI1" s="12"/>
    </row>
    <row r="2" spans="1:35" ht="15" customHeight="1">
      <c r="A2" s="12"/>
      <c r="B2" s="12"/>
      <c r="C2" s="12"/>
      <c r="D2" s="12"/>
      <c r="E2" s="14" t="s">
        <v>109</v>
      </c>
      <c r="F2" s="14"/>
      <c r="G2" s="14" t="s">
        <v>110</v>
      </c>
      <c r="H2" s="14" t="s">
        <v>111</v>
      </c>
      <c r="I2" s="22" t="s">
        <v>112</v>
      </c>
      <c r="J2" s="15"/>
      <c r="K2" s="14" t="s">
        <v>113</v>
      </c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</row>
    <row r="3" spans="1:35" ht="15" customHeight="1">
      <c r="A3" s="12"/>
      <c r="B3" s="12"/>
      <c r="C3" s="12"/>
      <c r="D3" s="12"/>
      <c r="E3" s="15" t="s">
        <v>393</v>
      </c>
      <c r="F3" s="14"/>
      <c r="G3" s="14"/>
      <c r="H3" s="14"/>
      <c r="I3" s="22"/>
      <c r="J3" s="15"/>
      <c r="K3" s="116" t="s">
        <v>142</v>
      </c>
      <c r="L3" s="116" t="s">
        <v>143</v>
      </c>
      <c r="M3" s="116" t="s">
        <v>144</v>
      </c>
      <c r="N3" s="116" t="s">
        <v>145</v>
      </c>
      <c r="O3" s="116" t="s">
        <v>146</v>
      </c>
      <c r="P3" s="116" t="s">
        <v>147</v>
      </c>
      <c r="Q3" s="116" t="s">
        <v>148</v>
      </c>
      <c r="R3" s="116" t="s">
        <v>149</v>
      </c>
      <c r="S3" s="116" t="s">
        <v>150</v>
      </c>
      <c r="T3" s="116" t="s">
        <v>151</v>
      </c>
      <c r="U3" s="116" t="s">
        <v>152</v>
      </c>
      <c r="V3" s="116" t="s">
        <v>153</v>
      </c>
      <c r="W3" s="116" t="s">
        <v>154</v>
      </c>
      <c r="X3" s="116" t="s">
        <v>155</v>
      </c>
      <c r="Y3" s="116" t="s">
        <v>156</v>
      </c>
      <c r="Z3" s="116" t="s">
        <v>157</v>
      </c>
      <c r="AA3" s="116" t="s">
        <v>158</v>
      </c>
      <c r="AB3" s="116" t="s">
        <v>159</v>
      </c>
      <c r="AC3" s="116" t="s">
        <v>160</v>
      </c>
      <c r="AD3" s="116" t="s">
        <v>161</v>
      </c>
      <c r="AE3" s="116" t="s">
        <v>162</v>
      </c>
      <c r="AF3" s="116" t="s">
        <v>163</v>
      </c>
      <c r="AG3" s="116" t="s">
        <v>164</v>
      </c>
      <c r="AH3" s="116" t="s">
        <v>165</v>
      </c>
      <c r="AI3" s="116" t="s">
        <v>166</v>
      </c>
    </row>
    <row r="4" spans="1:35" ht="15" customHeight="1">
      <c r="A4" s="5"/>
      <c r="B4" s="5"/>
      <c r="C4" s="5"/>
      <c r="D4" s="5"/>
      <c r="E4" s="5"/>
      <c r="F4" s="5"/>
      <c r="G4" s="5"/>
      <c r="H4" s="5"/>
      <c r="I4" s="24"/>
      <c r="J4" s="6"/>
      <c r="K4" s="6"/>
      <c r="L4" s="6"/>
      <c r="M4" s="6"/>
      <c r="N4" s="6"/>
      <c r="O4" s="6"/>
      <c r="P4" s="6"/>
      <c r="Q4" s="6"/>
      <c r="R4" s="6"/>
      <c r="S4" s="5"/>
      <c r="T4" s="5"/>
      <c r="U4" s="5"/>
      <c r="V4" s="5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</row>
    <row r="5" spans="1:35" ht="15" customHeight="1">
      <c r="A5"/>
      <c r="B5" s="267" t="s">
        <v>481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35" ht="15" customHeight="1">
      <c r="A6"/>
      <c r="B6" s="17"/>
      <c r="C6" s="17"/>
      <c r="D6" s="17"/>
      <c r="E6" s="17"/>
      <c r="F6" s="17"/>
      <c r="G6" s="17"/>
      <c r="H6" s="5"/>
      <c r="I6" s="17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15" customHeight="1">
      <c r="A7"/>
      <c r="B7" s="5"/>
      <c r="C7" s="84" t="s">
        <v>482</v>
      </c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4"/>
      <c r="AD7" s="84"/>
      <c r="AE7" s="84"/>
      <c r="AF7" s="84"/>
      <c r="AG7" s="84"/>
      <c r="AH7" s="84"/>
      <c r="AI7" s="84"/>
    </row>
    <row r="8" spans="1:35" ht="15" customHeight="1">
      <c r="A8"/>
      <c r="E8" s="17"/>
      <c r="F8" s="17"/>
      <c r="G8" s="17"/>
    </row>
    <row r="9" spans="1:35" ht="15" customHeight="1">
      <c r="A9"/>
      <c r="E9" s="5" t="s">
        <v>424</v>
      </c>
      <c r="F9" s="17"/>
      <c r="G9" s="17" t="s">
        <v>483</v>
      </c>
      <c r="I9" s="4"/>
      <c r="K9" s="42">
        <f>'Allowances Cap'!K34* 'Tax Deductions'!K$12</f>
        <v>30.242890094290097</v>
      </c>
      <c r="L9" s="42">
        <f>'Allowances Cap'!L34* 'Tax Deductions'!L$12</f>
        <v>31.537285790325711</v>
      </c>
      <c r="M9" s="42">
        <f>'Allowances Cap'!M34* 'Tax Deductions'!M$12</f>
        <v>32.887081622151655</v>
      </c>
      <c r="N9" s="42">
        <f>'Allowances Cap'!N34* 'Tax Deductions'!N$12</f>
        <v>34.294648715579747</v>
      </c>
      <c r="O9" s="42">
        <f>'Allowances Cap'!O34* 'Tax Deductions'!O$12</f>
        <v>35.762459680606561</v>
      </c>
      <c r="P9" s="42">
        <f>'Allowances Cap'!P34* 'Tax Deductions'!P$12</f>
        <v>37.293092954936512</v>
      </c>
      <c r="Q9" s="42">
        <f>'Allowances Cap'!Q34* 'Tax Deductions'!Q$12</f>
        <v>38.889237333407799</v>
      </c>
      <c r="R9" s="42">
        <f>'Allowances Cap'!R34* 'Tax Deductions'!R$12</f>
        <v>40.553696691277651</v>
      </c>
      <c r="S9" s="42">
        <f>'Allowances Cap'!S34* 'Tax Deductions'!S$12</f>
        <v>42.289394909664331</v>
      </c>
      <c r="T9" s="42">
        <f>'Allowances Cap'!T34* 'Tax Deductions'!T$12</f>
        <v>44.099381011797959</v>
      </c>
      <c r="U9" s="42">
        <f>'Allowances Cap'!U34* 'Tax Deductions'!U$12</f>
        <v>45.986834519102914</v>
      </c>
      <c r="V9" s="42">
        <f>'Allowances Cap'!V34* 'Tax Deductions'!V$12</f>
        <v>47.955071036520515</v>
      </c>
      <c r="W9" s="42">
        <f>'Allowances Cap'!W34* 'Tax Deductions'!W$12</f>
        <v>50.007548076883594</v>
      </c>
      <c r="X9" s="42">
        <f>'Allowances Cap'!X34* 'Tax Deductions'!X$12</f>
        <v>52.14787113457421</v>
      </c>
      <c r="Y9" s="42">
        <f>'Allowances Cap'!Y34* 'Tax Deductions'!Y$12</f>
        <v>54.379800019133981</v>
      </c>
      <c r="Z9" s="42">
        <f>'Allowances Cap'!Z34* 'Tax Deductions'!Z$12</f>
        <v>56.707255459952911</v>
      </c>
      <c r="AA9" s="42">
        <f>'Allowances Cap'!AA34* 'Tax Deductions'!AA$12</f>
        <v>59.134325993638889</v>
      </c>
      <c r="AB9" s="42">
        <f>'Allowances Cap'!AB34* 'Tax Deductions'!AB$12</f>
        <v>61.665275146166621</v>
      </c>
      <c r="AC9" s="42">
        <f>'Allowances Cap'!AC34* 'Tax Deductions'!AC$12</f>
        <v>64.304548922422541</v>
      </c>
      <c r="AD9" s="42">
        <f>'Allowances Cap'!AD34* 'Tax Deductions'!AD$12</f>
        <v>67.056783616302226</v>
      </c>
      <c r="AE9" s="42">
        <f>'Allowances Cap'!AE34* 'Tax Deductions'!AE$12</f>
        <v>69.926813955079965</v>
      </c>
      <c r="AF9" s="42">
        <f>'Allowances Cap'!AF34* 'Tax Deductions'!AF$12</f>
        <v>72.919681592357378</v>
      </c>
      <c r="AG9" s="42">
        <f>'Allowances Cap'!AG34* 'Tax Deductions'!AG$12</f>
        <v>76.040643964510267</v>
      </c>
      <c r="AH9" s="42">
        <f>'Allowances Cap'!AH34* 'Tax Deductions'!AH$12</f>
        <v>79.295183526191309</v>
      </c>
      <c r="AI9" s="42">
        <f>'Allowances Cap'!AI34* 'Tax Deductions'!AI$12</f>
        <v>82.689017381112293</v>
      </c>
    </row>
    <row r="10" spans="1:35" ht="15" customHeight="1">
      <c r="A10"/>
      <c r="E10" s="5" t="s">
        <v>484</v>
      </c>
      <c r="F10" s="17"/>
      <c r="G10" s="17" t="s">
        <v>483</v>
      </c>
      <c r="K10" s="42">
        <f>-'Tax Deductions'!K20</f>
        <v>-28.408431818463789</v>
      </c>
      <c r="L10" s="42">
        <f>-'Tax Deductions'!L20</f>
        <v>-23.034918763800381</v>
      </c>
      <c r="M10" s="42">
        <f>-'Tax Deductions'!M20</f>
        <v>-24.736056243874756</v>
      </c>
      <c r="N10" s="42">
        <f>-'Tax Deductions'!N20</f>
        <v>-21.902592316955211</v>
      </c>
      <c r="O10" s="42">
        <f>-'Tax Deductions'!O20</f>
        <v>-22.915006285323365</v>
      </c>
      <c r="P10" s="42">
        <f>-'Tax Deductions'!P20</f>
        <v>-23.6822432040865</v>
      </c>
      <c r="Q10" s="42">
        <f>-'Tax Deductions'!Q20</f>
        <v>-23.347815900934897</v>
      </c>
      <c r="R10" s="42">
        <f>-'Tax Deductions'!R20</f>
        <v>-21.480211293593758</v>
      </c>
      <c r="S10" s="42">
        <f>-'Tax Deductions'!S20</f>
        <v>-20.44274561270808</v>
      </c>
      <c r="T10" s="42">
        <f>-'Tax Deductions'!T20</f>
        <v>-24.739902444639856</v>
      </c>
      <c r="U10" s="42">
        <f>-'Tax Deductions'!U20</f>
        <v>-19.292011192165958</v>
      </c>
      <c r="V10" s="42">
        <f>-'Tax Deductions'!V20</f>
        <v>-20.001354405601194</v>
      </c>
      <c r="W10" s="42">
        <f>-'Tax Deductions'!W20</f>
        <v>-18.924296382827876</v>
      </c>
      <c r="X10" s="42">
        <f>-'Tax Deductions'!X20</f>
        <v>-19.195201873096263</v>
      </c>
      <c r="Y10" s="42">
        <f>-'Tax Deductions'!Y20</f>
        <v>-22.423778545163351</v>
      </c>
      <c r="Z10" s="42">
        <f>-'Tax Deductions'!Z20</f>
        <v>-20.048514873166347</v>
      </c>
      <c r="AA10" s="42">
        <f>-'Tax Deductions'!AA20</f>
        <v>-19.02090394556031</v>
      </c>
      <c r="AB10" s="42">
        <f>-'Tax Deductions'!AB20</f>
        <v>-19.587491628722834</v>
      </c>
      <c r="AC10" s="42">
        <f>-'Tax Deductions'!AC20</f>
        <v>-19.034018612026365</v>
      </c>
      <c r="AD10" s="42">
        <f>-'Tax Deductions'!AD20</f>
        <v>-22.007966543645903</v>
      </c>
      <c r="AE10" s="42">
        <f>-'Tax Deductions'!AE20</f>
        <v>-20.957917410022379</v>
      </c>
      <c r="AF10" s="42">
        <f>-'Tax Deductions'!AF20</f>
        <v>-21.402367800431268</v>
      </c>
      <c r="AG10" s="42">
        <f>-'Tax Deductions'!AG20</f>
        <v>-21.002314531820282</v>
      </c>
      <c r="AH10" s="42">
        <f>-'Tax Deductions'!AH20</f>
        <v>-22.419735453936717</v>
      </c>
      <c r="AI10" s="42">
        <f>-'Tax Deductions'!AI20</f>
        <v>-94.822734945751137</v>
      </c>
    </row>
    <row r="11" spans="1:35" ht="15" customHeight="1">
      <c r="A11"/>
      <c r="E11" s="17" t="s">
        <v>482</v>
      </c>
      <c r="F11" s="17"/>
      <c r="G11" s="17" t="s">
        <v>483</v>
      </c>
      <c r="K11" s="92">
        <f t="shared" ref="K11" si="0">SUM(K9:K10)</f>
        <v>1.8344582758263073</v>
      </c>
      <c r="L11" s="92">
        <f t="shared" ref="L11:AI11" si="1">SUM(L9:L10)</f>
        <v>8.5023670265253308</v>
      </c>
      <c r="M11" s="92">
        <f t="shared" si="1"/>
        <v>8.1510253782768984</v>
      </c>
      <c r="N11" s="92">
        <f t="shared" si="1"/>
        <v>12.392056398624536</v>
      </c>
      <c r="O11" s="92">
        <f t="shared" si="1"/>
        <v>12.847453395283196</v>
      </c>
      <c r="P11" s="92">
        <f t="shared" si="1"/>
        <v>13.610849750850011</v>
      </c>
      <c r="Q11" s="92">
        <f t="shared" si="1"/>
        <v>15.541421432472902</v>
      </c>
      <c r="R11" s="92">
        <f t="shared" si="1"/>
        <v>19.073485397683893</v>
      </c>
      <c r="S11" s="92">
        <f t="shared" si="1"/>
        <v>21.846649296956251</v>
      </c>
      <c r="T11" s="92">
        <f t="shared" si="1"/>
        <v>19.359478567158103</v>
      </c>
      <c r="U11" s="92">
        <f t="shared" si="1"/>
        <v>26.694823326936955</v>
      </c>
      <c r="V11" s="92">
        <f t="shared" si="1"/>
        <v>27.95371663091932</v>
      </c>
      <c r="W11" s="92">
        <f t="shared" si="1"/>
        <v>31.083251694055718</v>
      </c>
      <c r="X11" s="92">
        <f t="shared" si="1"/>
        <v>32.952669261477951</v>
      </c>
      <c r="Y11" s="92">
        <f t="shared" si="1"/>
        <v>31.95602147397063</v>
      </c>
      <c r="Z11" s="92">
        <f t="shared" si="1"/>
        <v>36.658740586786564</v>
      </c>
      <c r="AA11" s="92">
        <f t="shared" si="1"/>
        <v>40.113422048078576</v>
      </c>
      <c r="AB11" s="92">
        <f t="shared" si="1"/>
        <v>42.077783517443791</v>
      </c>
      <c r="AC11" s="92">
        <f t="shared" si="1"/>
        <v>45.270530310396175</v>
      </c>
      <c r="AD11" s="92">
        <f t="shared" si="1"/>
        <v>45.04881707265632</v>
      </c>
      <c r="AE11" s="92">
        <f t="shared" si="1"/>
        <v>48.968896545057589</v>
      </c>
      <c r="AF11" s="92">
        <f t="shared" si="1"/>
        <v>51.517313791926114</v>
      </c>
      <c r="AG11" s="92">
        <f t="shared" si="1"/>
        <v>55.038329432689984</v>
      </c>
      <c r="AH11" s="92">
        <f t="shared" si="1"/>
        <v>56.875448072254592</v>
      </c>
      <c r="AI11" s="92">
        <f t="shared" si="1"/>
        <v>-12.133717564638843</v>
      </c>
    </row>
    <row r="12" spans="1:35" ht="15" customHeight="1">
      <c r="A12"/>
      <c r="E12" s="17"/>
      <c r="F12" s="17"/>
      <c r="G12" s="17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</row>
    <row r="13" spans="1:35" ht="15" customHeight="1">
      <c r="A13"/>
      <c r="B13" s="17"/>
      <c r="C13" s="84" t="s">
        <v>485</v>
      </c>
      <c r="D13" s="84"/>
      <c r="E13" s="84"/>
      <c r="F13" s="84"/>
      <c r="G13" s="84"/>
      <c r="H13" s="84"/>
      <c r="I13" s="84"/>
      <c r="J13" s="84"/>
      <c r="K13" s="84"/>
      <c r="L13" s="84"/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  <c r="AB13" s="84"/>
      <c r="AC13" s="84"/>
      <c r="AD13" s="84"/>
      <c r="AE13" s="84"/>
      <c r="AF13" s="84"/>
      <c r="AG13" s="84"/>
      <c r="AH13" s="84"/>
      <c r="AI13" s="84"/>
    </row>
    <row r="14" spans="1:35" ht="15" customHeight="1">
      <c r="A14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1:35" ht="15" customHeight="1">
      <c r="A15"/>
      <c r="B15" s="17"/>
      <c r="C15" s="17"/>
      <c r="D15" s="17"/>
      <c r="E15" s="5" t="s">
        <v>486</v>
      </c>
      <c r="F15" s="17"/>
      <c r="G15" s="17" t="s">
        <v>483</v>
      </c>
      <c r="H15" s="17"/>
      <c r="I15" s="17"/>
      <c r="J15" s="17"/>
      <c r="K15" s="5">
        <f>J18</f>
        <v>0</v>
      </c>
      <c r="L15" s="5">
        <f t="shared" ref="L15:AI15" si="2">K18</f>
        <v>0</v>
      </c>
      <c r="M15" s="5">
        <f t="shared" si="2"/>
        <v>0</v>
      </c>
      <c r="N15" s="5">
        <f t="shared" si="2"/>
        <v>0</v>
      </c>
      <c r="O15" s="5">
        <f t="shared" si="2"/>
        <v>0</v>
      </c>
      <c r="P15" s="5">
        <f t="shared" si="2"/>
        <v>0</v>
      </c>
      <c r="Q15" s="5">
        <f t="shared" si="2"/>
        <v>0</v>
      </c>
      <c r="R15" s="5">
        <f t="shared" si="2"/>
        <v>0</v>
      </c>
      <c r="S15" s="5">
        <f t="shared" si="2"/>
        <v>0</v>
      </c>
      <c r="T15" s="5">
        <f t="shared" si="2"/>
        <v>0</v>
      </c>
      <c r="U15" s="5">
        <f t="shared" si="2"/>
        <v>0</v>
      </c>
      <c r="V15" s="5">
        <f t="shared" si="2"/>
        <v>0</v>
      </c>
      <c r="W15" s="5">
        <f t="shared" si="2"/>
        <v>0</v>
      </c>
      <c r="X15" s="5">
        <f t="shared" si="2"/>
        <v>0</v>
      </c>
      <c r="Y15" s="5">
        <f t="shared" si="2"/>
        <v>0</v>
      </c>
      <c r="Z15" s="5">
        <f t="shared" si="2"/>
        <v>0</v>
      </c>
      <c r="AA15" s="5">
        <f t="shared" si="2"/>
        <v>0</v>
      </c>
      <c r="AB15" s="5">
        <f t="shared" si="2"/>
        <v>0</v>
      </c>
      <c r="AC15" s="5">
        <f t="shared" si="2"/>
        <v>0</v>
      </c>
      <c r="AD15" s="5">
        <f t="shared" si="2"/>
        <v>0</v>
      </c>
      <c r="AE15" s="5">
        <f t="shared" si="2"/>
        <v>0</v>
      </c>
      <c r="AF15" s="5">
        <f t="shared" si="2"/>
        <v>0</v>
      </c>
      <c r="AG15" s="5">
        <f t="shared" si="2"/>
        <v>0</v>
      </c>
      <c r="AH15" s="5">
        <f t="shared" si="2"/>
        <v>0</v>
      </c>
      <c r="AI15" s="5">
        <f t="shared" si="2"/>
        <v>0</v>
      </c>
    </row>
    <row r="16" spans="1:35" ht="15" customHeight="1">
      <c r="A16"/>
      <c r="B16" s="17"/>
      <c r="C16" s="17"/>
      <c r="D16" s="17"/>
      <c r="E16" s="5" t="s">
        <v>487</v>
      </c>
      <c r="F16" s="17"/>
      <c r="G16" s="17" t="s">
        <v>483</v>
      </c>
      <c r="H16" s="17"/>
      <c r="I16" s="17"/>
      <c r="J16" s="17"/>
      <c r="K16" s="5">
        <f t="shared" ref="K16:AI16" si="3">MIN(K11, 0)</f>
        <v>0</v>
      </c>
      <c r="L16" s="5">
        <f t="shared" si="3"/>
        <v>0</v>
      </c>
      <c r="M16" s="5">
        <f t="shared" si="3"/>
        <v>0</v>
      </c>
      <c r="N16" s="5">
        <f t="shared" si="3"/>
        <v>0</v>
      </c>
      <c r="O16" s="5">
        <f t="shared" si="3"/>
        <v>0</v>
      </c>
      <c r="P16" s="5">
        <f t="shared" si="3"/>
        <v>0</v>
      </c>
      <c r="Q16" s="5">
        <f t="shared" si="3"/>
        <v>0</v>
      </c>
      <c r="R16" s="5">
        <f t="shared" si="3"/>
        <v>0</v>
      </c>
      <c r="S16" s="5">
        <f t="shared" si="3"/>
        <v>0</v>
      </c>
      <c r="T16" s="5">
        <f t="shared" si="3"/>
        <v>0</v>
      </c>
      <c r="U16" s="5">
        <f t="shared" si="3"/>
        <v>0</v>
      </c>
      <c r="V16" s="5">
        <f t="shared" si="3"/>
        <v>0</v>
      </c>
      <c r="W16" s="5">
        <f t="shared" si="3"/>
        <v>0</v>
      </c>
      <c r="X16" s="5">
        <f t="shared" si="3"/>
        <v>0</v>
      </c>
      <c r="Y16" s="5">
        <f t="shared" si="3"/>
        <v>0</v>
      </c>
      <c r="Z16" s="5">
        <f t="shared" si="3"/>
        <v>0</v>
      </c>
      <c r="AA16" s="5">
        <f t="shared" si="3"/>
        <v>0</v>
      </c>
      <c r="AB16" s="5">
        <f t="shared" si="3"/>
        <v>0</v>
      </c>
      <c r="AC16" s="5">
        <f t="shared" si="3"/>
        <v>0</v>
      </c>
      <c r="AD16" s="5">
        <f t="shared" si="3"/>
        <v>0</v>
      </c>
      <c r="AE16" s="5">
        <f t="shared" si="3"/>
        <v>0</v>
      </c>
      <c r="AF16" s="5">
        <f t="shared" si="3"/>
        <v>0</v>
      </c>
      <c r="AG16" s="5">
        <f t="shared" si="3"/>
        <v>0</v>
      </c>
      <c r="AH16" s="5">
        <f t="shared" si="3"/>
        <v>0</v>
      </c>
      <c r="AI16" s="5">
        <f t="shared" si="3"/>
        <v>-12.133717564638843</v>
      </c>
    </row>
    <row r="17" spans="1:35" ht="15" customHeight="1">
      <c r="A17"/>
      <c r="B17" s="17"/>
      <c r="C17" s="17"/>
      <c r="D17" s="17"/>
      <c r="E17" s="17" t="s">
        <v>488</v>
      </c>
      <c r="F17" s="17"/>
      <c r="G17" s="17" t="s">
        <v>483</v>
      </c>
      <c r="H17" s="17"/>
      <c r="I17" s="17"/>
      <c r="J17" s="17"/>
      <c r="K17" s="5">
        <f t="shared" ref="K17:AI17" si="4">IF(K11 &gt;= 0, MIN(K11, -K15), 0)</f>
        <v>0</v>
      </c>
      <c r="L17" s="5">
        <f t="shared" si="4"/>
        <v>0</v>
      </c>
      <c r="M17" s="5">
        <f t="shared" si="4"/>
        <v>0</v>
      </c>
      <c r="N17" s="5">
        <f t="shared" si="4"/>
        <v>0</v>
      </c>
      <c r="O17" s="5">
        <f t="shared" si="4"/>
        <v>0</v>
      </c>
      <c r="P17" s="5">
        <f t="shared" si="4"/>
        <v>0</v>
      </c>
      <c r="Q17" s="5">
        <f t="shared" si="4"/>
        <v>0</v>
      </c>
      <c r="R17" s="5">
        <f t="shared" si="4"/>
        <v>0</v>
      </c>
      <c r="S17" s="5">
        <f t="shared" si="4"/>
        <v>0</v>
      </c>
      <c r="T17" s="5">
        <f t="shared" si="4"/>
        <v>0</v>
      </c>
      <c r="U17" s="5">
        <f t="shared" si="4"/>
        <v>0</v>
      </c>
      <c r="V17" s="5">
        <f t="shared" si="4"/>
        <v>0</v>
      </c>
      <c r="W17" s="5">
        <f t="shared" si="4"/>
        <v>0</v>
      </c>
      <c r="X17" s="5">
        <f t="shared" si="4"/>
        <v>0</v>
      </c>
      <c r="Y17" s="5">
        <f t="shared" si="4"/>
        <v>0</v>
      </c>
      <c r="Z17" s="5">
        <f t="shared" si="4"/>
        <v>0</v>
      </c>
      <c r="AA17" s="5">
        <f t="shared" si="4"/>
        <v>0</v>
      </c>
      <c r="AB17" s="5">
        <f t="shared" si="4"/>
        <v>0</v>
      </c>
      <c r="AC17" s="5">
        <f t="shared" si="4"/>
        <v>0</v>
      </c>
      <c r="AD17" s="5">
        <f t="shared" si="4"/>
        <v>0</v>
      </c>
      <c r="AE17" s="5">
        <f t="shared" si="4"/>
        <v>0</v>
      </c>
      <c r="AF17" s="5">
        <f t="shared" si="4"/>
        <v>0</v>
      </c>
      <c r="AG17" s="5">
        <f t="shared" si="4"/>
        <v>0</v>
      </c>
      <c r="AH17" s="5">
        <f t="shared" si="4"/>
        <v>0</v>
      </c>
      <c r="AI17" s="5">
        <f t="shared" si="4"/>
        <v>0</v>
      </c>
    </row>
    <row r="18" spans="1:35" ht="15" customHeight="1">
      <c r="A18"/>
      <c r="B18" s="17"/>
      <c r="C18" s="17"/>
      <c r="D18" s="17"/>
      <c r="E18" s="5" t="s">
        <v>489</v>
      </c>
      <c r="F18" s="17"/>
      <c r="G18" s="17" t="s">
        <v>483</v>
      </c>
      <c r="H18" s="17"/>
      <c r="I18" s="17"/>
      <c r="J18" s="17"/>
      <c r="K18" s="59">
        <f t="shared" ref="K18" si="5">SUM(K15:K17)</f>
        <v>0</v>
      </c>
      <c r="L18" s="59">
        <f t="shared" ref="L18:AI18" si="6">SUM(L15:L17)</f>
        <v>0</v>
      </c>
      <c r="M18" s="59">
        <f t="shared" si="6"/>
        <v>0</v>
      </c>
      <c r="N18" s="59">
        <f t="shared" si="6"/>
        <v>0</v>
      </c>
      <c r="O18" s="59">
        <f t="shared" si="6"/>
        <v>0</v>
      </c>
      <c r="P18" s="59">
        <f t="shared" si="6"/>
        <v>0</v>
      </c>
      <c r="Q18" s="59">
        <f t="shared" si="6"/>
        <v>0</v>
      </c>
      <c r="R18" s="59">
        <f t="shared" si="6"/>
        <v>0</v>
      </c>
      <c r="S18" s="59">
        <f t="shared" si="6"/>
        <v>0</v>
      </c>
      <c r="T18" s="59">
        <f t="shared" si="6"/>
        <v>0</v>
      </c>
      <c r="U18" s="59">
        <f t="shared" si="6"/>
        <v>0</v>
      </c>
      <c r="V18" s="59">
        <f t="shared" si="6"/>
        <v>0</v>
      </c>
      <c r="W18" s="59">
        <f t="shared" si="6"/>
        <v>0</v>
      </c>
      <c r="X18" s="59">
        <f t="shared" si="6"/>
        <v>0</v>
      </c>
      <c r="Y18" s="59">
        <f t="shared" si="6"/>
        <v>0</v>
      </c>
      <c r="Z18" s="59">
        <f t="shared" si="6"/>
        <v>0</v>
      </c>
      <c r="AA18" s="59">
        <f t="shared" si="6"/>
        <v>0</v>
      </c>
      <c r="AB18" s="59">
        <f t="shared" si="6"/>
        <v>0</v>
      </c>
      <c r="AC18" s="59">
        <f t="shared" si="6"/>
        <v>0</v>
      </c>
      <c r="AD18" s="59">
        <f t="shared" si="6"/>
        <v>0</v>
      </c>
      <c r="AE18" s="59">
        <f t="shared" si="6"/>
        <v>0</v>
      </c>
      <c r="AF18" s="59">
        <f t="shared" si="6"/>
        <v>0</v>
      </c>
      <c r="AG18" s="59">
        <f t="shared" si="6"/>
        <v>0</v>
      </c>
      <c r="AH18" s="59">
        <f t="shared" si="6"/>
        <v>0</v>
      </c>
      <c r="AI18" s="59">
        <f t="shared" si="6"/>
        <v>-12.133717564638843</v>
      </c>
    </row>
    <row r="19" spans="1:35" ht="15" customHeight="1">
      <c r="A19"/>
      <c r="B19" s="17"/>
      <c r="C19" s="17"/>
      <c r="D19" s="17"/>
      <c r="E19" s="17"/>
      <c r="F19" s="17"/>
      <c r="G19" s="17"/>
      <c r="H19" s="17"/>
      <c r="I19" s="17"/>
      <c r="J19" s="17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</row>
    <row r="20" spans="1:35" ht="15" customHeight="1">
      <c r="A20"/>
      <c r="B20" s="17"/>
      <c r="C20" s="84" t="s">
        <v>490</v>
      </c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4"/>
      <c r="AD20" s="84"/>
      <c r="AE20" s="84"/>
      <c r="AF20" s="84"/>
      <c r="AG20" s="84"/>
      <c r="AH20" s="84"/>
      <c r="AI20" s="84"/>
    </row>
    <row r="21" spans="1:35" ht="15" customHeight="1">
      <c r="A21"/>
      <c r="B21" s="5"/>
      <c r="C21" s="5"/>
      <c r="D21" s="5"/>
      <c r="E21" s="5"/>
      <c r="F21" s="5"/>
      <c r="G21" s="5"/>
      <c r="H21" s="5"/>
      <c r="I21" s="5"/>
      <c r="J21" s="7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</row>
    <row r="22" spans="1:35" ht="15" customHeight="1">
      <c r="A22"/>
      <c r="B22" s="5"/>
      <c r="C22" s="5"/>
      <c r="D22" s="5"/>
      <c r="E22" s="17" t="s">
        <v>491</v>
      </c>
      <c r="F22" s="17"/>
      <c r="G22" s="17" t="s">
        <v>483</v>
      </c>
      <c r="H22" s="5"/>
      <c r="I22" s="5"/>
      <c r="J22" s="7"/>
      <c r="K22" s="5">
        <f t="shared" ref="K22:W22" si="7">MAX(K11 - K17,0)</f>
        <v>1.8344582758263073</v>
      </c>
      <c r="L22" s="5">
        <f t="shared" si="7"/>
        <v>8.5023670265253308</v>
      </c>
      <c r="M22" s="5">
        <f t="shared" si="7"/>
        <v>8.1510253782768984</v>
      </c>
      <c r="N22" s="5">
        <f t="shared" si="7"/>
        <v>12.392056398624536</v>
      </c>
      <c r="O22" s="5">
        <f t="shared" si="7"/>
        <v>12.847453395283196</v>
      </c>
      <c r="P22" s="5">
        <f t="shared" si="7"/>
        <v>13.610849750850011</v>
      </c>
      <c r="Q22" s="5">
        <f t="shared" si="7"/>
        <v>15.541421432472902</v>
      </c>
      <c r="R22" s="5">
        <f t="shared" si="7"/>
        <v>19.073485397683893</v>
      </c>
      <c r="S22" s="5">
        <f t="shared" si="7"/>
        <v>21.846649296956251</v>
      </c>
      <c r="T22" s="5">
        <f t="shared" si="7"/>
        <v>19.359478567158103</v>
      </c>
      <c r="U22" s="5">
        <f t="shared" si="7"/>
        <v>26.694823326936955</v>
      </c>
      <c r="V22" s="5">
        <f t="shared" si="7"/>
        <v>27.95371663091932</v>
      </c>
      <c r="W22" s="5">
        <f t="shared" si="7"/>
        <v>31.083251694055718</v>
      </c>
      <c r="X22" s="5">
        <f>MAX(X11 - X17,0)</f>
        <v>32.952669261477951</v>
      </c>
      <c r="Y22" s="5">
        <f t="shared" ref="Y22:AI22" si="8">MAX(Y11 - Y17,0)</f>
        <v>31.95602147397063</v>
      </c>
      <c r="Z22" s="5">
        <f t="shared" si="8"/>
        <v>36.658740586786564</v>
      </c>
      <c r="AA22" s="5">
        <f t="shared" si="8"/>
        <v>40.113422048078576</v>
      </c>
      <c r="AB22" s="5">
        <f t="shared" si="8"/>
        <v>42.077783517443791</v>
      </c>
      <c r="AC22" s="5">
        <f t="shared" si="8"/>
        <v>45.270530310396175</v>
      </c>
      <c r="AD22" s="5">
        <f t="shared" si="8"/>
        <v>45.04881707265632</v>
      </c>
      <c r="AE22" s="5">
        <f t="shared" si="8"/>
        <v>48.968896545057589</v>
      </c>
      <c r="AF22" s="5">
        <f t="shared" si="8"/>
        <v>51.517313791926114</v>
      </c>
      <c r="AG22" s="5">
        <f t="shared" si="8"/>
        <v>55.038329432689984</v>
      </c>
      <c r="AH22" s="5">
        <f t="shared" si="8"/>
        <v>56.875448072254592</v>
      </c>
      <c r="AI22" s="5">
        <f t="shared" si="8"/>
        <v>0</v>
      </c>
    </row>
    <row r="23" spans="1:35" ht="15" customHeight="1">
      <c r="A23"/>
      <c r="B23" s="5"/>
      <c r="C23" s="5"/>
      <c r="D23" s="5"/>
      <c r="E23" s="93" t="s">
        <v>276</v>
      </c>
      <c r="F23" s="17"/>
      <c r="G23" s="93" t="str">
        <f>Inputs!G189</f>
        <v>%</v>
      </c>
      <c r="H23" s="5"/>
      <c r="I23" s="5"/>
      <c r="J23" s="7"/>
      <c r="K23" s="87">
        <f>Inputs!K189</f>
        <v>0.25</v>
      </c>
      <c r="L23" s="87">
        <f>Inputs!L189</f>
        <v>0.25</v>
      </c>
      <c r="M23" s="87">
        <f>Inputs!M189</f>
        <v>0.25</v>
      </c>
      <c r="N23" s="87">
        <f>Inputs!N189</f>
        <v>0.25</v>
      </c>
      <c r="O23" s="87">
        <f>Inputs!O189</f>
        <v>0.25</v>
      </c>
      <c r="P23" s="87">
        <f>Inputs!P189</f>
        <v>0.25</v>
      </c>
      <c r="Q23" s="87">
        <f>Inputs!Q189</f>
        <v>0.25</v>
      </c>
      <c r="R23" s="87">
        <f>Inputs!R189</f>
        <v>0.25</v>
      </c>
      <c r="S23" s="87">
        <f>Inputs!S189</f>
        <v>0.25</v>
      </c>
      <c r="T23" s="87">
        <f>Inputs!T189</f>
        <v>0.25</v>
      </c>
      <c r="U23" s="87">
        <f>Inputs!U189</f>
        <v>0.25</v>
      </c>
      <c r="V23" s="87">
        <f>Inputs!V189</f>
        <v>0.25</v>
      </c>
      <c r="W23" s="87">
        <f>Inputs!W189</f>
        <v>0.25</v>
      </c>
      <c r="X23" s="87">
        <f>Inputs!X189</f>
        <v>0.25</v>
      </c>
      <c r="Y23" s="87">
        <f>Inputs!Y189</f>
        <v>0.25</v>
      </c>
      <c r="Z23" s="87">
        <f>Inputs!Z189</f>
        <v>0.25</v>
      </c>
      <c r="AA23" s="87">
        <f>Inputs!AA189</f>
        <v>0.25</v>
      </c>
      <c r="AB23" s="87">
        <f>Inputs!AB189</f>
        <v>0.25</v>
      </c>
      <c r="AC23" s="87">
        <f>Inputs!AC189</f>
        <v>0.25</v>
      </c>
      <c r="AD23" s="87">
        <f>Inputs!AD189</f>
        <v>0.25</v>
      </c>
      <c r="AE23" s="87">
        <f>Inputs!AE189</f>
        <v>0.25</v>
      </c>
      <c r="AF23" s="87">
        <f>Inputs!AF189</f>
        <v>0.25</v>
      </c>
      <c r="AG23" s="87">
        <f>Inputs!AG189</f>
        <v>0.25</v>
      </c>
      <c r="AH23" s="87">
        <f>Inputs!AH189</f>
        <v>0.25</v>
      </c>
      <c r="AI23" s="87">
        <f>Inputs!AI189</f>
        <v>0.25</v>
      </c>
    </row>
    <row r="24" spans="1:35" ht="15" customHeight="1">
      <c r="A24"/>
      <c r="B24" s="17"/>
      <c r="C24" s="17"/>
      <c r="D24" s="17"/>
      <c r="E24" s="17" t="s">
        <v>492</v>
      </c>
      <c r="F24" s="17"/>
      <c r="G24" s="17" t="s">
        <v>483</v>
      </c>
      <c r="H24" s="17"/>
      <c r="I24" s="17"/>
      <c r="J24" s="17"/>
      <c r="K24" s="91">
        <f t="shared" ref="K24:W24" si="9">K22 * K23</f>
        <v>0.45861456895657682</v>
      </c>
      <c r="L24" s="91">
        <f t="shared" si="9"/>
        <v>2.1255917566313327</v>
      </c>
      <c r="M24" s="91">
        <f t="shared" si="9"/>
        <v>2.0377563445692246</v>
      </c>
      <c r="N24" s="91">
        <f t="shared" si="9"/>
        <v>3.0980140996561341</v>
      </c>
      <c r="O24" s="91">
        <f t="shared" si="9"/>
        <v>3.211863348820799</v>
      </c>
      <c r="P24" s="91">
        <f t="shared" si="9"/>
        <v>3.4027124377125029</v>
      </c>
      <c r="Q24" s="91">
        <f t="shared" si="9"/>
        <v>3.8853553581182254</v>
      </c>
      <c r="R24" s="91">
        <f t="shared" si="9"/>
        <v>4.7683713494209732</v>
      </c>
      <c r="S24" s="91">
        <f t="shared" si="9"/>
        <v>5.4616623242390627</v>
      </c>
      <c r="T24" s="91">
        <f t="shared" si="9"/>
        <v>4.8398696417895257</v>
      </c>
      <c r="U24" s="91">
        <f t="shared" si="9"/>
        <v>6.6737058317342388</v>
      </c>
      <c r="V24" s="91">
        <f t="shared" si="9"/>
        <v>6.9884291577298301</v>
      </c>
      <c r="W24" s="91">
        <f t="shared" si="9"/>
        <v>7.7708129235139296</v>
      </c>
      <c r="X24" s="91">
        <f>X22 * X23</f>
        <v>8.2381673153694877</v>
      </c>
      <c r="Y24" s="91">
        <f t="shared" ref="Y24:AI24" si="10">Y22 * Y23</f>
        <v>7.9890053684926574</v>
      </c>
      <c r="Z24" s="91">
        <f t="shared" si="10"/>
        <v>9.164685146696641</v>
      </c>
      <c r="AA24" s="91">
        <f t="shared" si="10"/>
        <v>10.028355512019644</v>
      </c>
      <c r="AB24" s="91">
        <f t="shared" si="10"/>
        <v>10.519445879360948</v>
      </c>
      <c r="AC24" s="91">
        <f t="shared" si="10"/>
        <v>11.317632577599044</v>
      </c>
      <c r="AD24" s="91">
        <f t="shared" si="10"/>
        <v>11.26220426816408</v>
      </c>
      <c r="AE24" s="91">
        <f t="shared" si="10"/>
        <v>12.242224136264397</v>
      </c>
      <c r="AF24" s="91">
        <f t="shared" si="10"/>
        <v>12.879328447981528</v>
      </c>
      <c r="AG24" s="91">
        <f t="shared" si="10"/>
        <v>13.759582358172496</v>
      </c>
      <c r="AH24" s="91">
        <f t="shared" si="10"/>
        <v>14.218862018063648</v>
      </c>
      <c r="AI24" s="91">
        <f t="shared" si="10"/>
        <v>0</v>
      </c>
    </row>
    <row r="25" spans="1:35" ht="15" customHeight="1">
      <c r="A25"/>
      <c r="B25" s="17"/>
      <c r="C25" s="17"/>
      <c r="D25" s="17"/>
      <c r="E25" s="17"/>
      <c r="F25" s="17"/>
      <c r="G25" s="17"/>
      <c r="H25" s="17"/>
      <c r="I25" s="17"/>
      <c r="J25" s="17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</row>
    <row r="26" spans="1:35" ht="15" customHeight="1">
      <c r="A26"/>
      <c r="B26" s="17"/>
      <c r="C26" s="17"/>
      <c r="D26" s="17"/>
      <c r="E26" s="5" t="s">
        <v>493</v>
      </c>
      <c r="F26" s="17"/>
      <c r="G26" s="5" t="s">
        <v>274</v>
      </c>
      <c r="H26" s="17"/>
      <c r="I26" s="17"/>
      <c r="J26" s="17"/>
      <c r="K26" s="94">
        <f t="shared" ref="K26:W26" si="11">1 / (1 - K23)</f>
        <v>1.3333333333333333</v>
      </c>
      <c r="L26" s="94">
        <f t="shared" si="11"/>
        <v>1.3333333333333333</v>
      </c>
      <c r="M26" s="94">
        <f t="shared" si="11"/>
        <v>1.3333333333333333</v>
      </c>
      <c r="N26" s="94">
        <f t="shared" si="11"/>
        <v>1.3333333333333333</v>
      </c>
      <c r="O26" s="94">
        <f t="shared" si="11"/>
        <v>1.3333333333333333</v>
      </c>
      <c r="P26" s="94">
        <f t="shared" si="11"/>
        <v>1.3333333333333333</v>
      </c>
      <c r="Q26" s="94">
        <f t="shared" si="11"/>
        <v>1.3333333333333333</v>
      </c>
      <c r="R26" s="94">
        <f t="shared" si="11"/>
        <v>1.3333333333333333</v>
      </c>
      <c r="S26" s="94">
        <f t="shared" si="11"/>
        <v>1.3333333333333333</v>
      </c>
      <c r="T26" s="94">
        <f t="shared" si="11"/>
        <v>1.3333333333333333</v>
      </c>
      <c r="U26" s="94">
        <f t="shared" si="11"/>
        <v>1.3333333333333333</v>
      </c>
      <c r="V26" s="94">
        <f t="shared" si="11"/>
        <v>1.3333333333333333</v>
      </c>
      <c r="W26" s="94">
        <f t="shared" si="11"/>
        <v>1.3333333333333333</v>
      </c>
      <c r="X26" s="94">
        <f>1 / (1 - X23)</f>
        <v>1.3333333333333333</v>
      </c>
      <c r="Y26" s="94">
        <f t="shared" ref="Y26:AI26" si="12">1 / (1 - Y23)</f>
        <v>1.3333333333333333</v>
      </c>
      <c r="Z26" s="94">
        <f t="shared" si="12"/>
        <v>1.3333333333333333</v>
      </c>
      <c r="AA26" s="94">
        <f t="shared" si="12"/>
        <v>1.3333333333333333</v>
      </c>
      <c r="AB26" s="94">
        <f t="shared" si="12"/>
        <v>1.3333333333333333</v>
      </c>
      <c r="AC26" s="94">
        <f t="shared" si="12"/>
        <v>1.3333333333333333</v>
      </c>
      <c r="AD26" s="94">
        <f t="shared" si="12"/>
        <v>1.3333333333333333</v>
      </c>
      <c r="AE26" s="94">
        <f t="shared" si="12"/>
        <v>1.3333333333333333</v>
      </c>
      <c r="AF26" s="94">
        <f t="shared" si="12"/>
        <v>1.3333333333333333</v>
      </c>
      <c r="AG26" s="94">
        <f t="shared" si="12"/>
        <v>1.3333333333333333</v>
      </c>
      <c r="AH26" s="94">
        <f t="shared" si="12"/>
        <v>1.3333333333333333</v>
      </c>
      <c r="AI26" s="94">
        <f t="shared" si="12"/>
        <v>1.3333333333333333</v>
      </c>
    </row>
    <row r="27" spans="1:35" ht="15" customHeight="1">
      <c r="A27"/>
      <c r="B27" s="17"/>
      <c r="C27" s="17"/>
      <c r="D27" s="17"/>
      <c r="E27" s="17"/>
      <c r="F27" s="17"/>
      <c r="G27" s="17"/>
      <c r="H27" s="17"/>
      <c r="I27" s="17"/>
      <c r="J27" s="17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</row>
    <row r="28" spans="1:35" ht="15" customHeight="1">
      <c r="A28"/>
      <c r="B28" s="17"/>
      <c r="C28" s="17"/>
      <c r="D28" s="17"/>
      <c r="E28" s="5" t="s">
        <v>481</v>
      </c>
      <c r="F28" s="17"/>
      <c r="G28" s="17" t="s">
        <v>483</v>
      </c>
      <c r="H28" s="17"/>
      <c r="I28" s="17"/>
      <c r="J28" s="17"/>
      <c r="K28" s="252">
        <f t="shared" ref="K28:W28" si="13">K24 * K26</f>
        <v>0.61148609194210235</v>
      </c>
      <c r="L28" s="252">
        <f t="shared" si="13"/>
        <v>2.8341223421751103</v>
      </c>
      <c r="M28" s="252">
        <f t="shared" si="13"/>
        <v>2.7170084594256325</v>
      </c>
      <c r="N28" s="252">
        <f t="shared" si="13"/>
        <v>4.1306854662081784</v>
      </c>
      <c r="O28" s="252">
        <f t="shared" si="13"/>
        <v>4.2824844650943987</v>
      </c>
      <c r="P28" s="252">
        <f t="shared" si="13"/>
        <v>4.5369499169500038</v>
      </c>
      <c r="Q28" s="252">
        <f t="shared" si="13"/>
        <v>5.1804738108243003</v>
      </c>
      <c r="R28" s="252">
        <f t="shared" si="13"/>
        <v>6.3578284658946309</v>
      </c>
      <c r="S28" s="252">
        <f t="shared" si="13"/>
        <v>7.2822164323187497</v>
      </c>
      <c r="T28" s="252">
        <f t="shared" si="13"/>
        <v>6.4531595223860343</v>
      </c>
      <c r="U28" s="252">
        <f t="shared" si="13"/>
        <v>8.8982744423123172</v>
      </c>
      <c r="V28" s="252">
        <f t="shared" si="13"/>
        <v>9.3179055436397729</v>
      </c>
      <c r="W28" s="252">
        <f t="shared" si="13"/>
        <v>10.361083898018572</v>
      </c>
      <c r="X28" s="252">
        <f>X24 * X26</f>
        <v>10.984223087159316</v>
      </c>
      <c r="Y28" s="252">
        <f>Y24 * Y26</f>
        <v>10.652007157990209</v>
      </c>
      <c r="Z28" s="252">
        <f t="shared" ref="Z28:AI28" si="14">Z24 * Z26</f>
        <v>12.219580195595521</v>
      </c>
      <c r="AA28" s="252">
        <f t="shared" si="14"/>
        <v>13.371140682692857</v>
      </c>
      <c r="AB28" s="252">
        <f t="shared" si="14"/>
        <v>14.025927839147929</v>
      </c>
      <c r="AC28" s="252">
        <f t="shared" si="14"/>
        <v>15.090176770132057</v>
      </c>
      <c r="AD28" s="252">
        <f t="shared" si="14"/>
        <v>15.016272357552106</v>
      </c>
      <c r="AE28" s="252">
        <f t="shared" si="14"/>
        <v>16.322965515019195</v>
      </c>
      <c r="AF28" s="252">
        <f t="shared" si="14"/>
        <v>17.172437930642037</v>
      </c>
      <c r="AG28" s="252">
        <f t="shared" si="14"/>
        <v>18.34610981089666</v>
      </c>
      <c r="AH28" s="252">
        <f t="shared" si="14"/>
        <v>18.958482690751531</v>
      </c>
      <c r="AI28" s="252">
        <f t="shared" si="14"/>
        <v>0</v>
      </c>
    </row>
    <row r="29" spans="1:35" ht="15" customHeight="1">
      <c r="A29"/>
      <c r="B29" s="5"/>
      <c r="C29" s="5"/>
      <c r="D29" s="5"/>
      <c r="E29" s="5"/>
      <c r="F29" s="5"/>
      <c r="G29" s="5"/>
      <c r="H29" s="5"/>
      <c r="I29" s="24"/>
      <c r="J29" s="6"/>
      <c r="K29" s="6"/>
      <c r="L29" s="6"/>
      <c r="M29" s="6"/>
      <c r="N29" s="6"/>
      <c r="O29" s="6"/>
      <c r="P29" s="6"/>
      <c r="Q29" s="6"/>
      <c r="R29" s="6"/>
      <c r="S29" s="5"/>
      <c r="T29" s="5"/>
      <c r="U29" s="5"/>
      <c r="V29" s="5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</row>
    <row r="30" spans="1:35" ht="15" customHeight="1">
      <c r="A30"/>
      <c r="B30" s="267" t="s">
        <v>494</v>
      </c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</row>
    <row r="31" spans="1:35" ht="15" customHeight="1">
      <c r="A31"/>
      <c r="B31" s="5"/>
      <c r="C31" s="5"/>
      <c r="D31" s="5"/>
      <c r="E31" s="17"/>
      <c r="F31" s="17"/>
      <c r="G31" s="17"/>
      <c r="H31" s="17"/>
      <c r="I31" s="17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</row>
    <row r="32" spans="1:35" ht="15" customHeight="1">
      <c r="A32"/>
      <c r="B32" s="5"/>
      <c r="C32" s="5"/>
      <c r="D32" s="5"/>
      <c r="E32" s="28" t="s">
        <v>481</v>
      </c>
      <c r="F32" s="17"/>
      <c r="G32" s="5" t="str">
        <f>Inputs!$I$11</f>
        <v>£m 2020 prices</v>
      </c>
      <c r="H32" s="17"/>
      <c r="I32" s="17"/>
      <c r="J32" s="28"/>
      <c r="K32" s="5">
        <f>'Tax Cap'!K28 / 'Tax Deductions'!K12</f>
        <v>0.55459198871879312</v>
      </c>
      <c r="L32" s="5">
        <f>'Tax Cap'!L28 / 'Tax Deductions'!L12</f>
        <v>2.46492993687627</v>
      </c>
      <c r="M32" s="5">
        <f>'Tax Cap'!M28 / 'Tax Deductions'!M12</f>
        <v>2.2660837357301089</v>
      </c>
      <c r="N32" s="5">
        <f>'Tax Cap'!N28 / 'Tax Deductions'!N12</f>
        <v>3.3037415645595107</v>
      </c>
      <c r="O32" s="5">
        <f>'Tax Cap'!O28 / 'Tax Deductions'!O12</f>
        <v>3.2845714558694401</v>
      </c>
      <c r="P32" s="5">
        <f>'Tax Cap'!P28 / 'Tax Deductions'!P12</f>
        <v>3.3369206600508297</v>
      </c>
      <c r="Q32" s="5">
        <f>'Tax Cap'!Q28 / 'Tax Deductions'!Q12</f>
        <v>3.653846981591077</v>
      </c>
      <c r="R32" s="5">
        <f>'Tax Cap'!R28 / 'Tax Deductions'!R12</f>
        <v>4.3002000228196637</v>
      </c>
      <c r="S32" s="5">
        <f>'Tax Cap'!S28 / 'Tax Deductions'!S12</f>
        <v>4.7232660661386996</v>
      </c>
      <c r="T32" s="5">
        <f>'Tax Cap'!T28 / 'Tax Deductions'!T12</f>
        <v>4.0137489660988601</v>
      </c>
      <c r="U32" s="5">
        <f>'Tax Cap'!U28 / 'Tax Deductions'!U12</f>
        <v>5.307409279201897</v>
      </c>
      <c r="V32" s="5">
        <f>'Tax Cap'!V28 / 'Tax Deductions'!V12</f>
        <v>5.3295932382464262</v>
      </c>
      <c r="W32" s="5">
        <f>'Tax Cap'!W28 / 'Tax Deductions'!W12</f>
        <v>5.6830297375211929</v>
      </c>
      <c r="X32" s="5">
        <f>'Tax Cap'!X28 / 'Tax Deductions'!X12</f>
        <v>5.7775413237501372</v>
      </c>
      <c r="Y32" s="5">
        <f>'Tax Cap'!Y28 / 'Tax Deductions'!Y12</f>
        <v>5.3728429083115925</v>
      </c>
      <c r="Z32" s="5">
        <f>'Tax Cap'!Z28 / 'Tax Deductions'!Z12</f>
        <v>5.9105508312941675</v>
      </c>
      <c r="AA32" s="5">
        <f>'Tax Cap'!AA28 / 'Tax Deductions'!AA12</f>
        <v>6.2021048851783558</v>
      </c>
      <c r="AB32" s="5">
        <f>'Tax Cap'!AB28 / 'Tax Deductions'!AB12</f>
        <v>6.2388023334675964</v>
      </c>
      <c r="AC32" s="5">
        <f>'Tax Cap'!AC28 / 'Tax Deductions'!AC12</f>
        <v>6.4366949955402522</v>
      </c>
      <c r="AD32" s="5">
        <f>'Tax Cap'!AD28 / 'Tax Deductions'!AD12</f>
        <v>6.1422815169189589</v>
      </c>
      <c r="AE32" s="5">
        <f>'Tax Cap'!AE28 / 'Tax Deductions'!AE12</f>
        <v>6.402736385275527</v>
      </c>
      <c r="AF32" s="5">
        <f>'Tax Cap'!AF28 / 'Tax Deductions'!AF12</f>
        <v>6.4594790055014526</v>
      </c>
      <c r="AG32" s="5">
        <f>'Tax Cap'!AG28 / 'Tax Deductions'!AG12</f>
        <v>6.617721736454075</v>
      </c>
      <c r="AH32" s="5">
        <f>'Tax Cap'!AH28 / 'Tax Deductions'!AH12</f>
        <v>6.5579343861660178</v>
      </c>
      <c r="AI32" s="5">
        <f>'Tax Cap'!AI28 / 'Tax Deductions'!AI12</f>
        <v>0</v>
      </c>
    </row>
    <row r="33" spans="1:35" ht="15" customHeight="1">
      <c r="A33"/>
      <c r="B33" s="5"/>
      <c r="C33" s="5"/>
      <c r="D33" s="5"/>
      <c r="E33" s="5" t="s">
        <v>419</v>
      </c>
      <c r="F33" s="17"/>
      <c r="G33" s="5" t="str">
        <f>'Allowances Cap'!G24</f>
        <v>scalar</v>
      </c>
      <c r="H33" s="17"/>
      <c r="I33" s="17"/>
      <c r="J33" s="28"/>
      <c r="K33" s="98">
        <f>'Allowances Cap'!K24</f>
        <v>0.92506938020351526</v>
      </c>
      <c r="L33" s="98">
        <f>'Allowances Cap'!L24</f>
        <v>0.85575335819011589</v>
      </c>
      <c r="M33" s="98">
        <f>'Allowances Cap'!M24</f>
        <v>0.79163122866800739</v>
      </c>
      <c r="N33" s="98">
        <f>'Allowances Cap'!N24</f>
        <v>0.73231381005366081</v>
      </c>
      <c r="O33" s="98">
        <f>'Allowances Cap'!O24</f>
        <v>0.67744108238081491</v>
      </c>
      <c r="P33" s="98">
        <f>'Allowances Cap'!P24</f>
        <v>0.62668000220241893</v>
      </c>
      <c r="Q33" s="98">
        <f>'Allowances Cap'!Q24</f>
        <v>0.57972248122332926</v>
      </c>
      <c r="R33" s="98">
        <f>'Allowances Cap'!R24</f>
        <v>0.53628351639530925</v>
      </c>
      <c r="S33" s="98">
        <f>'Allowances Cap'!S24</f>
        <v>0.49609946012517048</v>
      </c>
      <c r="T33" s="98">
        <f>'Allowances Cap'!T24</f>
        <v>0.45892642009728996</v>
      </c>
      <c r="U33" s="98">
        <f>'Allowances Cap'!U24</f>
        <v>0.42453877899841808</v>
      </c>
      <c r="V33" s="98">
        <f>'Allowances Cap'!V24</f>
        <v>0.39272782516042376</v>
      </c>
      <c r="W33" s="98">
        <f>'Allowances Cap'!W24</f>
        <v>0.36330048580982777</v>
      </c>
      <c r="X33" s="98">
        <f>'Allowances Cap'!X24</f>
        <v>0.33607815523573337</v>
      </c>
      <c r="Y33" s="98">
        <f>'Allowances Cap'!Y24</f>
        <v>0.31089561076386063</v>
      </c>
      <c r="Z33" s="98">
        <f>'Allowances Cap'!Z24</f>
        <v>0.28760000995731788</v>
      </c>
      <c r="AA33" s="98">
        <f>'Allowances Cap'!AA24</f>
        <v>0.26604996295774092</v>
      </c>
      <c r="AB33" s="98">
        <f>'Allowances Cap'!AB24</f>
        <v>0.24611467433648557</v>
      </c>
      <c r="AC33" s="98">
        <f>'Allowances Cap'!AC24</f>
        <v>0.22767314924744272</v>
      </c>
      <c r="AD33" s="98">
        <f>'Allowances Cap'!AD24</f>
        <v>0.21061345906331425</v>
      </c>
      <c r="AE33" s="98">
        <f>'Allowances Cap'!AE24</f>
        <v>0.19483206203821857</v>
      </c>
      <c r="AF33" s="98">
        <f>'Allowances Cap'!AF24</f>
        <v>0.18023317487346768</v>
      </c>
      <c r="AG33" s="98">
        <f>'Allowances Cap'!AG24</f>
        <v>0.16672819137231054</v>
      </c>
      <c r="AH33" s="98">
        <f>'Allowances Cap'!AH24</f>
        <v>0.15423514465523638</v>
      </c>
      <c r="AI33" s="98">
        <f>'Allowances Cap'!AI24</f>
        <v>0.14267820967181905</v>
      </c>
    </row>
    <row r="34" spans="1:35" ht="15" customHeight="1">
      <c r="A34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</row>
    <row r="35" spans="1:35" ht="15" customHeight="1">
      <c r="A35"/>
      <c r="B35" s="5"/>
      <c r="C35" s="5"/>
      <c r="D35" s="5"/>
      <c r="E35" s="17" t="s">
        <v>495</v>
      </c>
      <c r="F35" s="17"/>
      <c r="G35" s="5" t="str">
        <f>Inputs!$I$11</f>
        <v>£m 2020 prices</v>
      </c>
      <c r="H35" s="17"/>
      <c r="I35" s="17"/>
      <c r="J35" s="28"/>
      <c r="K35" s="252">
        <f t="shared" ref="K35:W35" si="15">K32 * K33</f>
        <v>0.5130360672699289</v>
      </c>
      <c r="L35" s="252">
        <f t="shared" si="15"/>
        <v>2.1093720711852186</v>
      </c>
      <c r="M35" s="252">
        <f t="shared" si="15"/>
        <v>1.7939026519806143</v>
      </c>
      <c r="N35" s="252">
        <f t="shared" si="15"/>
        <v>2.4193755725752175</v>
      </c>
      <c r="O35" s="252">
        <f t="shared" si="15"/>
        <v>2.2251036422213226</v>
      </c>
      <c r="P35" s="252">
        <f t="shared" si="15"/>
        <v>2.091181446589951</v>
      </c>
      <c r="Q35" s="252">
        <f t="shared" si="15"/>
        <v>2.1182172381783513</v>
      </c>
      <c r="R35" s="252">
        <f t="shared" si="15"/>
        <v>2.3061263894409185</v>
      </c>
      <c r="S35" s="252">
        <f t="shared" si="15"/>
        <v>2.3432097454389464</v>
      </c>
      <c r="T35" s="252">
        <f t="shared" si="15"/>
        <v>1.8420154441809486</v>
      </c>
      <c r="U35" s="252">
        <f t="shared" si="15"/>
        <v>2.2532010550372474</v>
      </c>
      <c r="V35" s="252">
        <f t="shared" si="15"/>
        <v>2.0930795614462192</v>
      </c>
      <c r="W35" s="252">
        <f t="shared" si="15"/>
        <v>2.0646474645131474</v>
      </c>
      <c r="X35" s="252">
        <f>X32 * X33</f>
        <v>1.9417054298841629</v>
      </c>
      <c r="Y35" s="252">
        <f t="shared" ref="Y35:AI35" si="16">Y32 * Y33</f>
        <v>1.6703932775178099</v>
      </c>
      <c r="Z35" s="252">
        <f t="shared" si="16"/>
        <v>1.699874477933436</v>
      </c>
      <c r="AA35" s="252">
        <f t="shared" si="16"/>
        <v>1.6500697749617255</v>
      </c>
      <c r="AB35" s="252">
        <f t="shared" si="16"/>
        <v>1.5354608045510838</v>
      </c>
      <c r="AC35" s="252">
        <f t="shared" si="16"/>
        <v>1.4654626203799035</v>
      </c>
      <c r="AD35" s="252">
        <f t="shared" si="16"/>
        <v>1.2936471568189629</v>
      </c>
      <c r="AE35" s="252">
        <f t="shared" si="16"/>
        <v>1.2474583326303608</v>
      </c>
      <c r="AF35" s="252">
        <f t="shared" si="16"/>
        <v>1.1642124091900363</v>
      </c>
      <c r="AG35" s="252">
        <f t="shared" si="16"/>
        <v>1.1033607761242143</v>
      </c>
      <c r="AH35" s="252">
        <f t="shared" si="16"/>
        <v>1.0114639586898646</v>
      </c>
      <c r="AI35" s="252">
        <f t="shared" si="16"/>
        <v>0</v>
      </c>
    </row>
    <row r="36" spans="1:35" ht="15" customHeight="1">
      <c r="A36"/>
      <c r="B36" s="5"/>
      <c r="C36" s="5"/>
      <c r="D36" s="5"/>
      <c r="E36" s="17" t="s">
        <v>496</v>
      </c>
      <c r="F36" s="17"/>
      <c r="G36" s="5" t="str">
        <f>Inputs!$I$11</f>
        <v>£m 2020 prices</v>
      </c>
      <c r="H36" s="17"/>
      <c r="I36" s="255">
        <f>SUM(K35:AI35)</f>
        <v>41.95557736873959</v>
      </c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</row>
    <row r="37" spans="1:35" ht="15" customHeight="1">
      <c r="A37"/>
      <c r="B37" s="5"/>
      <c r="C37" s="5"/>
      <c r="D37" s="5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</row>
    <row r="38" spans="1:35" ht="15" customHeight="1">
      <c r="A38"/>
      <c r="B38" s="5"/>
      <c r="C38" s="5"/>
      <c r="D38" s="5"/>
      <c r="E38" s="58" t="s">
        <v>417</v>
      </c>
      <c r="F38" s="17"/>
      <c r="G38" s="58" t="str">
        <f>'Allowances Cap'!G31</f>
        <v>scalar</v>
      </c>
      <c r="H38" s="17"/>
      <c r="I38" s="95">
        <f>'Allowances Cap'!I31</f>
        <v>9.4480276733656082E-2</v>
      </c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</row>
    <row r="39" spans="1:35" ht="15" customHeight="1">
      <c r="A39"/>
      <c r="B39" s="5"/>
      <c r="C39" s="5"/>
      <c r="D39" s="5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</row>
    <row r="40" spans="1:35" ht="15" customHeight="1">
      <c r="A40"/>
      <c r="B40" s="5"/>
      <c r="C40" s="5"/>
      <c r="D40" s="5"/>
      <c r="E40" s="17" t="s">
        <v>497</v>
      </c>
      <c r="F40" s="17"/>
      <c r="G40" s="5" t="str">
        <f>Inputs!$I$11</f>
        <v>£m 2020 prices</v>
      </c>
      <c r="H40" s="17"/>
      <c r="I40" s="256">
        <f>I36 * I38</f>
        <v>3.9639745603188348</v>
      </c>
      <c r="J40" s="28"/>
      <c r="K40" s="28"/>
      <c r="L40" s="17"/>
      <c r="M40" s="17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</row>
    <row r="41" spans="1:35" ht="15" customHeight="1">
      <c r="A41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</row>
    <row r="42" spans="1:35" ht="15" customHeight="1">
      <c r="A42"/>
      <c r="B42" s="267" t="s">
        <v>47</v>
      </c>
      <c r="C42" s="11"/>
      <c r="D42" s="11"/>
      <c r="E42" s="11"/>
      <c r="F42" s="11"/>
      <c r="G42" s="11"/>
      <c r="H42" s="11"/>
      <c r="I42" s="25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</row>
    <row r="43" spans="1:35" ht="1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</row>
    <row r="44" spans="1:35" ht="15" hidden="1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</row>
    <row r="45" spans="1:35" ht="15" hidden="1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</row>
    <row r="46" spans="1:35" ht="15" hidden="1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</row>
    <row r="47" spans="1:35" ht="15" hidden="1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</row>
    <row r="48" spans="1:35" ht="15" hidden="1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</row>
    <row r="49" spans="1:35" ht="15" hidden="1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</row>
    <row r="50" spans="1:35" ht="15" hidden="1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</row>
    <row r="51" spans="1:35" ht="15" hidden="1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</row>
    <row r="52" spans="1:35" ht="15" hidden="1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</row>
    <row r="53" spans="1:35" ht="15" hidden="1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</row>
    <row r="54" spans="1:35" ht="15" hidden="1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</row>
    <row r="55" spans="1:35" ht="15" hidden="1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</row>
    <row r="56" spans="1:35" ht="15" hidden="1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</row>
    <row r="57" spans="1:35" ht="15" hidden="1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</row>
    <row r="58" spans="1:35" ht="15" hidden="1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</row>
    <row r="59" spans="1:35" ht="15" hidden="1" customHeight="1">
      <c r="E59" s="17"/>
      <c r="F59" s="17"/>
      <c r="G59" s="5"/>
      <c r="H59" s="17"/>
      <c r="I59" s="96"/>
    </row>
    <row r="60" spans="1:35" ht="15" hidden="1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</row>
  </sheetData>
  <pageMargins left="0.23622047244094491" right="0.23622047244094491" top="0.74803149606299213" bottom="0.74803149606299213" header="0.31496062992125984" footer="0.31496062992125984"/>
  <pageSetup paperSize="8" scale="43" fitToHeight="0" orientation="landscape" r:id="rId1"/>
  <headerFooter>
    <oddHeader>&amp;C&amp;"Aptos"&amp;10&amp;K000000 OFFICIAL&amp;1#_x000D_</oddHeader>
    <oddFooter>&amp;C_x000D_&amp;1#&amp;"Aptos"&amp;10&amp;K000000 OFFICIAL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5">
    <tabColor theme="7" tint="0.59999389629810485"/>
    <pageSetUpPr fitToPage="1"/>
  </sheetPr>
  <dimension ref="A1:AY97"/>
  <sheetViews>
    <sheetView zoomScaleNormal="100" workbookViewId="0">
      <pane xSplit="10" ySplit="3" topLeftCell="K4" activePane="bottomRight" state="frozen"/>
      <selection pane="topRight" activeCell="G26" sqref="G26"/>
      <selection pane="bottomLeft" activeCell="G26" sqref="G26"/>
      <selection pane="bottomRight" activeCell="B79" activeCellId="2" sqref="B5 B42 B79"/>
    </sheetView>
  </sheetViews>
  <sheetFormatPr defaultColWidth="0" defaultRowHeight="15" customHeight="1" zeroHeight="1"/>
  <cols>
    <col min="1" max="4" width="2.5703125" style="4" customWidth="1"/>
    <col min="5" max="5" width="50.5703125" style="4" customWidth="1"/>
    <col min="6" max="6" width="1.5703125" style="4" customWidth="1"/>
    <col min="7" max="7" width="15.5703125" style="4" customWidth="1"/>
    <col min="8" max="8" width="10.7109375" style="4" customWidth="1"/>
    <col min="9" max="9" width="10.5703125" style="33" customWidth="1"/>
    <col min="10" max="10" width="1.5703125" style="4" customWidth="1"/>
    <col min="11" max="35" width="10.5703125" style="4" customWidth="1"/>
    <col min="36" max="36" width="3.140625" customWidth="1"/>
    <col min="37" max="50" width="10.5703125" hidden="1" customWidth="1"/>
    <col min="51" max="51" width="2.5703125" hidden="1" customWidth="1"/>
    <col min="52" max="16384" width="9.140625" hidden="1"/>
  </cols>
  <sheetData>
    <row r="1" spans="1:35" ht="14.25">
      <c r="A1" s="157" t="s">
        <v>40</v>
      </c>
      <c r="B1" s="12"/>
      <c r="C1" s="12"/>
      <c r="D1" s="12"/>
      <c r="E1" s="12"/>
      <c r="F1" s="12"/>
      <c r="G1" s="12"/>
      <c r="H1" s="12" t="s">
        <v>108</v>
      </c>
      <c r="I1" s="21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2"/>
      <c r="AH1" s="12"/>
      <c r="AI1" s="12"/>
    </row>
    <row r="2" spans="1:35" ht="15" customHeight="1">
      <c r="A2" s="12"/>
      <c r="B2" s="12"/>
      <c r="C2" s="12"/>
      <c r="D2" s="12"/>
      <c r="E2" s="14" t="s">
        <v>109</v>
      </c>
      <c r="F2" s="14"/>
      <c r="G2" s="14" t="s">
        <v>110</v>
      </c>
      <c r="H2" s="14" t="s">
        <v>111</v>
      </c>
      <c r="I2" s="22" t="s">
        <v>112</v>
      </c>
      <c r="J2" s="15"/>
      <c r="K2" s="14" t="s">
        <v>113</v>
      </c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</row>
    <row r="3" spans="1:35" ht="15" customHeight="1">
      <c r="A3" s="12"/>
      <c r="B3" s="12"/>
      <c r="C3" s="12"/>
      <c r="D3" s="12"/>
      <c r="E3" s="15" t="s">
        <v>393</v>
      </c>
      <c r="F3" s="14"/>
      <c r="G3" s="14"/>
      <c r="H3" s="14"/>
      <c r="I3" s="22"/>
      <c r="J3" s="15"/>
      <c r="K3" s="116" t="s">
        <v>142</v>
      </c>
      <c r="L3" s="116" t="s">
        <v>143</v>
      </c>
      <c r="M3" s="116" t="s">
        <v>144</v>
      </c>
      <c r="N3" s="116" t="s">
        <v>145</v>
      </c>
      <c r="O3" s="116" t="s">
        <v>146</v>
      </c>
      <c r="P3" s="116" t="s">
        <v>147</v>
      </c>
      <c r="Q3" s="116" t="s">
        <v>148</v>
      </c>
      <c r="R3" s="116" t="s">
        <v>149</v>
      </c>
      <c r="S3" s="116" t="s">
        <v>150</v>
      </c>
      <c r="T3" s="116" t="s">
        <v>151</v>
      </c>
      <c r="U3" s="116" t="s">
        <v>152</v>
      </c>
      <c r="V3" s="116" t="s">
        <v>153</v>
      </c>
      <c r="W3" s="116" t="s">
        <v>154</v>
      </c>
      <c r="X3" s="116" t="s">
        <v>155</v>
      </c>
      <c r="Y3" s="116" t="s">
        <v>156</v>
      </c>
      <c r="Z3" s="116" t="s">
        <v>157</v>
      </c>
      <c r="AA3" s="116" t="s">
        <v>158</v>
      </c>
      <c r="AB3" s="116" t="s">
        <v>159</v>
      </c>
      <c r="AC3" s="116" t="s">
        <v>160</v>
      </c>
      <c r="AD3" s="116" t="s">
        <v>161</v>
      </c>
      <c r="AE3" s="116" t="s">
        <v>162</v>
      </c>
      <c r="AF3" s="116" t="s">
        <v>163</v>
      </c>
      <c r="AG3" s="116" t="s">
        <v>164</v>
      </c>
      <c r="AH3" s="116" t="s">
        <v>165</v>
      </c>
      <c r="AI3" s="116" t="s">
        <v>166</v>
      </c>
    </row>
    <row r="4" spans="1:35" ht="15" customHeight="1">
      <c r="A4" s="5"/>
      <c r="B4" s="5"/>
      <c r="C4" s="5"/>
      <c r="D4" s="5"/>
      <c r="E4" s="5"/>
      <c r="F4" s="5"/>
      <c r="G4" s="5"/>
      <c r="H4" s="5"/>
      <c r="I4" s="24"/>
      <c r="J4" s="6"/>
      <c r="K4" s="6"/>
      <c r="L4" s="6"/>
      <c r="M4" s="6"/>
      <c r="N4" s="6"/>
      <c r="O4" s="6"/>
      <c r="P4" s="6"/>
      <c r="Q4" s="6"/>
      <c r="R4" s="6"/>
      <c r="S4" s="5"/>
      <c r="T4" s="5"/>
      <c r="U4" s="5"/>
      <c r="V4" s="5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</row>
    <row r="5" spans="1:35" ht="15" customHeight="1">
      <c r="A5"/>
      <c r="B5" s="267" t="s">
        <v>498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35" ht="15" customHeight="1">
      <c r="A6"/>
      <c r="B6" s="17"/>
      <c r="C6" s="17"/>
      <c r="D6" s="17"/>
      <c r="E6" s="17"/>
      <c r="F6" s="17"/>
      <c r="G6" s="17"/>
      <c r="H6" s="5"/>
      <c r="I6" s="17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15" customHeight="1">
      <c r="A7"/>
      <c r="B7" s="5"/>
      <c r="C7" s="84" t="s">
        <v>482</v>
      </c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4"/>
      <c r="AD7" s="84"/>
      <c r="AE7" s="84"/>
      <c r="AF7" s="84"/>
      <c r="AG7" s="84"/>
      <c r="AH7" s="84"/>
      <c r="AI7" s="84"/>
    </row>
    <row r="8" spans="1:35" ht="15" customHeight="1">
      <c r="A8"/>
    </row>
    <row r="9" spans="1:35" ht="15" customHeight="1">
      <c r="A9"/>
      <c r="E9" s="5" t="s">
        <v>433</v>
      </c>
      <c r="G9" s="4" t="s">
        <v>483</v>
      </c>
      <c r="I9" s="4"/>
      <c r="K9" s="42">
        <f>'Allowances Floor'!K34* 'Tax Deductions'!K$12</f>
        <v>16.771411679692378</v>
      </c>
      <c r="L9" s="42">
        <f>'Allowances Floor'!L34* 'Tax Deductions'!L$12</f>
        <v>17.489228099583212</v>
      </c>
      <c r="M9" s="42">
        <f>'Allowances Floor'!M34* 'Tax Deductions'!M$12</f>
        <v>18.237767062245371</v>
      </c>
      <c r="N9" s="42">
        <f>'Allowances Floor'!N34* 'Tax Deductions'!N$12</f>
        <v>19.018343492509477</v>
      </c>
      <c r="O9" s="42">
        <f>'Allowances Floor'!O34* 'Tax Deductions'!O$12</f>
        <v>19.83232859398888</v>
      </c>
      <c r="P9" s="42">
        <f>'Allowances Floor'!P34* 'Tax Deductions'!P$12</f>
        <v>20.6811522578116</v>
      </c>
      <c r="Q9" s="42">
        <f>'Allowances Floor'!Q34* 'Tax Deductions'!Q$12</f>
        <v>21.566305574445938</v>
      </c>
      <c r="R9" s="42">
        <f>'Allowances Floor'!R34* 'Tax Deductions'!R$12</f>
        <v>22.489343453032223</v>
      </c>
      <c r="S9" s="42">
        <f>'Allowances Floor'!S34* 'Tax Deductions'!S$12</f>
        <v>23.451887352822002</v>
      </c>
      <c r="T9" s="42">
        <f>'Allowances Floor'!T34* 'Tax Deductions'!T$12</f>
        <v>24.455628131522783</v>
      </c>
      <c r="U9" s="42">
        <f>'Allowances Floor'!U34* 'Tax Deductions'!U$12</f>
        <v>25.502329015551958</v>
      </c>
      <c r="V9" s="42">
        <f>'Allowances Floor'!V34* 'Tax Deductions'!V$12</f>
        <v>26.593828697417582</v>
      </c>
      <c r="W9" s="42">
        <f>'Allowances Floor'!W34* 'Tax Deductions'!W$12</f>
        <v>27.732044565667049</v>
      </c>
      <c r="X9" s="42">
        <f>'Allowances Floor'!X34* 'Tax Deductions'!X$12</f>
        <v>28.918976073077598</v>
      </c>
      <c r="Y9" s="42">
        <f>'Allowances Floor'!Y34* 'Tax Deductions'!Y$12</f>
        <v>30.15670824900532</v>
      </c>
      <c r="Z9" s="42">
        <f>'Allowances Floor'!Z34* 'Tax Deductions'!Z$12</f>
        <v>31.447415362062742</v>
      </c>
      <c r="AA9" s="42">
        <f>'Allowances Floor'!AA34* 'Tax Deductions'!AA$12</f>
        <v>32.793364739559024</v>
      </c>
      <c r="AB9" s="42">
        <f>'Allowances Floor'!AB34* 'Tax Deductions'!AB$12</f>
        <v>34.196920750412147</v>
      </c>
      <c r="AC9" s="42">
        <f>'Allowances Floor'!AC34* 'Tax Deductions'!AC$12</f>
        <v>35.66054895852978</v>
      </c>
      <c r="AD9" s="42">
        <f>'Allowances Floor'!AD34* 'Tax Deductions'!AD$12</f>
        <v>37.186820453954859</v>
      </c>
      <c r="AE9" s="42">
        <f>'Allowances Floor'!AE34* 'Tax Deductions'!AE$12</f>
        <v>38.778416369384118</v>
      </c>
      <c r="AF9" s="42">
        <f>'Allowances Floor'!AF34* 'Tax Deductions'!AF$12</f>
        <v>40.438132589993764</v>
      </c>
      <c r="AG9" s="42">
        <f>'Allowances Floor'!AG34* 'Tax Deductions'!AG$12</f>
        <v>42.168884664845493</v>
      </c>
      <c r="AH9" s="42">
        <f>'Allowances Floor'!AH34* 'Tax Deductions'!AH$12</f>
        <v>43.973712928500873</v>
      </c>
      <c r="AI9" s="42">
        <f>'Allowances Floor'!AI34* 'Tax Deductions'!AI$12</f>
        <v>45.855787841840709</v>
      </c>
    </row>
    <row r="10" spans="1:35" ht="15" customHeight="1">
      <c r="A10"/>
      <c r="E10" s="5" t="s">
        <v>484</v>
      </c>
      <c r="F10" s="17"/>
      <c r="G10" s="17" t="s">
        <v>483</v>
      </c>
      <c r="K10" s="42">
        <f>-'Tax Deductions'!K20</f>
        <v>-28.408431818463789</v>
      </c>
      <c r="L10" s="42">
        <f>-'Tax Deductions'!L20</f>
        <v>-23.034918763800381</v>
      </c>
      <c r="M10" s="42">
        <f>-'Tax Deductions'!M20</f>
        <v>-24.736056243874756</v>
      </c>
      <c r="N10" s="42">
        <f>-'Tax Deductions'!N20</f>
        <v>-21.902592316955211</v>
      </c>
      <c r="O10" s="42">
        <f>-'Tax Deductions'!O20</f>
        <v>-22.915006285323365</v>
      </c>
      <c r="P10" s="42">
        <f>-'Tax Deductions'!P20</f>
        <v>-23.6822432040865</v>
      </c>
      <c r="Q10" s="42">
        <f>-'Tax Deductions'!Q20</f>
        <v>-23.347815900934897</v>
      </c>
      <c r="R10" s="42">
        <f>-'Tax Deductions'!R20</f>
        <v>-21.480211293593758</v>
      </c>
      <c r="S10" s="42">
        <f>-'Tax Deductions'!S20</f>
        <v>-20.44274561270808</v>
      </c>
      <c r="T10" s="42">
        <f>-'Tax Deductions'!T20</f>
        <v>-24.739902444639856</v>
      </c>
      <c r="U10" s="42">
        <f>-'Tax Deductions'!U20</f>
        <v>-19.292011192165958</v>
      </c>
      <c r="V10" s="42">
        <f>-'Tax Deductions'!V20</f>
        <v>-20.001354405601194</v>
      </c>
      <c r="W10" s="42">
        <f>-'Tax Deductions'!W20</f>
        <v>-18.924296382827876</v>
      </c>
      <c r="X10" s="42">
        <f>-'Tax Deductions'!X20</f>
        <v>-19.195201873096263</v>
      </c>
      <c r="Y10" s="42">
        <f>-'Tax Deductions'!Y20</f>
        <v>-22.423778545163351</v>
      </c>
      <c r="Z10" s="42">
        <f>-'Tax Deductions'!Z20</f>
        <v>-20.048514873166347</v>
      </c>
      <c r="AA10" s="42">
        <f>-'Tax Deductions'!AA20</f>
        <v>-19.02090394556031</v>
      </c>
      <c r="AB10" s="42">
        <f>-'Tax Deductions'!AB20</f>
        <v>-19.587491628722834</v>
      </c>
      <c r="AC10" s="42">
        <f>-'Tax Deductions'!AC20</f>
        <v>-19.034018612026365</v>
      </c>
      <c r="AD10" s="42">
        <f>-'Tax Deductions'!AD20</f>
        <v>-22.007966543645903</v>
      </c>
      <c r="AE10" s="42">
        <f>-'Tax Deductions'!AE20</f>
        <v>-20.957917410022379</v>
      </c>
      <c r="AF10" s="42">
        <f>-'Tax Deductions'!AF20</f>
        <v>-21.402367800431268</v>
      </c>
      <c r="AG10" s="42">
        <f>-'Tax Deductions'!AG20</f>
        <v>-21.002314531820282</v>
      </c>
      <c r="AH10" s="42">
        <f>-'Tax Deductions'!AH20</f>
        <v>-22.419735453936717</v>
      </c>
      <c r="AI10" s="42">
        <f>-'Tax Deductions'!AI20</f>
        <v>-94.822734945751137</v>
      </c>
    </row>
    <row r="11" spans="1:35" ht="15" customHeight="1">
      <c r="A11"/>
      <c r="E11" s="4" t="s">
        <v>482</v>
      </c>
      <c r="G11" s="4" t="s">
        <v>483</v>
      </c>
      <c r="K11" s="92">
        <f t="shared" ref="K11" si="0">SUM(K9:K10)</f>
        <v>-11.637020138771412</v>
      </c>
      <c r="L11" s="92">
        <f t="shared" ref="L11:AI11" si="1">SUM(L9:L10)</f>
        <v>-5.5456906642171688</v>
      </c>
      <c r="M11" s="92">
        <f t="shared" si="1"/>
        <v>-6.4982891816293851</v>
      </c>
      <c r="N11" s="92">
        <f t="shared" si="1"/>
        <v>-2.8842488244457343</v>
      </c>
      <c r="O11" s="92">
        <f t="shared" si="1"/>
        <v>-3.0826776913344851</v>
      </c>
      <c r="P11" s="92">
        <f t="shared" si="1"/>
        <v>-3.0010909462748998</v>
      </c>
      <c r="Q11" s="92">
        <f t="shared" si="1"/>
        <v>-1.7815103264889594</v>
      </c>
      <c r="R11" s="92">
        <f t="shared" si="1"/>
        <v>1.0091321594384652</v>
      </c>
      <c r="S11" s="92">
        <f t="shared" si="1"/>
        <v>3.0091417401139218</v>
      </c>
      <c r="T11" s="92">
        <f t="shared" si="1"/>
        <v>-0.28427431311707352</v>
      </c>
      <c r="U11" s="92">
        <f t="shared" si="1"/>
        <v>6.2103178233859992</v>
      </c>
      <c r="V11" s="92">
        <f t="shared" si="1"/>
        <v>6.5924742918163872</v>
      </c>
      <c r="W11" s="92">
        <f t="shared" si="1"/>
        <v>8.8077481828391733</v>
      </c>
      <c r="X11" s="92">
        <f t="shared" si="1"/>
        <v>9.7237741999813352</v>
      </c>
      <c r="Y11" s="92">
        <f t="shared" si="1"/>
        <v>7.7329297038419682</v>
      </c>
      <c r="Z11" s="92">
        <f t="shared" si="1"/>
        <v>11.398900488896395</v>
      </c>
      <c r="AA11" s="92">
        <f t="shared" si="1"/>
        <v>13.772460793998714</v>
      </c>
      <c r="AB11" s="92">
        <f t="shared" si="1"/>
        <v>14.609429121689313</v>
      </c>
      <c r="AC11" s="92">
        <f t="shared" si="1"/>
        <v>16.626530346503415</v>
      </c>
      <c r="AD11" s="92">
        <f t="shared" si="1"/>
        <v>15.178853910308955</v>
      </c>
      <c r="AE11" s="92">
        <f t="shared" si="1"/>
        <v>17.820498959361739</v>
      </c>
      <c r="AF11" s="92">
        <f t="shared" si="1"/>
        <v>19.035764789562496</v>
      </c>
      <c r="AG11" s="92">
        <f t="shared" si="1"/>
        <v>21.166570133025211</v>
      </c>
      <c r="AH11" s="92">
        <f t="shared" si="1"/>
        <v>21.553977474564157</v>
      </c>
      <c r="AI11" s="92">
        <f t="shared" si="1"/>
        <v>-48.966947103910428</v>
      </c>
    </row>
    <row r="12" spans="1:35" ht="15" customHeight="1">
      <c r="A12"/>
    </row>
    <row r="13" spans="1:35" ht="15" customHeight="1">
      <c r="A13"/>
      <c r="B13" s="17"/>
      <c r="C13" s="84" t="s">
        <v>485</v>
      </c>
      <c r="D13" s="84"/>
      <c r="E13" s="84"/>
      <c r="F13" s="84"/>
      <c r="G13" s="84"/>
      <c r="H13" s="84"/>
      <c r="I13" s="84"/>
      <c r="J13" s="84"/>
      <c r="K13" s="84"/>
      <c r="L13" s="84"/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  <c r="AB13" s="84"/>
      <c r="AC13" s="84"/>
      <c r="AD13" s="84"/>
      <c r="AE13" s="84"/>
      <c r="AF13" s="84"/>
      <c r="AG13" s="84"/>
      <c r="AH13" s="84"/>
      <c r="AI13" s="84"/>
    </row>
    <row r="14" spans="1:35" ht="15" customHeight="1">
      <c r="A14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1:35" ht="15" customHeight="1">
      <c r="A15"/>
      <c r="B15" s="17"/>
      <c r="C15" s="17"/>
      <c r="D15" s="17"/>
      <c r="E15" s="5" t="s">
        <v>486</v>
      </c>
      <c r="F15" s="17"/>
      <c r="G15" s="4" t="s">
        <v>483</v>
      </c>
      <c r="H15" s="17"/>
      <c r="I15" s="17"/>
      <c r="J15" s="17"/>
      <c r="K15" s="5">
        <f>J18</f>
        <v>0</v>
      </c>
      <c r="L15" s="5">
        <f t="shared" ref="L15:AI15" si="2">K18</f>
        <v>-11.637020138771412</v>
      </c>
      <c r="M15" s="5">
        <f t="shared" si="2"/>
        <v>-17.182710802988581</v>
      </c>
      <c r="N15" s="5">
        <f t="shared" si="2"/>
        <v>-23.680999984617966</v>
      </c>
      <c r="O15" s="5">
        <f t="shared" si="2"/>
        <v>-26.5652488090637</v>
      </c>
      <c r="P15" s="5">
        <f t="shared" si="2"/>
        <v>-29.647926500398185</v>
      </c>
      <c r="Q15" s="5">
        <f t="shared" si="2"/>
        <v>-32.649017446673085</v>
      </c>
      <c r="R15" s="5">
        <f t="shared" si="2"/>
        <v>-34.430527773162041</v>
      </c>
      <c r="S15" s="5">
        <f t="shared" si="2"/>
        <v>-33.421395613723575</v>
      </c>
      <c r="T15" s="5">
        <f t="shared" si="2"/>
        <v>-30.412253873609654</v>
      </c>
      <c r="U15" s="5">
        <f t="shared" si="2"/>
        <v>-30.696528186726727</v>
      </c>
      <c r="V15" s="5">
        <f t="shared" si="2"/>
        <v>-24.486210363340728</v>
      </c>
      <c r="W15" s="5">
        <f t="shared" si="2"/>
        <v>-17.893736071524341</v>
      </c>
      <c r="X15" s="5">
        <f t="shared" si="2"/>
        <v>-9.0859878886851675</v>
      </c>
      <c r="Y15" s="5">
        <f t="shared" si="2"/>
        <v>0</v>
      </c>
      <c r="Z15" s="5">
        <f t="shared" si="2"/>
        <v>0</v>
      </c>
      <c r="AA15" s="5">
        <f t="shared" si="2"/>
        <v>0</v>
      </c>
      <c r="AB15" s="5">
        <f t="shared" si="2"/>
        <v>0</v>
      </c>
      <c r="AC15" s="5">
        <f t="shared" si="2"/>
        <v>0</v>
      </c>
      <c r="AD15" s="5">
        <f t="shared" si="2"/>
        <v>0</v>
      </c>
      <c r="AE15" s="5">
        <f t="shared" si="2"/>
        <v>0</v>
      </c>
      <c r="AF15" s="5">
        <f t="shared" si="2"/>
        <v>0</v>
      </c>
      <c r="AG15" s="5">
        <f t="shared" si="2"/>
        <v>0</v>
      </c>
      <c r="AH15" s="5">
        <f t="shared" si="2"/>
        <v>0</v>
      </c>
      <c r="AI15" s="5">
        <f t="shared" si="2"/>
        <v>0</v>
      </c>
    </row>
    <row r="16" spans="1:35" ht="15" customHeight="1">
      <c r="A16"/>
      <c r="B16" s="17"/>
      <c r="C16" s="17"/>
      <c r="D16" s="17"/>
      <c r="E16" s="5" t="s">
        <v>487</v>
      </c>
      <c r="F16" s="17"/>
      <c r="G16" s="4" t="s">
        <v>483</v>
      </c>
      <c r="H16" s="17"/>
      <c r="I16" s="17"/>
      <c r="J16" s="17"/>
      <c r="K16" s="5">
        <f t="shared" ref="K16:AI16" si="3">MIN(K11, 0)</f>
        <v>-11.637020138771412</v>
      </c>
      <c r="L16" s="5">
        <f t="shared" si="3"/>
        <v>-5.5456906642171688</v>
      </c>
      <c r="M16" s="5">
        <f t="shared" si="3"/>
        <v>-6.4982891816293851</v>
      </c>
      <c r="N16" s="5">
        <f t="shared" si="3"/>
        <v>-2.8842488244457343</v>
      </c>
      <c r="O16" s="5">
        <f t="shared" si="3"/>
        <v>-3.0826776913344851</v>
      </c>
      <c r="P16" s="5">
        <f t="shared" si="3"/>
        <v>-3.0010909462748998</v>
      </c>
      <c r="Q16" s="5">
        <f t="shared" si="3"/>
        <v>-1.7815103264889594</v>
      </c>
      <c r="R16" s="5">
        <f t="shared" si="3"/>
        <v>0</v>
      </c>
      <c r="S16" s="5">
        <f t="shared" si="3"/>
        <v>0</v>
      </c>
      <c r="T16" s="5">
        <f t="shared" si="3"/>
        <v>-0.28427431311707352</v>
      </c>
      <c r="U16" s="5">
        <f t="shared" si="3"/>
        <v>0</v>
      </c>
      <c r="V16" s="5">
        <f t="shared" si="3"/>
        <v>0</v>
      </c>
      <c r="W16" s="5">
        <f t="shared" si="3"/>
        <v>0</v>
      </c>
      <c r="X16" s="5">
        <f t="shared" si="3"/>
        <v>0</v>
      </c>
      <c r="Y16" s="5">
        <f t="shared" si="3"/>
        <v>0</v>
      </c>
      <c r="Z16" s="5">
        <f t="shared" si="3"/>
        <v>0</v>
      </c>
      <c r="AA16" s="5">
        <f t="shared" si="3"/>
        <v>0</v>
      </c>
      <c r="AB16" s="5">
        <f t="shared" si="3"/>
        <v>0</v>
      </c>
      <c r="AC16" s="5">
        <f t="shared" si="3"/>
        <v>0</v>
      </c>
      <c r="AD16" s="5">
        <f t="shared" si="3"/>
        <v>0</v>
      </c>
      <c r="AE16" s="5">
        <f t="shared" si="3"/>
        <v>0</v>
      </c>
      <c r="AF16" s="5">
        <f t="shared" si="3"/>
        <v>0</v>
      </c>
      <c r="AG16" s="5">
        <f t="shared" si="3"/>
        <v>0</v>
      </c>
      <c r="AH16" s="5">
        <f t="shared" si="3"/>
        <v>0</v>
      </c>
      <c r="AI16" s="5">
        <f t="shared" si="3"/>
        <v>-48.966947103910428</v>
      </c>
    </row>
    <row r="17" spans="1:35" ht="15" customHeight="1">
      <c r="A17"/>
      <c r="B17" s="17"/>
      <c r="C17" s="17"/>
      <c r="D17" s="17"/>
      <c r="E17" s="17" t="s">
        <v>488</v>
      </c>
      <c r="F17" s="17"/>
      <c r="G17" s="4" t="s">
        <v>483</v>
      </c>
      <c r="H17" s="17"/>
      <c r="I17" s="17"/>
      <c r="J17" s="17"/>
      <c r="K17" s="5">
        <f t="shared" ref="K17:AI17" si="4">IF(K11 &gt;= 0, MIN(K11, -K15), 0)</f>
        <v>0</v>
      </c>
      <c r="L17" s="5">
        <f t="shared" si="4"/>
        <v>0</v>
      </c>
      <c r="M17" s="5">
        <f t="shared" si="4"/>
        <v>0</v>
      </c>
      <c r="N17" s="5">
        <f t="shared" si="4"/>
        <v>0</v>
      </c>
      <c r="O17" s="5">
        <f t="shared" si="4"/>
        <v>0</v>
      </c>
      <c r="P17" s="5">
        <f t="shared" si="4"/>
        <v>0</v>
      </c>
      <c r="Q17" s="5">
        <f t="shared" si="4"/>
        <v>0</v>
      </c>
      <c r="R17" s="5">
        <f t="shared" si="4"/>
        <v>1.0091321594384652</v>
      </c>
      <c r="S17" s="5">
        <f t="shared" si="4"/>
        <v>3.0091417401139218</v>
      </c>
      <c r="T17" s="5">
        <f t="shared" si="4"/>
        <v>0</v>
      </c>
      <c r="U17" s="5">
        <f t="shared" si="4"/>
        <v>6.2103178233859992</v>
      </c>
      <c r="V17" s="5">
        <f t="shared" si="4"/>
        <v>6.5924742918163872</v>
      </c>
      <c r="W17" s="5">
        <f t="shared" si="4"/>
        <v>8.8077481828391733</v>
      </c>
      <c r="X17" s="5">
        <f t="shared" si="4"/>
        <v>9.0859878886851675</v>
      </c>
      <c r="Y17" s="5">
        <f t="shared" si="4"/>
        <v>0</v>
      </c>
      <c r="Z17" s="5">
        <f t="shared" si="4"/>
        <v>0</v>
      </c>
      <c r="AA17" s="5">
        <f t="shared" si="4"/>
        <v>0</v>
      </c>
      <c r="AB17" s="5">
        <f t="shared" si="4"/>
        <v>0</v>
      </c>
      <c r="AC17" s="5">
        <f t="shared" si="4"/>
        <v>0</v>
      </c>
      <c r="AD17" s="5">
        <f t="shared" si="4"/>
        <v>0</v>
      </c>
      <c r="AE17" s="5">
        <f t="shared" si="4"/>
        <v>0</v>
      </c>
      <c r="AF17" s="5">
        <f t="shared" si="4"/>
        <v>0</v>
      </c>
      <c r="AG17" s="5">
        <f t="shared" si="4"/>
        <v>0</v>
      </c>
      <c r="AH17" s="5">
        <f t="shared" si="4"/>
        <v>0</v>
      </c>
      <c r="AI17" s="5">
        <f t="shared" si="4"/>
        <v>0</v>
      </c>
    </row>
    <row r="18" spans="1:35" ht="15" customHeight="1">
      <c r="A18"/>
      <c r="B18" s="17"/>
      <c r="C18" s="17"/>
      <c r="D18" s="17"/>
      <c r="E18" s="5" t="s">
        <v>489</v>
      </c>
      <c r="F18" s="17"/>
      <c r="G18" s="4" t="s">
        <v>483</v>
      </c>
      <c r="H18" s="17"/>
      <c r="I18" s="17"/>
      <c r="J18" s="17"/>
      <c r="K18" s="59">
        <f t="shared" ref="K18" si="5">SUM(K15:K17)</f>
        <v>-11.637020138771412</v>
      </c>
      <c r="L18" s="59">
        <f t="shared" ref="L18:AI18" si="6">SUM(L15:L17)</f>
        <v>-17.182710802988581</v>
      </c>
      <c r="M18" s="59">
        <f t="shared" si="6"/>
        <v>-23.680999984617966</v>
      </c>
      <c r="N18" s="59">
        <f t="shared" si="6"/>
        <v>-26.5652488090637</v>
      </c>
      <c r="O18" s="59">
        <f t="shared" si="6"/>
        <v>-29.647926500398185</v>
      </c>
      <c r="P18" s="59">
        <f t="shared" si="6"/>
        <v>-32.649017446673085</v>
      </c>
      <c r="Q18" s="59">
        <f t="shared" si="6"/>
        <v>-34.430527773162041</v>
      </c>
      <c r="R18" s="59">
        <f t="shared" si="6"/>
        <v>-33.421395613723575</v>
      </c>
      <c r="S18" s="59">
        <f t="shared" si="6"/>
        <v>-30.412253873609654</v>
      </c>
      <c r="T18" s="59">
        <f t="shared" si="6"/>
        <v>-30.696528186726727</v>
      </c>
      <c r="U18" s="59">
        <f t="shared" si="6"/>
        <v>-24.486210363340728</v>
      </c>
      <c r="V18" s="59">
        <f t="shared" si="6"/>
        <v>-17.893736071524341</v>
      </c>
      <c r="W18" s="59">
        <f t="shared" si="6"/>
        <v>-9.0859878886851675</v>
      </c>
      <c r="X18" s="59">
        <f t="shared" si="6"/>
        <v>0</v>
      </c>
      <c r="Y18" s="59">
        <f t="shared" si="6"/>
        <v>0</v>
      </c>
      <c r="Z18" s="59">
        <f t="shared" si="6"/>
        <v>0</v>
      </c>
      <c r="AA18" s="59">
        <f t="shared" si="6"/>
        <v>0</v>
      </c>
      <c r="AB18" s="59">
        <f t="shared" si="6"/>
        <v>0</v>
      </c>
      <c r="AC18" s="59">
        <f t="shared" si="6"/>
        <v>0</v>
      </c>
      <c r="AD18" s="59">
        <f t="shared" si="6"/>
        <v>0</v>
      </c>
      <c r="AE18" s="59">
        <f t="shared" si="6"/>
        <v>0</v>
      </c>
      <c r="AF18" s="59">
        <f t="shared" si="6"/>
        <v>0</v>
      </c>
      <c r="AG18" s="59">
        <f t="shared" si="6"/>
        <v>0</v>
      </c>
      <c r="AH18" s="59">
        <f t="shared" si="6"/>
        <v>0</v>
      </c>
      <c r="AI18" s="59">
        <f t="shared" si="6"/>
        <v>-48.966947103910428</v>
      </c>
    </row>
    <row r="19" spans="1:35" ht="15" customHeight="1">
      <c r="A19"/>
      <c r="B19" s="17"/>
      <c r="C19" s="17"/>
      <c r="D19" s="17"/>
      <c r="E19" s="17"/>
      <c r="F19" s="17"/>
      <c r="G19" s="17"/>
      <c r="H19" s="17"/>
      <c r="I19" s="17"/>
      <c r="J19" s="17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</row>
    <row r="20" spans="1:35" ht="15" customHeight="1">
      <c r="A20"/>
      <c r="B20" s="17"/>
      <c r="C20" s="84" t="s">
        <v>490</v>
      </c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4"/>
      <c r="AD20" s="84"/>
      <c r="AE20" s="84"/>
      <c r="AF20" s="84"/>
      <c r="AG20" s="84"/>
      <c r="AH20" s="84"/>
      <c r="AI20" s="84"/>
    </row>
    <row r="21" spans="1:35" ht="15" customHeight="1">
      <c r="A21"/>
      <c r="B21" s="5"/>
      <c r="C21" s="5"/>
      <c r="D21" s="5"/>
      <c r="E21" s="5"/>
      <c r="F21" s="5"/>
      <c r="G21" s="5"/>
      <c r="H21" s="5"/>
      <c r="I21" s="5"/>
      <c r="J21" s="7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</row>
    <row r="22" spans="1:35" ht="15" customHeight="1">
      <c r="A22"/>
      <c r="B22" s="5"/>
      <c r="C22" s="5"/>
      <c r="D22" s="5"/>
      <c r="E22" s="17" t="s">
        <v>491</v>
      </c>
      <c r="F22" s="17"/>
      <c r="G22" s="17" t="s">
        <v>483</v>
      </c>
      <c r="H22" s="5"/>
      <c r="I22" s="5"/>
      <c r="J22" s="7"/>
      <c r="K22" s="5">
        <f t="shared" ref="K22:AI22" si="7">MAX(K11 - K17,0)</f>
        <v>0</v>
      </c>
      <c r="L22" s="5">
        <f t="shared" si="7"/>
        <v>0</v>
      </c>
      <c r="M22" s="5">
        <f t="shared" si="7"/>
        <v>0</v>
      </c>
      <c r="N22" s="5">
        <f t="shared" si="7"/>
        <v>0</v>
      </c>
      <c r="O22" s="5">
        <f t="shared" si="7"/>
        <v>0</v>
      </c>
      <c r="P22" s="5">
        <f t="shared" si="7"/>
        <v>0</v>
      </c>
      <c r="Q22" s="5">
        <f t="shared" si="7"/>
        <v>0</v>
      </c>
      <c r="R22" s="5">
        <f t="shared" si="7"/>
        <v>0</v>
      </c>
      <c r="S22" s="5">
        <f t="shared" si="7"/>
        <v>0</v>
      </c>
      <c r="T22" s="5">
        <f t="shared" si="7"/>
        <v>0</v>
      </c>
      <c r="U22" s="5">
        <f t="shared" si="7"/>
        <v>0</v>
      </c>
      <c r="V22" s="5">
        <f t="shared" si="7"/>
        <v>0</v>
      </c>
      <c r="W22" s="5">
        <f t="shared" si="7"/>
        <v>0</v>
      </c>
      <c r="X22" s="5">
        <f t="shared" si="7"/>
        <v>0.6377863112961677</v>
      </c>
      <c r="Y22" s="5">
        <f t="shared" si="7"/>
        <v>7.7329297038419682</v>
      </c>
      <c r="Z22" s="5">
        <f t="shared" si="7"/>
        <v>11.398900488896395</v>
      </c>
      <c r="AA22" s="5">
        <f t="shared" si="7"/>
        <v>13.772460793998714</v>
      </c>
      <c r="AB22" s="5">
        <f t="shared" si="7"/>
        <v>14.609429121689313</v>
      </c>
      <c r="AC22" s="5">
        <f t="shared" si="7"/>
        <v>16.626530346503415</v>
      </c>
      <c r="AD22" s="5">
        <f t="shared" si="7"/>
        <v>15.178853910308955</v>
      </c>
      <c r="AE22" s="5">
        <f t="shared" si="7"/>
        <v>17.820498959361739</v>
      </c>
      <c r="AF22" s="5">
        <f t="shared" si="7"/>
        <v>19.035764789562496</v>
      </c>
      <c r="AG22" s="5">
        <f t="shared" si="7"/>
        <v>21.166570133025211</v>
      </c>
      <c r="AH22" s="5">
        <f t="shared" si="7"/>
        <v>21.553977474564157</v>
      </c>
      <c r="AI22" s="5">
        <f t="shared" si="7"/>
        <v>0</v>
      </c>
    </row>
    <row r="23" spans="1:35" ht="15" customHeight="1">
      <c r="A23"/>
      <c r="B23" s="5"/>
      <c r="C23" s="5"/>
      <c r="D23" s="5"/>
      <c r="E23" s="93" t="s">
        <v>276</v>
      </c>
      <c r="F23" s="17"/>
      <c r="G23" s="93" t="str">
        <f>Inputs!G189</f>
        <v>%</v>
      </c>
      <c r="H23" s="5"/>
      <c r="I23" s="5"/>
      <c r="J23" s="7"/>
      <c r="K23" s="110">
        <f>Inputs!K189</f>
        <v>0.25</v>
      </c>
      <c r="L23" s="110">
        <f>Inputs!L189</f>
        <v>0.25</v>
      </c>
      <c r="M23" s="110">
        <f>Inputs!M189</f>
        <v>0.25</v>
      </c>
      <c r="N23" s="110">
        <f>Inputs!N189</f>
        <v>0.25</v>
      </c>
      <c r="O23" s="110">
        <f>Inputs!O189</f>
        <v>0.25</v>
      </c>
      <c r="P23" s="110">
        <f>Inputs!P189</f>
        <v>0.25</v>
      </c>
      <c r="Q23" s="110">
        <f>Inputs!Q189</f>
        <v>0.25</v>
      </c>
      <c r="R23" s="110">
        <f>Inputs!R189</f>
        <v>0.25</v>
      </c>
      <c r="S23" s="110">
        <f>Inputs!S189</f>
        <v>0.25</v>
      </c>
      <c r="T23" s="110">
        <f>Inputs!T189</f>
        <v>0.25</v>
      </c>
      <c r="U23" s="110">
        <f>Inputs!U189</f>
        <v>0.25</v>
      </c>
      <c r="V23" s="110">
        <f>Inputs!V189</f>
        <v>0.25</v>
      </c>
      <c r="W23" s="110">
        <f>Inputs!W189</f>
        <v>0.25</v>
      </c>
      <c r="X23" s="110">
        <f>Inputs!X189</f>
        <v>0.25</v>
      </c>
      <c r="Y23" s="110">
        <f>Inputs!Y189</f>
        <v>0.25</v>
      </c>
      <c r="Z23" s="110">
        <f>Inputs!Z189</f>
        <v>0.25</v>
      </c>
      <c r="AA23" s="110">
        <f>Inputs!AA189</f>
        <v>0.25</v>
      </c>
      <c r="AB23" s="110">
        <f>Inputs!AB189</f>
        <v>0.25</v>
      </c>
      <c r="AC23" s="110">
        <f>Inputs!AC189</f>
        <v>0.25</v>
      </c>
      <c r="AD23" s="110">
        <f>Inputs!AD189</f>
        <v>0.25</v>
      </c>
      <c r="AE23" s="110">
        <f>Inputs!AE189</f>
        <v>0.25</v>
      </c>
      <c r="AF23" s="110">
        <f>Inputs!AF189</f>
        <v>0.25</v>
      </c>
      <c r="AG23" s="110">
        <f>Inputs!AG189</f>
        <v>0.25</v>
      </c>
      <c r="AH23" s="110">
        <f>Inputs!AH189</f>
        <v>0.25</v>
      </c>
      <c r="AI23" s="110">
        <f>Inputs!AI189</f>
        <v>0.25</v>
      </c>
    </row>
    <row r="24" spans="1:35" ht="15" customHeight="1">
      <c r="A24"/>
      <c r="B24" s="17"/>
      <c r="C24" s="17"/>
      <c r="D24" s="17"/>
      <c r="E24" s="17" t="s">
        <v>492</v>
      </c>
      <c r="F24" s="17"/>
      <c r="G24" s="17" t="s">
        <v>483</v>
      </c>
      <c r="H24" s="17"/>
      <c r="I24" s="17"/>
      <c r="J24" s="17"/>
      <c r="K24" s="5">
        <f>K22 * K23</f>
        <v>0</v>
      </c>
      <c r="L24" s="5">
        <f t="shared" ref="L24:AI24" si="8">L22 * L23</f>
        <v>0</v>
      </c>
      <c r="M24" s="5">
        <f t="shared" si="8"/>
        <v>0</v>
      </c>
      <c r="N24" s="5">
        <f t="shared" si="8"/>
        <v>0</v>
      </c>
      <c r="O24" s="5">
        <f t="shared" si="8"/>
        <v>0</v>
      </c>
      <c r="P24" s="5">
        <f t="shared" si="8"/>
        <v>0</v>
      </c>
      <c r="Q24" s="5">
        <f t="shared" si="8"/>
        <v>0</v>
      </c>
      <c r="R24" s="5">
        <f t="shared" si="8"/>
        <v>0</v>
      </c>
      <c r="S24" s="5">
        <f t="shared" si="8"/>
        <v>0</v>
      </c>
      <c r="T24" s="5">
        <f t="shared" si="8"/>
        <v>0</v>
      </c>
      <c r="U24" s="5">
        <f t="shared" si="8"/>
        <v>0</v>
      </c>
      <c r="V24" s="5">
        <f t="shared" si="8"/>
        <v>0</v>
      </c>
      <c r="W24" s="5">
        <f t="shared" si="8"/>
        <v>0</v>
      </c>
      <c r="X24" s="5">
        <f t="shared" si="8"/>
        <v>0.15944657782404192</v>
      </c>
      <c r="Y24" s="5">
        <f t="shared" si="8"/>
        <v>1.9332324259604921</v>
      </c>
      <c r="Z24" s="5">
        <f t="shared" si="8"/>
        <v>2.8497251222240987</v>
      </c>
      <c r="AA24" s="5">
        <f t="shared" si="8"/>
        <v>3.4431151984996786</v>
      </c>
      <c r="AB24" s="5">
        <f t="shared" si="8"/>
        <v>3.6523572804223283</v>
      </c>
      <c r="AC24" s="5">
        <f t="shared" si="8"/>
        <v>4.1566325866258538</v>
      </c>
      <c r="AD24" s="5">
        <f t="shared" si="8"/>
        <v>3.7947134775772389</v>
      </c>
      <c r="AE24" s="5">
        <f t="shared" si="8"/>
        <v>4.4551247398404348</v>
      </c>
      <c r="AF24" s="5">
        <f t="shared" si="8"/>
        <v>4.7589411973906239</v>
      </c>
      <c r="AG24" s="5">
        <f t="shared" si="8"/>
        <v>5.2916425332563026</v>
      </c>
      <c r="AH24" s="5">
        <f t="shared" si="8"/>
        <v>5.3884943686410391</v>
      </c>
      <c r="AI24" s="5">
        <f t="shared" si="8"/>
        <v>0</v>
      </c>
    </row>
    <row r="25" spans="1:35" ht="15" customHeight="1">
      <c r="A25"/>
      <c r="B25" s="17"/>
      <c r="C25" s="17"/>
      <c r="D25" s="17"/>
      <c r="E25" s="17"/>
      <c r="F25" s="17"/>
      <c r="G25" s="17"/>
      <c r="H25" s="17"/>
      <c r="I25" s="17"/>
      <c r="J25" s="17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</row>
    <row r="26" spans="1:35" ht="15" customHeight="1">
      <c r="A26"/>
      <c r="B26" s="17"/>
      <c r="C26" s="17"/>
      <c r="D26" s="17"/>
      <c r="E26" s="5" t="s">
        <v>493</v>
      </c>
      <c r="F26" s="17"/>
      <c r="G26" s="5" t="s">
        <v>274</v>
      </c>
      <c r="H26" s="17"/>
      <c r="I26" s="17"/>
      <c r="J26" s="17"/>
      <c r="K26" s="94">
        <f t="shared" ref="K26:AI26" si="9">1 / (1 - K23)</f>
        <v>1.3333333333333333</v>
      </c>
      <c r="L26" s="94">
        <f t="shared" si="9"/>
        <v>1.3333333333333333</v>
      </c>
      <c r="M26" s="94">
        <f t="shared" si="9"/>
        <v>1.3333333333333333</v>
      </c>
      <c r="N26" s="94">
        <f t="shared" si="9"/>
        <v>1.3333333333333333</v>
      </c>
      <c r="O26" s="94">
        <f t="shared" si="9"/>
        <v>1.3333333333333333</v>
      </c>
      <c r="P26" s="94">
        <f t="shared" si="9"/>
        <v>1.3333333333333333</v>
      </c>
      <c r="Q26" s="94">
        <f t="shared" si="9"/>
        <v>1.3333333333333333</v>
      </c>
      <c r="R26" s="94">
        <f t="shared" si="9"/>
        <v>1.3333333333333333</v>
      </c>
      <c r="S26" s="94">
        <f t="shared" si="9"/>
        <v>1.3333333333333333</v>
      </c>
      <c r="T26" s="94">
        <f t="shared" si="9"/>
        <v>1.3333333333333333</v>
      </c>
      <c r="U26" s="94">
        <f t="shared" si="9"/>
        <v>1.3333333333333333</v>
      </c>
      <c r="V26" s="94">
        <f t="shared" si="9"/>
        <v>1.3333333333333333</v>
      </c>
      <c r="W26" s="94">
        <f t="shared" si="9"/>
        <v>1.3333333333333333</v>
      </c>
      <c r="X26" s="94">
        <f t="shared" si="9"/>
        <v>1.3333333333333333</v>
      </c>
      <c r="Y26" s="94">
        <f t="shared" si="9"/>
        <v>1.3333333333333333</v>
      </c>
      <c r="Z26" s="94">
        <f t="shared" si="9"/>
        <v>1.3333333333333333</v>
      </c>
      <c r="AA26" s="94">
        <f t="shared" si="9"/>
        <v>1.3333333333333333</v>
      </c>
      <c r="AB26" s="94">
        <f t="shared" si="9"/>
        <v>1.3333333333333333</v>
      </c>
      <c r="AC26" s="94">
        <f t="shared" si="9"/>
        <v>1.3333333333333333</v>
      </c>
      <c r="AD26" s="94">
        <f t="shared" si="9"/>
        <v>1.3333333333333333</v>
      </c>
      <c r="AE26" s="94">
        <f t="shared" si="9"/>
        <v>1.3333333333333333</v>
      </c>
      <c r="AF26" s="94">
        <f t="shared" si="9"/>
        <v>1.3333333333333333</v>
      </c>
      <c r="AG26" s="94">
        <f t="shared" si="9"/>
        <v>1.3333333333333333</v>
      </c>
      <c r="AH26" s="94">
        <f t="shared" si="9"/>
        <v>1.3333333333333333</v>
      </c>
      <c r="AI26" s="94">
        <f t="shared" si="9"/>
        <v>1.3333333333333333</v>
      </c>
    </row>
    <row r="27" spans="1:35" ht="15" customHeight="1">
      <c r="A27"/>
      <c r="B27" s="17"/>
      <c r="C27" s="17"/>
      <c r="D27" s="17"/>
      <c r="E27" s="17"/>
      <c r="F27" s="17"/>
      <c r="G27" s="17"/>
      <c r="H27" s="17"/>
      <c r="I27" s="17"/>
      <c r="J27" s="17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</row>
    <row r="28" spans="1:35" ht="15" customHeight="1">
      <c r="A28"/>
      <c r="B28" s="17"/>
      <c r="C28" s="17"/>
      <c r="D28" s="17"/>
      <c r="E28" s="40" t="s">
        <v>499</v>
      </c>
      <c r="F28" s="17"/>
      <c r="G28" s="4" t="s">
        <v>483</v>
      </c>
      <c r="H28" s="17"/>
      <c r="I28" s="17"/>
      <c r="J28" s="17"/>
      <c r="K28" s="252">
        <f t="shared" ref="K28:AI28" si="10">K24 * K26</f>
        <v>0</v>
      </c>
      <c r="L28" s="252">
        <f t="shared" si="10"/>
        <v>0</v>
      </c>
      <c r="M28" s="252">
        <f t="shared" si="10"/>
        <v>0</v>
      </c>
      <c r="N28" s="252">
        <f t="shared" si="10"/>
        <v>0</v>
      </c>
      <c r="O28" s="252">
        <f t="shared" si="10"/>
        <v>0</v>
      </c>
      <c r="P28" s="252">
        <f t="shared" si="10"/>
        <v>0</v>
      </c>
      <c r="Q28" s="252">
        <f t="shared" si="10"/>
        <v>0</v>
      </c>
      <c r="R28" s="252">
        <f t="shared" si="10"/>
        <v>0</v>
      </c>
      <c r="S28" s="252">
        <f t="shared" si="10"/>
        <v>0</v>
      </c>
      <c r="T28" s="252">
        <f t="shared" si="10"/>
        <v>0</v>
      </c>
      <c r="U28" s="252">
        <f t="shared" si="10"/>
        <v>0</v>
      </c>
      <c r="V28" s="252">
        <f t="shared" si="10"/>
        <v>0</v>
      </c>
      <c r="W28" s="252">
        <f t="shared" si="10"/>
        <v>0</v>
      </c>
      <c r="X28" s="252">
        <f t="shared" si="10"/>
        <v>0.21259543709872256</v>
      </c>
      <c r="Y28" s="252">
        <f t="shared" si="10"/>
        <v>2.5776432346139893</v>
      </c>
      <c r="Z28" s="252">
        <f t="shared" si="10"/>
        <v>3.7996334962987981</v>
      </c>
      <c r="AA28" s="252">
        <f t="shared" si="10"/>
        <v>4.5908202646662382</v>
      </c>
      <c r="AB28" s="252">
        <f t="shared" si="10"/>
        <v>4.8698097072297708</v>
      </c>
      <c r="AC28" s="252">
        <f t="shared" si="10"/>
        <v>5.5421767821678047</v>
      </c>
      <c r="AD28" s="252">
        <f t="shared" si="10"/>
        <v>5.0596179701029849</v>
      </c>
      <c r="AE28" s="252">
        <f t="shared" si="10"/>
        <v>5.9401663197872461</v>
      </c>
      <c r="AF28" s="252">
        <f t="shared" si="10"/>
        <v>6.3452549298541649</v>
      </c>
      <c r="AG28" s="252">
        <f t="shared" si="10"/>
        <v>7.0555233776750699</v>
      </c>
      <c r="AH28" s="252">
        <f t="shared" si="10"/>
        <v>7.1846591581880519</v>
      </c>
      <c r="AI28" s="252">
        <f t="shared" si="10"/>
        <v>0</v>
      </c>
    </row>
    <row r="29" spans="1:35" ht="15" customHeight="1">
      <c r="A29"/>
      <c r="B29" s="17"/>
      <c r="C29" s="17"/>
      <c r="D29" s="17"/>
      <c r="E29" s="17"/>
      <c r="F29" s="17"/>
      <c r="G29" s="17"/>
      <c r="H29" s="17"/>
      <c r="I29" s="17"/>
      <c r="J29" s="17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</row>
    <row r="30" spans="1:35" ht="15" customHeight="1">
      <c r="A30"/>
      <c r="B30" s="267" t="s">
        <v>500</v>
      </c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</row>
    <row r="31" spans="1:35" ht="15" customHeight="1">
      <c r="A31"/>
      <c r="B31" s="5"/>
      <c r="C31" s="5"/>
      <c r="D31" s="5"/>
      <c r="E31" s="17"/>
      <c r="F31" s="17"/>
      <c r="G31" s="17"/>
      <c r="H31" s="17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</row>
    <row r="32" spans="1:35" ht="15" customHeight="1">
      <c r="A32"/>
      <c r="B32" s="5"/>
      <c r="C32" s="5"/>
      <c r="D32" s="5"/>
      <c r="E32" s="5" t="s">
        <v>499</v>
      </c>
      <c r="F32" s="17"/>
      <c r="G32" s="5" t="str">
        <f>Inputs!$I$11</f>
        <v>£m 2020 prices</v>
      </c>
      <c r="H32" s="17"/>
      <c r="I32" s="17"/>
      <c r="J32" s="28"/>
      <c r="K32" s="5">
        <f>'Tax Floor'!K28 / 'Tax Deductions'!K$12</f>
        <v>0</v>
      </c>
      <c r="L32" s="5">
        <f>'Tax Floor'!L28 / 'Tax Deductions'!L$12</f>
        <v>0</v>
      </c>
      <c r="M32" s="5">
        <f>'Tax Floor'!M28 / 'Tax Deductions'!M$12</f>
        <v>0</v>
      </c>
      <c r="N32" s="5">
        <f>'Tax Floor'!N28 / 'Tax Deductions'!N$12</f>
        <v>0</v>
      </c>
      <c r="O32" s="5">
        <f>'Tax Floor'!O28 / 'Tax Deductions'!O$12</f>
        <v>0</v>
      </c>
      <c r="P32" s="5">
        <f>'Tax Floor'!P28 / 'Tax Deductions'!P$12</f>
        <v>0</v>
      </c>
      <c r="Q32" s="5">
        <f>'Tax Floor'!Q28 / 'Tax Deductions'!Q$12</f>
        <v>0</v>
      </c>
      <c r="R32" s="5">
        <f>'Tax Floor'!R28 / 'Tax Deductions'!R$12</f>
        <v>0</v>
      </c>
      <c r="S32" s="5">
        <f>'Tax Floor'!S28 / 'Tax Deductions'!S$12</f>
        <v>0</v>
      </c>
      <c r="T32" s="5">
        <f>'Tax Floor'!T28 / 'Tax Deductions'!T$12</f>
        <v>0</v>
      </c>
      <c r="U32" s="5">
        <f>'Tax Floor'!U28 / 'Tax Deductions'!U$12</f>
        <v>0</v>
      </c>
      <c r="V32" s="5">
        <f>'Tax Floor'!V28 / 'Tax Deductions'!V$12</f>
        <v>0</v>
      </c>
      <c r="W32" s="5">
        <f>'Tax Floor'!W28 / 'Tax Deductions'!W$12</f>
        <v>0</v>
      </c>
      <c r="X32" s="5">
        <f>'Tax Floor'!X28 / 'Tax Deductions'!X$12</f>
        <v>0.11182210278617381</v>
      </c>
      <c r="Y32" s="5">
        <f>'Tax Floor'!Y28 / 'Tax Deductions'!Y$12</f>
        <v>1.3001561084067248</v>
      </c>
      <c r="Z32" s="5">
        <f>'Tax Floor'!Z28 / 'Tax Deductions'!Z$12</f>
        <v>1.8378640313892993</v>
      </c>
      <c r="AA32" s="5">
        <f>'Tax Floor'!AA28 / 'Tax Deductions'!AA$12</f>
        <v>2.1294180852734881</v>
      </c>
      <c r="AB32" s="5">
        <f>'Tax Floor'!AB28 / 'Tax Deductions'!AB$12</f>
        <v>2.1661155335627287</v>
      </c>
      <c r="AC32" s="5">
        <f>'Tax Floor'!AC28 / 'Tax Deductions'!AC$12</f>
        <v>2.3640081956353849</v>
      </c>
      <c r="AD32" s="5">
        <f>'Tax Floor'!AD28 / 'Tax Deductions'!AD$12</f>
        <v>2.069594717014092</v>
      </c>
      <c r="AE32" s="5">
        <f>'Tax Floor'!AE28 / 'Tax Deductions'!AE$12</f>
        <v>2.330049585370658</v>
      </c>
      <c r="AF32" s="5">
        <f>'Tax Floor'!AF28 / 'Tax Deductions'!AF$12</f>
        <v>2.3867922055965853</v>
      </c>
      <c r="AG32" s="5">
        <f>'Tax Floor'!AG28 / 'Tax Deductions'!AG$12</f>
        <v>2.5450349365492078</v>
      </c>
      <c r="AH32" s="5">
        <f>'Tax Floor'!AH28 / 'Tax Deductions'!AH$12</f>
        <v>2.4852475862611492</v>
      </c>
      <c r="AI32" s="5">
        <f>'Tax Floor'!AI28 / 'Tax Deductions'!AI$12</f>
        <v>0</v>
      </c>
    </row>
    <row r="33" spans="1:35" ht="15" customHeight="1">
      <c r="A33"/>
      <c r="B33" s="5"/>
      <c r="C33" s="5"/>
      <c r="D33" s="5"/>
      <c r="E33" s="5" t="s">
        <v>429</v>
      </c>
      <c r="F33" s="17"/>
      <c r="G33" s="5" t="str">
        <f>'Allowances Floor'!G24</f>
        <v>scalar</v>
      </c>
      <c r="H33" s="17"/>
      <c r="I33" s="17"/>
      <c r="J33" s="28"/>
      <c r="K33" s="98">
        <f>'Allowances Floor'!K24</f>
        <v>1.008471157724889</v>
      </c>
      <c r="L33" s="98">
        <f>'Allowances Floor'!L24</f>
        <v>1.017014075962978</v>
      </c>
      <c r="M33" s="98">
        <f>'Allowances Floor'!M24</f>
        <v>1.0256293626088926</v>
      </c>
      <c r="N33" s="98">
        <f>'Allowances Floor'!N24</f>
        <v>1.0343176307068298</v>
      </c>
      <c r="O33" s="98">
        <f>'Allowances Floor'!O24</f>
        <v>1.0430794984941811</v>
      </c>
      <c r="P33" s="98">
        <f>'Allowances Floor'!P24</f>
        <v>1.0519155894455232</v>
      </c>
      <c r="Q33" s="98">
        <f>'Allowances Floor'!Q24</f>
        <v>1.0608265323169859</v>
      </c>
      <c r="R33" s="98">
        <f>'Allowances Floor'!R24</f>
        <v>1.0698129611909901</v>
      </c>
      <c r="S33" s="98">
        <f>'Allowances Floor'!S24</f>
        <v>1.0788755155213696</v>
      </c>
      <c r="T33" s="98">
        <f>'Allowances Floor'!T24</f>
        <v>1.0880148401788721</v>
      </c>
      <c r="U33" s="98">
        <f>'Allowances Floor'!U24</f>
        <v>1.0972315854970471</v>
      </c>
      <c r="V33" s="98">
        <f>'Allowances Floor'!V24</f>
        <v>1.1065264073185228</v>
      </c>
      <c r="W33" s="98">
        <f>'Allowances Floor'!W24</f>
        <v>1.1158999670416729</v>
      </c>
      <c r="X33" s="98">
        <f>'Allowances Floor'!X24</f>
        <v>1.1253529316676811</v>
      </c>
      <c r="Y33" s="98">
        <f>'Allowances Floor'!Y24</f>
        <v>1.1348859738480044</v>
      </c>
      <c r="Z33" s="98">
        <f>'Allowances Floor'!Z24</f>
        <v>1.1444997719322352</v>
      </c>
      <c r="AA33" s="98">
        <f>'Allowances Floor'!AA24</f>
        <v>1.1541950100163727</v>
      </c>
      <c r="AB33" s="98">
        <f>'Allowances Floor'!AB24</f>
        <v>1.1639723779915012</v>
      </c>
      <c r="AC33" s="98">
        <f>'Allowances Floor'!AC24</f>
        <v>1.1738325715928815</v>
      </c>
      <c r="AD33" s="98">
        <f>'Allowances Floor'!AD24</f>
        <v>1.1837762924494568</v>
      </c>
      <c r="AE33" s="98">
        <f>'Allowances Floor'!AE24</f>
        <v>1.1938042481337805</v>
      </c>
      <c r="AF33" s="98">
        <f>'Allowances Floor'!AF24</f>
        <v>1.2039171522123642</v>
      </c>
      <c r="AG33" s="98">
        <f>'Allowances Floor'!AG24</f>
        <v>1.2141157242964542</v>
      </c>
      <c r="AH33" s="98">
        <f>'Allowances Floor'!AH24</f>
        <v>1.2244006900932376</v>
      </c>
      <c r="AI33" s="98">
        <f>'Allowances Floor'!AI24</f>
        <v>1.2347727814574803</v>
      </c>
    </row>
    <row r="34" spans="1:35" ht="15" customHeight="1">
      <c r="A34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</row>
    <row r="35" spans="1:35" ht="15" customHeight="1">
      <c r="A35"/>
      <c r="B35" s="5"/>
      <c r="C35" s="5"/>
      <c r="D35" s="5"/>
      <c r="E35" s="17" t="s">
        <v>501</v>
      </c>
      <c r="F35" s="17"/>
      <c r="G35" s="5" t="str">
        <f>Inputs!$I$11</f>
        <v>£m 2020 prices</v>
      </c>
      <c r="H35" s="17"/>
      <c r="I35" s="17"/>
      <c r="J35" s="28"/>
      <c r="K35" s="252">
        <f>K32*K33</f>
        <v>0</v>
      </c>
      <c r="L35" s="252">
        <f t="shared" ref="L35:AI35" si="11">L32*L33</f>
        <v>0</v>
      </c>
      <c r="M35" s="252">
        <f t="shared" si="11"/>
        <v>0</v>
      </c>
      <c r="N35" s="252">
        <f t="shared" si="11"/>
        <v>0</v>
      </c>
      <c r="O35" s="252">
        <f t="shared" si="11"/>
        <v>0</v>
      </c>
      <c r="P35" s="252">
        <f t="shared" si="11"/>
        <v>0</v>
      </c>
      <c r="Q35" s="252">
        <f t="shared" si="11"/>
        <v>0</v>
      </c>
      <c r="R35" s="252">
        <f t="shared" si="11"/>
        <v>0</v>
      </c>
      <c r="S35" s="252">
        <f t="shared" si="11"/>
        <v>0</v>
      </c>
      <c r="T35" s="252">
        <f t="shared" si="11"/>
        <v>0</v>
      </c>
      <c r="U35" s="252">
        <f t="shared" si="11"/>
        <v>0</v>
      </c>
      <c r="V35" s="252">
        <f t="shared" si="11"/>
        <v>0</v>
      </c>
      <c r="W35" s="252">
        <f t="shared" si="11"/>
        <v>0</v>
      </c>
      <c r="X35" s="252">
        <f t="shared" si="11"/>
        <v>0.12583933119566548</v>
      </c>
      <c r="Y35" s="252">
        <f t="shared" si="11"/>
        <v>1.4755289312435975</v>
      </c>
      <c r="Z35" s="252">
        <f t="shared" si="11"/>
        <v>2.1034349647675112</v>
      </c>
      <c r="AA35" s="252">
        <f t="shared" si="11"/>
        <v>2.4577637282612788</v>
      </c>
      <c r="AB35" s="252">
        <f t="shared" si="11"/>
        <v>2.5212986486053386</v>
      </c>
      <c r="AC35" s="252">
        <f t="shared" si="11"/>
        <v>2.7749498195493314</v>
      </c>
      <c r="AD35" s="252">
        <f t="shared" si="11"/>
        <v>2.4499371609799248</v>
      </c>
      <c r="AE35" s="252">
        <f t="shared" si="11"/>
        <v>2.7816230933778452</v>
      </c>
      <c r="AF35" s="252">
        <f t="shared" si="11"/>
        <v>2.8735000750845088</v>
      </c>
      <c r="AG35" s="252">
        <f t="shared" si="11"/>
        <v>3.0899669353482215</v>
      </c>
      <c r="AH35" s="252">
        <f t="shared" si="11"/>
        <v>3.0429388596707039</v>
      </c>
      <c r="AI35" s="252">
        <f t="shared" si="11"/>
        <v>0</v>
      </c>
    </row>
    <row r="36" spans="1:35" ht="15" customHeight="1">
      <c r="A36"/>
      <c r="B36" s="5"/>
      <c r="C36" s="5"/>
      <c r="D36" s="5"/>
      <c r="E36" s="17" t="s">
        <v>502</v>
      </c>
      <c r="F36" s="17"/>
      <c r="G36" s="5" t="str">
        <f>Inputs!$I$11</f>
        <v>£m 2020 prices</v>
      </c>
      <c r="H36" s="17"/>
      <c r="I36" s="255">
        <f>SUM(K35:AI35)</f>
        <v>25.696781548083926</v>
      </c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</row>
    <row r="37" spans="1:35" ht="15" customHeight="1">
      <c r="A37"/>
      <c r="B37" s="5"/>
      <c r="C37" s="5"/>
      <c r="D37" s="5"/>
      <c r="E37" s="17"/>
      <c r="F37" s="17"/>
      <c r="G37" s="17"/>
      <c r="H37" s="17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</row>
    <row r="38" spans="1:35" ht="15" customHeight="1">
      <c r="A38"/>
      <c r="B38" s="5"/>
      <c r="C38" s="5"/>
      <c r="D38" s="5"/>
      <c r="E38" s="17" t="s">
        <v>428</v>
      </c>
      <c r="F38" s="17"/>
      <c r="G38" s="17" t="str">
        <f>'Allowances Floor'!G31</f>
        <v>scalar</v>
      </c>
      <c r="H38" s="17"/>
      <c r="I38" s="97">
        <f>'Allowances Floor'!I31</f>
        <v>3.5779275382147847E-2</v>
      </c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</row>
    <row r="39" spans="1:35" ht="15" customHeight="1">
      <c r="A39"/>
      <c r="B39" s="5"/>
      <c r="C39" s="5"/>
      <c r="D39" s="5"/>
      <c r="E39" s="17"/>
      <c r="F39" s="17"/>
      <c r="G39" s="17"/>
      <c r="H39" s="17"/>
      <c r="I39" s="17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</row>
    <row r="40" spans="1:35" ht="15" customHeight="1">
      <c r="A40"/>
      <c r="B40" s="5"/>
      <c r="C40" s="5"/>
      <c r="D40" s="5"/>
      <c r="E40" s="17" t="s">
        <v>503</v>
      </c>
      <c r="F40" s="17"/>
      <c r="G40" s="5" t="str">
        <f>Inputs!$I$11</f>
        <v>£m 2020 prices</v>
      </c>
      <c r="H40" s="17"/>
      <c r="I40" s="256">
        <f>I36 * I38</f>
        <v>0.91941222344379026</v>
      </c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43"/>
      <c r="Y40" s="43"/>
      <c r="Z40" s="43"/>
      <c r="AA40" s="43"/>
      <c r="AB40" s="43"/>
      <c r="AC40" s="43"/>
      <c r="AD40" s="43"/>
      <c r="AE40" s="43"/>
      <c r="AF40" s="43"/>
      <c r="AG40" s="43"/>
      <c r="AH40" s="43"/>
      <c r="AI40" s="43"/>
    </row>
    <row r="41" spans="1:35" ht="15" customHeight="1">
      <c r="A41"/>
      <c r="B41" s="5"/>
      <c r="C41" s="5"/>
      <c r="D41" s="5"/>
      <c r="E41" s="17"/>
      <c r="F41" s="17"/>
      <c r="G41" s="17"/>
      <c r="H41" s="17"/>
      <c r="I41" s="17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</row>
    <row r="42" spans="1:35" ht="15" customHeight="1">
      <c r="A42" s="222"/>
      <c r="B42" s="267" t="s">
        <v>504</v>
      </c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</row>
    <row r="43" spans="1:35" ht="15" customHeight="1">
      <c r="A43" s="222"/>
      <c r="B43" s="17"/>
      <c r="C43" s="17"/>
      <c r="D43" s="17"/>
      <c r="E43" s="17"/>
      <c r="F43" s="17"/>
      <c r="G43" s="17"/>
      <c r="H43" s="5"/>
      <c r="I43" s="17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</row>
    <row r="44" spans="1:35" ht="15" customHeight="1">
      <c r="A44" s="222"/>
      <c r="B44" s="5"/>
      <c r="C44" s="84" t="s">
        <v>482</v>
      </c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</row>
    <row r="45" spans="1:35" ht="15" customHeight="1">
      <c r="A45" s="222"/>
    </row>
    <row r="46" spans="1:35" ht="15" customHeight="1">
      <c r="A46" s="222"/>
      <c r="E46" s="5" t="s">
        <v>433</v>
      </c>
      <c r="G46" s="4" t="s">
        <v>483</v>
      </c>
      <c r="I46" s="4"/>
      <c r="K46" s="42">
        <f>('Allowances Floor'!K68+'Allowances Floor'!K77)* 'Tax Deductions'!K$12</f>
        <v>0</v>
      </c>
      <c r="L46" s="42">
        <f>('Allowances Floor'!L68+'Allowances Floor'!L77)* 'Tax Deductions'!L$12</f>
        <v>0</v>
      </c>
      <c r="M46" s="42">
        <f>('Allowances Floor'!M68+'Allowances Floor'!M77)* 'Tax Deductions'!M$12</f>
        <v>0</v>
      </c>
      <c r="N46" s="42">
        <f>('Allowances Floor'!N68+'Allowances Floor'!N77)* 'Tax Deductions'!N$12</f>
        <v>20.297017448549951</v>
      </c>
      <c r="O46" s="42">
        <f>('Allowances Floor'!O68+'Allowances Floor'!O77)* 'Tax Deductions'!O$12</f>
        <v>21.16572979534789</v>
      </c>
      <c r="P46" s="42">
        <f>('Allowances Floor'!P68+'Allowances Floor'!P77)* 'Tax Deductions'!P$12</f>
        <v>22.071623030588778</v>
      </c>
      <c r="Q46" s="42">
        <f>('Allowances Floor'!Q68+'Allowances Floor'!Q77)* 'Tax Deductions'!Q$12</f>
        <v>23.016288496297978</v>
      </c>
      <c r="R46" s="42">
        <f>('Allowances Floor'!R68+'Allowances Floor'!R77)* 'Tax Deductions'!R$12</f>
        <v>24.001385643939532</v>
      </c>
      <c r="S46" s="42">
        <f>('Allowances Floor'!S68+'Allowances Floor'!S77)* 'Tax Deductions'!S$12</f>
        <v>25.028644949500141</v>
      </c>
      <c r="T46" s="42">
        <f>('Allowances Floor'!T68+'Allowances Floor'!T77)* 'Tax Deductions'!T$12</f>
        <v>26.099870953338744</v>
      </c>
      <c r="U46" s="42">
        <f>('Allowances Floor'!U68+'Allowances Floor'!U77)* 'Tax Deductions'!U$12</f>
        <v>27.216945430141642</v>
      </c>
      <c r="V46" s="42">
        <f>('Allowances Floor'!V68+'Allowances Floor'!V77)* 'Tax Deductions'!V$12</f>
        <v>28.381830694551706</v>
      </c>
      <c r="W46" s="42">
        <f>('Allowances Floor'!W68+'Allowances Floor'!W77)* 'Tax Deductions'!W$12</f>
        <v>29.596573048278515</v>
      </c>
      <c r="X46" s="42">
        <f>('Allowances Floor'!X68+'Allowances Floor'!X77)* 'Tax Deductions'!X$12</f>
        <v>30.863306374744834</v>
      </c>
      <c r="Y46" s="42">
        <f>('Allowances Floor'!Y68+'Allowances Floor'!Y77)* 'Tax Deductions'!Y$12</f>
        <v>32.184255887583916</v>
      </c>
      <c r="Z46" s="42">
        <f>('Allowances Floor'!Z68+'Allowances Floor'!Z77)* 'Tax Deductions'!Z$12</f>
        <v>33.561742039572501</v>
      </c>
      <c r="AA46" s="42">
        <f>('Allowances Floor'!AA68+'Allowances Floor'!AA77)* 'Tax Deductions'!AA$12</f>
        <v>34.998184598866196</v>
      </c>
      <c r="AB46" s="42">
        <f>('Allowances Floor'!AB68+'Allowances Floor'!AB77)* 'Tax Deductions'!AB$12</f>
        <v>36.496106899697665</v>
      </c>
      <c r="AC46" s="42">
        <f>('Allowances Floor'!AC68+'Allowances Floor'!AC77)* 'Tax Deductions'!AC$12</f>
        <v>38.058140275004725</v>
      </c>
      <c r="AD46" s="42">
        <f>('Allowances Floor'!AD68+'Allowances Floor'!AD77)* 'Tax Deductions'!AD$12</f>
        <v>39.687028678774922</v>
      </c>
      <c r="AE46" s="42">
        <f>('Allowances Floor'!AE68+'Allowances Floor'!AE77)* 'Tax Deductions'!AE$12</f>
        <v>41.38563350622649</v>
      </c>
      <c r="AF46" s="42">
        <f>('Allowances Floor'!AF68+'Allowances Floor'!AF77)* 'Tax Deductions'!AF$12</f>
        <v>43.156938620292983</v>
      </c>
      <c r="AG46" s="42">
        <f>('Allowances Floor'!AG68+'Allowances Floor'!AG77)* 'Tax Deductions'!AG$12</f>
        <v>45.004055593241517</v>
      </c>
      <c r="AH46" s="42">
        <f>('Allowances Floor'!AH68+'Allowances Floor'!AH77)* 'Tax Deductions'!AH$12</f>
        <v>46.930229172632252</v>
      </c>
      <c r="AI46" s="42">
        <f>('Allowances Floor'!AI68+'Allowances Floor'!AI77)* 'Tax Deductions'!AI$12</f>
        <v>48.938842981220908</v>
      </c>
    </row>
    <row r="47" spans="1:35" ht="15" customHeight="1">
      <c r="A47" s="222"/>
      <c r="E47" s="5" t="s">
        <v>484</v>
      </c>
      <c r="F47" s="17"/>
      <c r="G47" s="17" t="s">
        <v>483</v>
      </c>
      <c r="K47" s="42">
        <f>-'Tax Deductions'!K30</f>
        <v>-4.04902737093557</v>
      </c>
      <c r="L47" s="42">
        <f>-'Tax Deductions'!L30</f>
        <v>0</v>
      </c>
      <c r="M47" s="42">
        <f>-'Tax Deductions'!M30</f>
        <v>0</v>
      </c>
      <c r="N47" s="42">
        <f>-'Tax Deductions'!N30</f>
        <v>-25.513272781330656</v>
      </c>
      <c r="O47" s="42">
        <f>-'Tax Deductions'!O30</f>
        <v>-26.504427668927399</v>
      </c>
      <c r="P47" s="42">
        <f>-'Tax Deductions'!P30</f>
        <v>-27.219112863013905</v>
      </c>
      <c r="Q47" s="42">
        <f>-'Tax Deductions'!Q30</f>
        <v>-26.824341719243719</v>
      </c>
      <c r="R47" s="42">
        <f>-'Tax Deductions'!R30</f>
        <v>-24.895387587713888</v>
      </c>
      <c r="S47" s="42">
        <f>-'Tax Deductions'!S30</f>
        <v>-23.976130602963451</v>
      </c>
      <c r="T47" s="42">
        <f>-'Tax Deductions'!T30</f>
        <v>-28.175772800454705</v>
      </c>
      <c r="U47" s="42">
        <f>-'Tax Deductions'!U30</f>
        <v>-22.664640880838814</v>
      </c>
      <c r="V47" s="42">
        <f>-'Tax Deductions'!V30</f>
        <v>-23.2581543396409</v>
      </c>
      <c r="W47" s="42">
        <f>-'Tax Deductions'!W30</f>
        <v>-22.038382265060999</v>
      </c>
      <c r="X47" s="42">
        <f>-'Tax Deductions'!X30</f>
        <v>-22.310242792576844</v>
      </c>
      <c r="Y47" s="42">
        <f>-'Tax Deductions'!Y30</f>
        <v>-25.345827698998708</v>
      </c>
      <c r="Z47" s="42">
        <f>-'Tax Deductions'!Z30</f>
        <v>-22.783170242842296</v>
      </c>
      <c r="AA47" s="42">
        <f>-'Tax Deductions'!AA30</f>
        <v>-21.529250953239586</v>
      </c>
      <c r="AB47" s="42">
        <f>-'Tax Deductions'!AB30</f>
        <v>-21.891665467925492</v>
      </c>
      <c r="AC47" s="42">
        <f>-'Tax Deductions'!AC30</f>
        <v>-21.289348737186291</v>
      </c>
      <c r="AD47" s="42">
        <f>-'Tax Deductions'!AD30</f>
        <v>-24.096254515590893</v>
      </c>
      <c r="AE47" s="42">
        <f>-'Tax Deductions'!AE30</f>
        <v>-22.804846522156147</v>
      </c>
      <c r="AF47" s="42">
        <f>-'Tax Deductions'!AF30</f>
        <v>-23.001239508973836</v>
      </c>
      <c r="AG47" s="42">
        <f>-'Tax Deductions'!AG30</f>
        <v>-22.333038791357435</v>
      </c>
      <c r="AH47" s="42">
        <f>-'Tax Deductions'!AH30</f>
        <v>-23.526477008662312</v>
      </c>
      <c r="AI47" s="42">
        <f>-'Tax Deductions'!AI30</f>
        <v>-96.054925953267798</v>
      </c>
    </row>
    <row r="48" spans="1:35" ht="15" customHeight="1">
      <c r="A48" s="222"/>
      <c r="E48" s="4" t="s">
        <v>482</v>
      </c>
      <c r="G48" s="4" t="s">
        <v>483</v>
      </c>
      <c r="K48" s="92">
        <f t="shared" ref="K48" si="12">SUM(K46:K47)</f>
        <v>-4.04902737093557</v>
      </c>
      <c r="L48" s="92">
        <f t="shared" ref="L48:AI48" si="13">SUM(L46:L47)</f>
        <v>0</v>
      </c>
      <c r="M48" s="92">
        <f t="shared" si="13"/>
        <v>0</v>
      </c>
      <c r="N48" s="92">
        <f t="shared" si="13"/>
        <v>-5.2162553327807046</v>
      </c>
      <c r="O48" s="92">
        <f t="shared" si="13"/>
        <v>-5.338697873579509</v>
      </c>
      <c r="P48" s="92">
        <f t="shared" si="13"/>
        <v>-5.1474898324251264</v>
      </c>
      <c r="Q48" s="92">
        <f t="shared" si="13"/>
        <v>-3.8080532229457411</v>
      </c>
      <c r="R48" s="92">
        <f t="shared" si="13"/>
        <v>-0.89400194377435582</v>
      </c>
      <c r="S48" s="92">
        <f t="shared" si="13"/>
        <v>1.0525143465366895</v>
      </c>
      <c r="T48" s="92">
        <f t="shared" si="13"/>
        <v>-2.0759018471159614</v>
      </c>
      <c r="U48" s="92">
        <f t="shared" si="13"/>
        <v>4.5523045493028285</v>
      </c>
      <c r="V48" s="92">
        <f t="shared" si="13"/>
        <v>5.1236763549108062</v>
      </c>
      <c r="W48" s="92">
        <f t="shared" si="13"/>
        <v>7.5581907832175155</v>
      </c>
      <c r="X48" s="92">
        <f t="shared" si="13"/>
        <v>8.5530635821679901</v>
      </c>
      <c r="Y48" s="92">
        <f t="shared" si="13"/>
        <v>6.8384281885852083</v>
      </c>
      <c r="Z48" s="92">
        <f t="shared" si="13"/>
        <v>10.778571796730205</v>
      </c>
      <c r="AA48" s="92">
        <f t="shared" si="13"/>
        <v>13.46893364562661</v>
      </c>
      <c r="AB48" s="92">
        <f t="shared" si="13"/>
        <v>14.604441431772173</v>
      </c>
      <c r="AC48" s="92">
        <f t="shared" si="13"/>
        <v>16.768791537818434</v>
      </c>
      <c r="AD48" s="92">
        <f t="shared" si="13"/>
        <v>15.59077416318403</v>
      </c>
      <c r="AE48" s="92">
        <f t="shared" si="13"/>
        <v>18.580786984070343</v>
      </c>
      <c r="AF48" s="92">
        <f t="shared" si="13"/>
        <v>20.155699111319148</v>
      </c>
      <c r="AG48" s="92">
        <f t="shared" si="13"/>
        <v>22.671016801884083</v>
      </c>
      <c r="AH48" s="92">
        <f t="shared" si="13"/>
        <v>23.403752163969941</v>
      </c>
      <c r="AI48" s="92">
        <f t="shared" si="13"/>
        <v>-47.11608297204689</v>
      </c>
    </row>
    <row r="49" spans="1:35" ht="15" customHeight="1">
      <c r="A49" s="222"/>
    </row>
    <row r="50" spans="1:35" ht="15" customHeight="1">
      <c r="A50" s="222"/>
      <c r="B50" s="17"/>
      <c r="C50" s="84" t="s">
        <v>485</v>
      </c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  <c r="AE50" s="84"/>
      <c r="AF50" s="84"/>
      <c r="AG50" s="84"/>
      <c r="AH50" s="84"/>
      <c r="AI50" s="84"/>
    </row>
    <row r="51" spans="1:35" ht="15" customHeight="1">
      <c r="A51" s="222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</row>
    <row r="52" spans="1:35" ht="15" customHeight="1">
      <c r="A52" s="222"/>
      <c r="B52" s="17"/>
      <c r="C52" s="17"/>
      <c r="D52" s="17"/>
      <c r="E52" s="5" t="s">
        <v>486</v>
      </c>
      <c r="F52" s="17"/>
      <c r="G52" s="4" t="s">
        <v>483</v>
      </c>
      <c r="H52" s="17"/>
      <c r="I52" s="17"/>
      <c r="J52" s="17"/>
      <c r="K52" s="5">
        <f>J55</f>
        <v>0</v>
      </c>
      <c r="L52" s="5">
        <f t="shared" ref="L52:AI52" si="14">K55</f>
        <v>-4.04902737093557</v>
      </c>
      <c r="M52" s="5">
        <f t="shared" si="14"/>
        <v>-4.04902737093557</v>
      </c>
      <c r="N52" s="5">
        <f t="shared" si="14"/>
        <v>-4.04902737093557</v>
      </c>
      <c r="O52" s="5">
        <f t="shared" si="14"/>
        <v>-9.2652827037162737</v>
      </c>
      <c r="P52" s="5">
        <f t="shared" si="14"/>
        <v>-14.603980577295783</v>
      </c>
      <c r="Q52" s="5">
        <f t="shared" si="14"/>
        <v>-19.751470409720909</v>
      </c>
      <c r="R52" s="5">
        <f t="shared" si="14"/>
        <v>-23.55952363266665</v>
      </c>
      <c r="S52" s="5">
        <f t="shared" si="14"/>
        <v>-24.453525576441006</v>
      </c>
      <c r="T52" s="5">
        <f t="shared" si="14"/>
        <v>-23.401011229904316</v>
      </c>
      <c r="U52" s="5">
        <f t="shared" si="14"/>
        <v>-25.476913077020278</v>
      </c>
      <c r="V52" s="5">
        <f t="shared" si="14"/>
        <v>-20.924608527717449</v>
      </c>
      <c r="W52" s="5">
        <f t="shared" si="14"/>
        <v>-15.800932172806643</v>
      </c>
      <c r="X52" s="5">
        <f t="shared" si="14"/>
        <v>-8.2427413895891277</v>
      </c>
      <c r="Y52" s="5">
        <f t="shared" si="14"/>
        <v>0</v>
      </c>
      <c r="Z52" s="5">
        <f t="shared" si="14"/>
        <v>0</v>
      </c>
      <c r="AA52" s="5">
        <f t="shared" si="14"/>
        <v>0</v>
      </c>
      <c r="AB52" s="5">
        <f t="shared" si="14"/>
        <v>0</v>
      </c>
      <c r="AC52" s="5">
        <f t="shared" si="14"/>
        <v>0</v>
      </c>
      <c r="AD52" s="5">
        <f t="shared" si="14"/>
        <v>0</v>
      </c>
      <c r="AE52" s="5">
        <f t="shared" si="14"/>
        <v>0</v>
      </c>
      <c r="AF52" s="5">
        <f t="shared" si="14"/>
        <v>0</v>
      </c>
      <c r="AG52" s="5">
        <f t="shared" si="14"/>
        <v>0</v>
      </c>
      <c r="AH52" s="5">
        <f t="shared" si="14"/>
        <v>0</v>
      </c>
      <c r="AI52" s="5">
        <f t="shared" si="14"/>
        <v>0</v>
      </c>
    </row>
    <row r="53" spans="1:35" ht="15" customHeight="1">
      <c r="A53" s="222"/>
      <c r="B53" s="17"/>
      <c r="C53" s="17"/>
      <c r="D53" s="17"/>
      <c r="E53" s="5" t="s">
        <v>487</v>
      </c>
      <c r="F53" s="17"/>
      <c r="G53" s="4" t="s">
        <v>483</v>
      </c>
      <c r="H53" s="17"/>
      <c r="I53" s="17"/>
      <c r="J53" s="17"/>
      <c r="K53" s="5">
        <f t="shared" ref="K53:AI53" si="15">MIN(K48, 0)</f>
        <v>-4.04902737093557</v>
      </c>
      <c r="L53" s="5">
        <f t="shared" si="15"/>
        <v>0</v>
      </c>
      <c r="M53" s="5">
        <f t="shared" si="15"/>
        <v>0</v>
      </c>
      <c r="N53" s="5">
        <f t="shared" si="15"/>
        <v>-5.2162553327807046</v>
      </c>
      <c r="O53" s="5">
        <f t="shared" si="15"/>
        <v>-5.338697873579509</v>
      </c>
      <c r="P53" s="5">
        <f t="shared" si="15"/>
        <v>-5.1474898324251264</v>
      </c>
      <c r="Q53" s="5">
        <f t="shared" si="15"/>
        <v>-3.8080532229457411</v>
      </c>
      <c r="R53" s="5">
        <f t="shared" si="15"/>
        <v>-0.89400194377435582</v>
      </c>
      <c r="S53" s="5">
        <f t="shared" si="15"/>
        <v>0</v>
      </c>
      <c r="T53" s="5">
        <f t="shared" si="15"/>
        <v>-2.0759018471159614</v>
      </c>
      <c r="U53" s="5">
        <f t="shared" si="15"/>
        <v>0</v>
      </c>
      <c r="V53" s="5">
        <f t="shared" si="15"/>
        <v>0</v>
      </c>
      <c r="W53" s="5">
        <f t="shared" si="15"/>
        <v>0</v>
      </c>
      <c r="X53" s="5">
        <f t="shared" si="15"/>
        <v>0</v>
      </c>
      <c r="Y53" s="5">
        <f t="shared" si="15"/>
        <v>0</v>
      </c>
      <c r="Z53" s="5">
        <f t="shared" si="15"/>
        <v>0</v>
      </c>
      <c r="AA53" s="5">
        <f t="shared" si="15"/>
        <v>0</v>
      </c>
      <c r="AB53" s="5">
        <f t="shared" si="15"/>
        <v>0</v>
      </c>
      <c r="AC53" s="5">
        <f t="shared" si="15"/>
        <v>0</v>
      </c>
      <c r="AD53" s="5">
        <f t="shared" si="15"/>
        <v>0</v>
      </c>
      <c r="AE53" s="5">
        <f t="shared" si="15"/>
        <v>0</v>
      </c>
      <c r="AF53" s="5">
        <f t="shared" si="15"/>
        <v>0</v>
      </c>
      <c r="AG53" s="5">
        <f t="shared" si="15"/>
        <v>0</v>
      </c>
      <c r="AH53" s="5">
        <f t="shared" si="15"/>
        <v>0</v>
      </c>
      <c r="AI53" s="5">
        <f t="shared" si="15"/>
        <v>-47.11608297204689</v>
      </c>
    </row>
    <row r="54" spans="1:35" ht="15" customHeight="1">
      <c r="A54" s="222"/>
      <c r="B54" s="17"/>
      <c r="C54" s="17"/>
      <c r="D54" s="17"/>
      <c r="E54" s="17" t="s">
        <v>488</v>
      </c>
      <c r="F54" s="17"/>
      <c r="G54" s="4" t="s">
        <v>483</v>
      </c>
      <c r="H54" s="17"/>
      <c r="I54" s="17"/>
      <c r="J54" s="17"/>
      <c r="K54" s="5">
        <f t="shared" ref="K54:AI54" si="16">IF(K48 &gt;= 0, MIN(K48, -K52), 0)</f>
        <v>0</v>
      </c>
      <c r="L54" s="5">
        <f t="shared" si="16"/>
        <v>0</v>
      </c>
      <c r="M54" s="5">
        <f t="shared" si="16"/>
        <v>0</v>
      </c>
      <c r="N54" s="5">
        <f t="shared" si="16"/>
        <v>0</v>
      </c>
      <c r="O54" s="5">
        <f t="shared" si="16"/>
        <v>0</v>
      </c>
      <c r="P54" s="5">
        <f t="shared" si="16"/>
        <v>0</v>
      </c>
      <c r="Q54" s="5">
        <f t="shared" si="16"/>
        <v>0</v>
      </c>
      <c r="R54" s="5">
        <f t="shared" si="16"/>
        <v>0</v>
      </c>
      <c r="S54" s="5">
        <f t="shared" si="16"/>
        <v>1.0525143465366895</v>
      </c>
      <c r="T54" s="5">
        <f t="shared" si="16"/>
        <v>0</v>
      </c>
      <c r="U54" s="5">
        <f t="shared" si="16"/>
        <v>4.5523045493028285</v>
      </c>
      <c r="V54" s="5">
        <f t="shared" si="16"/>
        <v>5.1236763549108062</v>
      </c>
      <c r="W54" s="5">
        <f t="shared" si="16"/>
        <v>7.5581907832175155</v>
      </c>
      <c r="X54" s="5">
        <f t="shared" si="16"/>
        <v>8.2427413895891277</v>
      </c>
      <c r="Y54" s="5">
        <f t="shared" si="16"/>
        <v>0</v>
      </c>
      <c r="Z54" s="5">
        <f t="shared" si="16"/>
        <v>0</v>
      </c>
      <c r="AA54" s="5">
        <f t="shared" si="16"/>
        <v>0</v>
      </c>
      <c r="AB54" s="5">
        <f t="shared" si="16"/>
        <v>0</v>
      </c>
      <c r="AC54" s="5">
        <f t="shared" si="16"/>
        <v>0</v>
      </c>
      <c r="AD54" s="5">
        <f t="shared" si="16"/>
        <v>0</v>
      </c>
      <c r="AE54" s="5">
        <f t="shared" si="16"/>
        <v>0</v>
      </c>
      <c r="AF54" s="5">
        <f t="shared" si="16"/>
        <v>0</v>
      </c>
      <c r="AG54" s="5">
        <f t="shared" si="16"/>
        <v>0</v>
      </c>
      <c r="AH54" s="5">
        <f t="shared" si="16"/>
        <v>0</v>
      </c>
      <c r="AI54" s="5">
        <f t="shared" si="16"/>
        <v>0</v>
      </c>
    </row>
    <row r="55" spans="1:35" ht="15" customHeight="1">
      <c r="A55" s="222"/>
      <c r="B55" s="17"/>
      <c r="C55" s="17"/>
      <c r="D55" s="17"/>
      <c r="E55" s="5" t="s">
        <v>489</v>
      </c>
      <c r="F55" s="17"/>
      <c r="G55" s="4" t="s">
        <v>483</v>
      </c>
      <c r="H55" s="17"/>
      <c r="I55" s="17"/>
      <c r="J55" s="17"/>
      <c r="K55" s="59">
        <f t="shared" ref="K55" si="17">SUM(K52:K54)</f>
        <v>-4.04902737093557</v>
      </c>
      <c r="L55" s="59">
        <f t="shared" ref="L55:AI55" si="18">SUM(L52:L54)</f>
        <v>-4.04902737093557</v>
      </c>
      <c r="M55" s="59">
        <f t="shared" si="18"/>
        <v>-4.04902737093557</v>
      </c>
      <c r="N55" s="59">
        <f t="shared" si="18"/>
        <v>-9.2652827037162737</v>
      </c>
      <c r="O55" s="59">
        <f t="shared" si="18"/>
        <v>-14.603980577295783</v>
      </c>
      <c r="P55" s="59">
        <f t="shared" si="18"/>
        <v>-19.751470409720909</v>
      </c>
      <c r="Q55" s="59">
        <f t="shared" si="18"/>
        <v>-23.55952363266665</v>
      </c>
      <c r="R55" s="59">
        <f t="shared" si="18"/>
        <v>-24.453525576441006</v>
      </c>
      <c r="S55" s="59">
        <f t="shared" si="18"/>
        <v>-23.401011229904316</v>
      </c>
      <c r="T55" s="59">
        <f t="shared" si="18"/>
        <v>-25.476913077020278</v>
      </c>
      <c r="U55" s="59">
        <f t="shared" si="18"/>
        <v>-20.924608527717449</v>
      </c>
      <c r="V55" s="59">
        <f t="shared" si="18"/>
        <v>-15.800932172806643</v>
      </c>
      <c r="W55" s="59">
        <f t="shared" si="18"/>
        <v>-8.2427413895891277</v>
      </c>
      <c r="X55" s="59">
        <f t="shared" si="18"/>
        <v>0</v>
      </c>
      <c r="Y55" s="59">
        <f t="shared" si="18"/>
        <v>0</v>
      </c>
      <c r="Z55" s="59">
        <f t="shared" si="18"/>
        <v>0</v>
      </c>
      <c r="AA55" s="59">
        <f t="shared" si="18"/>
        <v>0</v>
      </c>
      <c r="AB55" s="59">
        <f t="shared" si="18"/>
        <v>0</v>
      </c>
      <c r="AC55" s="59">
        <f t="shared" si="18"/>
        <v>0</v>
      </c>
      <c r="AD55" s="59">
        <f t="shared" si="18"/>
        <v>0</v>
      </c>
      <c r="AE55" s="59">
        <f t="shared" si="18"/>
        <v>0</v>
      </c>
      <c r="AF55" s="59">
        <f t="shared" si="18"/>
        <v>0</v>
      </c>
      <c r="AG55" s="59">
        <f t="shared" si="18"/>
        <v>0</v>
      </c>
      <c r="AH55" s="59">
        <f t="shared" si="18"/>
        <v>0</v>
      </c>
      <c r="AI55" s="59">
        <f t="shared" si="18"/>
        <v>-47.11608297204689</v>
      </c>
    </row>
    <row r="56" spans="1:35" ht="15" customHeight="1">
      <c r="A56" s="222"/>
      <c r="B56" s="17"/>
      <c r="C56" s="17"/>
      <c r="D56" s="17"/>
      <c r="E56" s="17"/>
      <c r="F56" s="17"/>
      <c r="G56" s="17"/>
      <c r="H56" s="17"/>
      <c r="I56" s="17"/>
      <c r="J56" s="17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</row>
    <row r="57" spans="1:35" ht="15" customHeight="1">
      <c r="A57" s="222"/>
      <c r="B57" s="17"/>
      <c r="C57" s="84" t="s">
        <v>490</v>
      </c>
      <c r="D57" s="84"/>
      <c r="E57" s="84"/>
      <c r="F57" s="84"/>
      <c r="G57" s="84"/>
      <c r="H57" s="84"/>
      <c r="I57" s="84"/>
      <c r="J57" s="84"/>
      <c r="K57" s="84"/>
      <c r="L57" s="84"/>
      <c r="M57" s="84"/>
      <c r="N57" s="84"/>
      <c r="O57" s="84"/>
      <c r="P57" s="84"/>
      <c r="Q57" s="84"/>
      <c r="R57" s="84"/>
      <c r="S57" s="84"/>
      <c r="T57" s="84"/>
      <c r="U57" s="84"/>
      <c r="V57" s="84"/>
      <c r="W57" s="84"/>
      <c r="X57" s="84"/>
      <c r="Y57" s="84"/>
      <c r="Z57" s="84"/>
      <c r="AA57" s="84"/>
      <c r="AB57" s="84"/>
      <c r="AC57" s="84"/>
      <c r="AD57" s="84"/>
      <c r="AE57" s="84"/>
      <c r="AF57" s="84"/>
      <c r="AG57" s="84"/>
      <c r="AH57" s="84"/>
      <c r="AI57" s="84"/>
    </row>
    <row r="58" spans="1:35" ht="15" customHeight="1">
      <c r="A58" s="222"/>
      <c r="B58" s="5"/>
      <c r="C58" s="5"/>
      <c r="D58" s="5"/>
      <c r="E58" s="5"/>
      <c r="F58" s="5"/>
      <c r="G58" s="5"/>
      <c r="H58" s="5"/>
      <c r="I58" s="5"/>
      <c r="J58" s="7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</row>
    <row r="59" spans="1:35" ht="15" customHeight="1">
      <c r="A59" s="222"/>
      <c r="B59" s="5"/>
      <c r="C59" s="5"/>
      <c r="D59" s="5"/>
      <c r="E59" s="17" t="s">
        <v>491</v>
      </c>
      <c r="F59" s="17"/>
      <c r="G59" s="17" t="s">
        <v>483</v>
      </c>
      <c r="H59" s="5"/>
      <c r="I59" s="5"/>
      <c r="J59" s="7"/>
      <c r="K59" s="5">
        <f t="shared" ref="K59:AI59" si="19">MAX(K48 - K54,0)</f>
        <v>0</v>
      </c>
      <c r="L59" s="5">
        <f t="shared" si="19"/>
        <v>0</v>
      </c>
      <c r="M59" s="5">
        <f t="shared" si="19"/>
        <v>0</v>
      </c>
      <c r="N59" s="5">
        <f t="shared" si="19"/>
        <v>0</v>
      </c>
      <c r="O59" s="5">
        <f>MAX(O48 - O54,0)</f>
        <v>0</v>
      </c>
      <c r="P59" s="5">
        <f t="shared" si="19"/>
        <v>0</v>
      </c>
      <c r="Q59" s="5">
        <f t="shared" si="19"/>
        <v>0</v>
      </c>
      <c r="R59" s="5">
        <f t="shared" si="19"/>
        <v>0</v>
      </c>
      <c r="S59" s="5">
        <f t="shared" si="19"/>
        <v>0</v>
      </c>
      <c r="T59" s="5">
        <f t="shared" si="19"/>
        <v>0</v>
      </c>
      <c r="U59" s="5">
        <f t="shared" si="19"/>
        <v>0</v>
      </c>
      <c r="V59" s="5">
        <f t="shared" si="19"/>
        <v>0</v>
      </c>
      <c r="W59" s="5">
        <f t="shared" si="19"/>
        <v>0</v>
      </c>
      <c r="X59" s="5">
        <f t="shared" si="19"/>
        <v>0.3103221925788624</v>
      </c>
      <c r="Y59" s="5">
        <f t="shared" si="19"/>
        <v>6.8384281885852083</v>
      </c>
      <c r="Z59" s="5">
        <f t="shared" si="19"/>
        <v>10.778571796730205</v>
      </c>
      <c r="AA59" s="5">
        <f t="shared" si="19"/>
        <v>13.46893364562661</v>
      </c>
      <c r="AB59" s="5">
        <f t="shared" si="19"/>
        <v>14.604441431772173</v>
      </c>
      <c r="AC59" s="5">
        <f t="shared" si="19"/>
        <v>16.768791537818434</v>
      </c>
      <c r="AD59" s="5">
        <f t="shared" si="19"/>
        <v>15.59077416318403</v>
      </c>
      <c r="AE59" s="5">
        <f t="shared" si="19"/>
        <v>18.580786984070343</v>
      </c>
      <c r="AF59" s="5">
        <f t="shared" si="19"/>
        <v>20.155699111319148</v>
      </c>
      <c r="AG59" s="5">
        <f t="shared" si="19"/>
        <v>22.671016801884083</v>
      </c>
      <c r="AH59" s="5">
        <f t="shared" si="19"/>
        <v>23.403752163969941</v>
      </c>
      <c r="AI59" s="5">
        <f t="shared" si="19"/>
        <v>0</v>
      </c>
    </row>
    <row r="60" spans="1:35" ht="15" customHeight="1">
      <c r="A60" s="222"/>
      <c r="B60" s="5"/>
      <c r="C60" s="5"/>
      <c r="D60" s="5"/>
      <c r="E60" s="93" t="s">
        <v>276</v>
      </c>
      <c r="F60" s="17"/>
      <c r="G60" s="93" t="str">
        <f>Inputs!G189</f>
        <v>%</v>
      </c>
      <c r="H60" s="5"/>
      <c r="I60" s="5"/>
      <c r="J60" s="7"/>
      <c r="K60" s="110">
        <f>Inputs!K189</f>
        <v>0.25</v>
      </c>
      <c r="L60" s="110">
        <f>Inputs!L189</f>
        <v>0.25</v>
      </c>
      <c r="M60" s="110">
        <f>Inputs!M189</f>
        <v>0.25</v>
      </c>
      <c r="N60" s="110">
        <f>Inputs!N189</f>
        <v>0.25</v>
      </c>
      <c r="O60" s="110">
        <f>Inputs!O189</f>
        <v>0.25</v>
      </c>
      <c r="P60" s="110">
        <f>Inputs!P189</f>
        <v>0.25</v>
      </c>
      <c r="Q60" s="110">
        <f>Inputs!Q189</f>
        <v>0.25</v>
      </c>
      <c r="R60" s="110">
        <f>Inputs!R189</f>
        <v>0.25</v>
      </c>
      <c r="S60" s="110">
        <f>Inputs!S189</f>
        <v>0.25</v>
      </c>
      <c r="T60" s="110">
        <f>Inputs!T189</f>
        <v>0.25</v>
      </c>
      <c r="U60" s="110">
        <f>Inputs!U189</f>
        <v>0.25</v>
      </c>
      <c r="V60" s="110">
        <f>Inputs!V189</f>
        <v>0.25</v>
      </c>
      <c r="W60" s="110">
        <f>Inputs!W189</f>
        <v>0.25</v>
      </c>
      <c r="X60" s="110">
        <f>Inputs!X189</f>
        <v>0.25</v>
      </c>
      <c r="Y60" s="110">
        <f>Inputs!Y189</f>
        <v>0.25</v>
      </c>
      <c r="Z60" s="110">
        <f>Inputs!Z189</f>
        <v>0.25</v>
      </c>
      <c r="AA60" s="110">
        <f>Inputs!AA189</f>
        <v>0.25</v>
      </c>
      <c r="AB60" s="110">
        <f>Inputs!AB189</f>
        <v>0.25</v>
      </c>
      <c r="AC60" s="110">
        <f>Inputs!AC189</f>
        <v>0.25</v>
      </c>
      <c r="AD60" s="110">
        <f>Inputs!AD189</f>
        <v>0.25</v>
      </c>
      <c r="AE60" s="110">
        <f>Inputs!AE189</f>
        <v>0.25</v>
      </c>
      <c r="AF60" s="110">
        <f>Inputs!AF189</f>
        <v>0.25</v>
      </c>
      <c r="AG60" s="110">
        <f>Inputs!AG189</f>
        <v>0.25</v>
      </c>
      <c r="AH60" s="110">
        <f>Inputs!AH189</f>
        <v>0.25</v>
      </c>
      <c r="AI60" s="110">
        <f>Inputs!AI189</f>
        <v>0.25</v>
      </c>
    </row>
    <row r="61" spans="1:35" ht="15" customHeight="1">
      <c r="A61" s="222"/>
      <c r="B61" s="17"/>
      <c r="C61" s="17"/>
      <c r="D61" s="17"/>
      <c r="E61" s="17" t="s">
        <v>492</v>
      </c>
      <c r="F61" s="17"/>
      <c r="G61" s="17" t="s">
        <v>483</v>
      </c>
      <c r="H61" s="17"/>
      <c r="I61" s="17"/>
      <c r="J61" s="17"/>
      <c r="K61" s="5">
        <f>K59 * K60</f>
        <v>0</v>
      </c>
      <c r="L61" s="5">
        <f t="shared" ref="L61:AI61" si="20">L59 * L60</f>
        <v>0</v>
      </c>
      <c r="M61" s="5">
        <f t="shared" si="20"/>
        <v>0</v>
      </c>
      <c r="N61" s="5">
        <f t="shared" si="20"/>
        <v>0</v>
      </c>
      <c r="O61" s="5">
        <f t="shared" si="20"/>
        <v>0</v>
      </c>
      <c r="P61" s="5">
        <f t="shared" si="20"/>
        <v>0</v>
      </c>
      <c r="Q61" s="5">
        <f t="shared" si="20"/>
        <v>0</v>
      </c>
      <c r="R61" s="5">
        <f t="shared" si="20"/>
        <v>0</v>
      </c>
      <c r="S61" s="5">
        <f t="shared" si="20"/>
        <v>0</v>
      </c>
      <c r="T61" s="5">
        <f t="shared" si="20"/>
        <v>0</v>
      </c>
      <c r="U61" s="5">
        <f t="shared" si="20"/>
        <v>0</v>
      </c>
      <c r="V61" s="5">
        <f t="shared" si="20"/>
        <v>0</v>
      </c>
      <c r="W61" s="5">
        <f t="shared" si="20"/>
        <v>0</v>
      </c>
      <c r="X61" s="5">
        <f t="shared" si="20"/>
        <v>7.75805481447156E-2</v>
      </c>
      <c r="Y61" s="5">
        <f t="shared" si="20"/>
        <v>1.7096070471463021</v>
      </c>
      <c r="Z61" s="5">
        <f t="shared" si="20"/>
        <v>2.6946429491825512</v>
      </c>
      <c r="AA61" s="5">
        <f t="shared" si="20"/>
        <v>3.3672334114066524</v>
      </c>
      <c r="AB61" s="5">
        <f t="shared" si="20"/>
        <v>3.6511103579430433</v>
      </c>
      <c r="AC61" s="5">
        <f t="shared" si="20"/>
        <v>4.1921978844546084</v>
      </c>
      <c r="AD61" s="5">
        <f t="shared" si="20"/>
        <v>3.8976935407960074</v>
      </c>
      <c r="AE61" s="5">
        <f t="shared" si="20"/>
        <v>4.6451967460175858</v>
      </c>
      <c r="AF61" s="5">
        <f t="shared" si="20"/>
        <v>5.038924777829787</v>
      </c>
      <c r="AG61" s="5">
        <f t="shared" si="20"/>
        <v>5.6677542004710206</v>
      </c>
      <c r="AH61" s="5">
        <f t="shared" si="20"/>
        <v>5.8509380409924852</v>
      </c>
      <c r="AI61" s="5">
        <f t="shared" si="20"/>
        <v>0</v>
      </c>
    </row>
    <row r="62" spans="1:35" ht="15" customHeight="1">
      <c r="A62" s="222"/>
      <c r="B62" s="17"/>
      <c r="C62" s="17"/>
      <c r="D62" s="17"/>
      <c r="E62" s="17"/>
      <c r="F62" s="17"/>
      <c r="G62" s="17"/>
      <c r="H62" s="17"/>
      <c r="I62" s="17"/>
      <c r="J62" s="17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</row>
    <row r="63" spans="1:35" ht="15" customHeight="1">
      <c r="A63" s="222"/>
      <c r="B63" s="17"/>
      <c r="C63" s="17"/>
      <c r="D63" s="17"/>
      <c r="E63" s="5" t="s">
        <v>493</v>
      </c>
      <c r="F63" s="17"/>
      <c r="G63" s="5" t="s">
        <v>274</v>
      </c>
      <c r="H63" s="17"/>
      <c r="I63" s="17"/>
      <c r="J63" s="17"/>
      <c r="K63" s="94">
        <f t="shared" ref="K63:AI63" si="21">1 / (1 - K60)</f>
        <v>1.3333333333333333</v>
      </c>
      <c r="L63" s="94">
        <f t="shared" si="21"/>
        <v>1.3333333333333333</v>
      </c>
      <c r="M63" s="94">
        <f t="shared" si="21"/>
        <v>1.3333333333333333</v>
      </c>
      <c r="N63" s="94">
        <f t="shared" si="21"/>
        <v>1.3333333333333333</v>
      </c>
      <c r="O63" s="94">
        <f t="shared" si="21"/>
        <v>1.3333333333333333</v>
      </c>
      <c r="P63" s="94">
        <f t="shared" si="21"/>
        <v>1.3333333333333333</v>
      </c>
      <c r="Q63" s="94">
        <f t="shared" si="21"/>
        <v>1.3333333333333333</v>
      </c>
      <c r="R63" s="94">
        <f t="shared" si="21"/>
        <v>1.3333333333333333</v>
      </c>
      <c r="S63" s="94">
        <f t="shared" si="21"/>
        <v>1.3333333333333333</v>
      </c>
      <c r="T63" s="94">
        <f t="shared" si="21"/>
        <v>1.3333333333333333</v>
      </c>
      <c r="U63" s="94">
        <f t="shared" si="21"/>
        <v>1.3333333333333333</v>
      </c>
      <c r="V63" s="94">
        <f t="shared" si="21"/>
        <v>1.3333333333333333</v>
      </c>
      <c r="W63" s="94">
        <f t="shared" si="21"/>
        <v>1.3333333333333333</v>
      </c>
      <c r="X63" s="94">
        <f t="shared" si="21"/>
        <v>1.3333333333333333</v>
      </c>
      <c r="Y63" s="94">
        <f t="shared" si="21"/>
        <v>1.3333333333333333</v>
      </c>
      <c r="Z63" s="94">
        <f t="shared" si="21"/>
        <v>1.3333333333333333</v>
      </c>
      <c r="AA63" s="94">
        <f t="shared" si="21"/>
        <v>1.3333333333333333</v>
      </c>
      <c r="AB63" s="94">
        <f t="shared" si="21"/>
        <v>1.3333333333333333</v>
      </c>
      <c r="AC63" s="94">
        <f t="shared" si="21"/>
        <v>1.3333333333333333</v>
      </c>
      <c r="AD63" s="94">
        <f t="shared" si="21"/>
        <v>1.3333333333333333</v>
      </c>
      <c r="AE63" s="94">
        <f t="shared" si="21"/>
        <v>1.3333333333333333</v>
      </c>
      <c r="AF63" s="94">
        <f t="shared" si="21"/>
        <v>1.3333333333333333</v>
      </c>
      <c r="AG63" s="94">
        <f t="shared" si="21"/>
        <v>1.3333333333333333</v>
      </c>
      <c r="AH63" s="94">
        <f t="shared" si="21"/>
        <v>1.3333333333333333</v>
      </c>
      <c r="AI63" s="94">
        <f t="shared" si="21"/>
        <v>1.3333333333333333</v>
      </c>
    </row>
    <row r="64" spans="1:35" ht="15" customHeight="1">
      <c r="A64" s="222"/>
      <c r="B64" s="17"/>
      <c r="C64" s="17"/>
      <c r="D64" s="17"/>
      <c r="E64" s="17"/>
      <c r="F64" s="17"/>
      <c r="G64" s="17"/>
      <c r="H64" s="17"/>
      <c r="I64" s="17"/>
      <c r="J64" s="17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</row>
    <row r="65" spans="1:35" ht="15" customHeight="1">
      <c r="A65" s="222"/>
      <c r="B65" s="17"/>
      <c r="C65" s="17"/>
      <c r="D65" s="17"/>
      <c r="E65" s="40" t="s">
        <v>499</v>
      </c>
      <c r="F65" s="17"/>
      <c r="G65" s="4" t="s">
        <v>483</v>
      </c>
      <c r="H65" s="17"/>
      <c r="I65" s="17"/>
      <c r="J65" s="17"/>
      <c r="K65" s="252">
        <f t="shared" ref="K65:AI65" si="22">K61 * K63</f>
        <v>0</v>
      </c>
      <c r="L65" s="252">
        <f t="shared" si="22"/>
        <v>0</v>
      </c>
      <c r="M65" s="252">
        <f t="shared" si="22"/>
        <v>0</v>
      </c>
      <c r="N65" s="252">
        <f t="shared" si="22"/>
        <v>0</v>
      </c>
      <c r="O65" s="252">
        <f t="shared" si="22"/>
        <v>0</v>
      </c>
      <c r="P65" s="252">
        <f t="shared" si="22"/>
        <v>0</v>
      </c>
      <c r="Q65" s="252">
        <f t="shared" si="22"/>
        <v>0</v>
      </c>
      <c r="R65" s="252">
        <f t="shared" si="22"/>
        <v>0</v>
      </c>
      <c r="S65" s="252">
        <f t="shared" si="22"/>
        <v>0</v>
      </c>
      <c r="T65" s="252">
        <f t="shared" si="22"/>
        <v>0</v>
      </c>
      <c r="U65" s="252">
        <f t="shared" si="22"/>
        <v>0</v>
      </c>
      <c r="V65" s="252">
        <f t="shared" si="22"/>
        <v>0</v>
      </c>
      <c r="W65" s="252">
        <f t="shared" si="22"/>
        <v>0</v>
      </c>
      <c r="X65" s="252">
        <f t="shared" si="22"/>
        <v>0.1034407308596208</v>
      </c>
      <c r="Y65" s="252">
        <f t="shared" si="22"/>
        <v>2.2794760628617361</v>
      </c>
      <c r="Z65" s="252">
        <f t="shared" si="22"/>
        <v>3.5928572655767348</v>
      </c>
      <c r="AA65" s="252">
        <f t="shared" si="22"/>
        <v>4.489644548542203</v>
      </c>
      <c r="AB65" s="252">
        <f t="shared" si="22"/>
        <v>4.8681471439240571</v>
      </c>
      <c r="AC65" s="252">
        <f t="shared" si="22"/>
        <v>5.5895971792728112</v>
      </c>
      <c r="AD65" s="252">
        <f t="shared" si="22"/>
        <v>5.1969247210613432</v>
      </c>
      <c r="AE65" s="252">
        <f t="shared" si="22"/>
        <v>6.1935956613567811</v>
      </c>
      <c r="AF65" s="252">
        <f t="shared" si="22"/>
        <v>6.7185663704397154</v>
      </c>
      <c r="AG65" s="252">
        <f t="shared" si="22"/>
        <v>7.5570056006280275</v>
      </c>
      <c r="AH65" s="252">
        <f t="shared" si="22"/>
        <v>7.8012507213233135</v>
      </c>
      <c r="AI65" s="252">
        <f t="shared" si="22"/>
        <v>0</v>
      </c>
    </row>
    <row r="66" spans="1:35" ht="15" customHeight="1">
      <c r="A66" s="222"/>
      <c r="B66" s="17"/>
      <c r="C66" s="17"/>
      <c r="D66" s="17"/>
      <c r="E66" s="17"/>
      <c r="F66" s="17"/>
      <c r="G66" s="17"/>
      <c r="H66" s="17"/>
      <c r="I66" s="17"/>
      <c r="J66" s="17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</row>
    <row r="67" spans="1:35" ht="15" customHeight="1">
      <c r="A67" s="222"/>
      <c r="B67" s="267" t="s">
        <v>505</v>
      </c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</row>
    <row r="68" spans="1:35" ht="15" customHeight="1">
      <c r="A68" s="222"/>
      <c r="B68" s="5"/>
      <c r="C68" s="5"/>
      <c r="D68" s="5"/>
      <c r="E68" s="17"/>
      <c r="F68" s="17"/>
      <c r="G68" s="17"/>
      <c r="H68" s="17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</row>
    <row r="69" spans="1:35" ht="15" customHeight="1">
      <c r="A69" s="222"/>
      <c r="B69" s="5"/>
      <c r="C69" s="5"/>
      <c r="D69" s="5"/>
      <c r="E69" s="5" t="s">
        <v>499</v>
      </c>
      <c r="F69" s="17"/>
      <c r="G69" s="5" t="str">
        <f>Inputs!$I$11</f>
        <v>£m 2020 prices</v>
      </c>
      <c r="H69" s="17"/>
      <c r="I69" s="17"/>
      <c r="J69" s="28"/>
      <c r="K69" s="5">
        <f>'Tax Floor'!K65 / 'Tax Deductions'!K$12</f>
        <v>0</v>
      </c>
      <c r="L69" s="5">
        <f>'Tax Floor'!L65 / 'Tax Deductions'!L$12</f>
        <v>0</v>
      </c>
      <c r="M69" s="5">
        <f>'Tax Floor'!M65 / 'Tax Deductions'!M$12</f>
        <v>0</v>
      </c>
      <c r="N69" s="5">
        <f>'Tax Floor'!N65 / 'Tax Deductions'!N$12</f>
        <v>0</v>
      </c>
      <c r="O69" s="5">
        <f>'Tax Floor'!O65 / 'Tax Deductions'!O$12</f>
        <v>0</v>
      </c>
      <c r="P69" s="5">
        <f>'Tax Floor'!P65 / 'Tax Deductions'!P$12</f>
        <v>0</v>
      </c>
      <c r="Q69" s="5">
        <f>'Tax Floor'!Q65 / 'Tax Deductions'!Q$12</f>
        <v>0</v>
      </c>
      <c r="R69" s="5">
        <f>'Tax Floor'!R65 / 'Tax Deductions'!R$12</f>
        <v>0</v>
      </c>
      <c r="S69" s="5">
        <f>'Tax Floor'!S65 / 'Tax Deductions'!S$12</f>
        <v>0</v>
      </c>
      <c r="T69" s="5">
        <f>'Tax Floor'!T65 / 'Tax Deductions'!T$12</f>
        <v>0</v>
      </c>
      <c r="U69" s="5">
        <f>'Tax Floor'!U65 / 'Tax Deductions'!U$12</f>
        <v>0</v>
      </c>
      <c r="V69" s="5">
        <f>'Tax Floor'!V65 / 'Tax Deductions'!V$12</f>
        <v>0</v>
      </c>
      <c r="W69" s="5">
        <f>'Tax Floor'!W65 / 'Tax Deductions'!W$12</f>
        <v>0</v>
      </c>
      <c r="X69" s="5">
        <f>'Tax Floor'!X65 / 'Tax Deductions'!X$12</f>
        <v>5.4408317489383046E-2</v>
      </c>
      <c r="Y69" s="5">
        <f>'Tax Floor'!Y65 / 'Tax Deductions'!Y$12</f>
        <v>1.1497614127893139</v>
      </c>
      <c r="Z69" s="5">
        <f>'Tax Floor'!Z65 / 'Tax Deductions'!Z$12</f>
        <v>1.737847385741629</v>
      </c>
      <c r="AA69" s="5">
        <f>'Tax Floor'!AA65 / 'Tax Deductions'!AA$12</f>
        <v>2.0824884763399352</v>
      </c>
      <c r="AB69" s="5">
        <f>'Tax Floor'!AB65 / 'Tax Deductions'!AB$12</f>
        <v>2.1653760171506824</v>
      </c>
      <c r="AC69" s="5">
        <f>'Tax Floor'!AC65 / 'Tax Deductions'!AC$12</f>
        <v>2.3842353034673138</v>
      </c>
      <c r="AD69" s="5">
        <f>'Tax Floor'!AD65 / 'Tax Deductions'!AD$12</f>
        <v>2.1257589033366422</v>
      </c>
      <c r="AE69" s="5">
        <f>'Tax Floor'!AE65 / 'Tax Deductions'!AE$12</f>
        <v>2.4294580699913384</v>
      </c>
      <c r="AF69" s="5">
        <f>'Tax Floor'!AF65 / 'Tax Deductions'!AF$12</f>
        <v>2.5272147491349748</v>
      </c>
      <c r="AG69" s="5">
        <f>'Tax Floor'!AG65 / 'Tax Deductions'!AG$12</f>
        <v>2.7259272260584515</v>
      </c>
      <c r="AH69" s="5">
        <f>'Tax Floor'!AH65 / 'Tax Deductions'!AH$12</f>
        <v>2.6985329572511576</v>
      </c>
      <c r="AI69" s="5">
        <f>'Tax Floor'!AI65 / 'Tax Deductions'!AI$12</f>
        <v>0</v>
      </c>
    </row>
    <row r="70" spans="1:35" ht="15" customHeight="1">
      <c r="A70" s="222"/>
      <c r="B70" s="5"/>
      <c r="C70" s="5"/>
      <c r="D70" s="5"/>
      <c r="E70" s="5" t="s">
        <v>429</v>
      </c>
      <c r="F70" s="17"/>
      <c r="G70" s="5" t="str">
        <f>'Allowances Floor'!G58</f>
        <v>scalar</v>
      </c>
      <c r="H70" s="17"/>
      <c r="I70" s="17"/>
      <c r="J70" s="28"/>
      <c r="K70" s="98">
        <f>'Allowances Floor'!K58</f>
        <v>1.0115093965194821</v>
      </c>
      <c r="L70" s="98">
        <f>'Allowances Floor'!L58</f>
        <v>1.023151259247207</v>
      </c>
      <c r="M70" s="98">
        <f>'Allowances Floor'!M58</f>
        <v>1.0349271127892905</v>
      </c>
      <c r="N70" s="98">
        <f>'Allowances Floor'!N58</f>
        <v>1.0468384992991453</v>
      </c>
      <c r="O70" s="98">
        <f>'Allowances Floor'!O58</f>
        <v>1.0588869786794386</v>
      </c>
      <c r="P70" s="98">
        <f>'Allowances Floor'!P58</f>
        <v>1.0710741287863768</v>
      </c>
      <c r="Q70" s="98">
        <f>'Allowances Floor'!Q58</f>
        <v>1.0834015456363379</v>
      </c>
      <c r="R70" s="98">
        <f>'Allowances Floor'!R58</f>
        <v>1.0958708436148863</v>
      </c>
      <c r="S70" s="98">
        <f>'Allowances Floor'!S58</f>
        <v>1.1084836556881896</v>
      </c>
      <c r="T70" s="98">
        <f>'Allowances Floor'!T58</f>
        <v>1.12124163361687</v>
      </c>
      <c r="U70" s="98">
        <f>'Allowances Floor'!U58</f>
        <v>1.1341464481723185</v>
      </c>
      <c r="V70" s="98">
        <f>'Allowances Floor'!V58</f>
        <v>1.1471997893554959</v>
      </c>
      <c r="W70" s="98">
        <f>'Allowances Floor'!W58</f>
        <v>1.1604033666182545</v>
      </c>
      <c r="X70" s="98">
        <f>'Allowances Floor'!X58</f>
        <v>1.1737589090872063</v>
      </c>
      <c r="Y70" s="98">
        <f>'Allowances Floor'!Y58</f>
        <v>1.1872681657901656</v>
      </c>
      <c r="Z70" s="98">
        <f>'Allowances Floor'!Z58</f>
        <v>1.2009329058852027</v>
      </c>
      <c r="AA70" s="98">
        <f>'Allowances Floor'!AA58</f>
        <v>1.2147549188923294</v>
      </c>
      <c r="AB70" s="98">
        <f>'Allowances Floor'!AB58</f>
        <v>1.2287360149278526</v>
      </c>
      <c r="AC70" s="98">
        <f>'Allowances Floor'!AC58</f>
        <v>1.2428780249414255</v>
      </c>
      <c r="AD70" s="98">
        <f>'Allowances Floor'!AD58</f>
        <v>1.2571828009558272</v>
      </c>
      <c r="AE70" s="98">
        <f>'Allowances Floor'!AE58</f>
        <v>1.271652216309501</v>
      </c>
      <c r="AF70" s="98">
        <f>'Allowances Floor'!AF58</f>
        <v>1.2862881659018852</v>
      </c>
      <c r="AG70" s="98">
        <f>'Allowances Floor'!AG58</f>
        <v>1.3010925664415676</v>
      </c>
      <c r="AH70" s="98">
        <f>'Allowances Floor'!AH58</f>
        <v>1.316067356697294</v>
      </c>
      <c r="AI70" s="98">
        <f>'Allowances Floor'!AI58</f>
        <v>1.3312144977518701</v>
      </c>
    </row>
    <row r="71" spans="1:35" ht="15" customHeight="1">
      <c r="A71" s="222"/>
      <c r="B71" s="42"/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42"/>
      <c r="AH71" s="42"/>
      <c r="AI71" s="42"/>
    </row>
    <row r="72" spans="1:35" ht="15" customHeight="1">
      <c r="A72" s="222"/>
      <c r="B72" s="5"/>
      <c r="C72" s="5"/>
      <c r="D72" s="5"/>
      <c r="E72" s="17" t="s">
        <v>501</v>
      </c>
      <c r="F72" s="17"/>
      <c r="G72" s="5" t="str">
        <f>Inputs!$I$11</f>
        <v>£m 2020 prices</v>
      </c>
      <c r="H72" s="17"/>
      <c r="I72" s="17"/>
      <c r="J72" s="28"/>
      <c r="K72" s="252">
        <f>K69*K70</f>
        <v>0</v>
      </c>
      <c r="L72" s="252">
        <f t="shared" ref="L72:AI72" si="23">L69*L70</f>
        <v>0</v>
      </c>
      <c r="M72" s="252">
        <f t="shared" si="23"/>
        <v>0</v>
      </c>
      <c r="N72" s="252">
        <f t="shared" si="23"/>
        <v>0</v>
      </c>
      <c r="O72" s="252">
        <f t="shared" si="23"/>
        <v>0</v>
      </c>
      <c r="P72" s="252">
        <f t="shared" si="23"/>
        <v>0</v>
      </c>
      <c r="Q72" s="252">
        <f t="shared" si="23"/>
        <v>0</v>
      </c>
      <c r="R72" s="252">
        <f t="shared" si="23"/>
        <v>0</v>
      </c>
      <c r="S72" s="252">
        <f t="shared" si="23"/>
        <v>0</v>
      </c>
      <c r="T72" s="252">
        <f t="shared" si="23"/>
        <v>0</v>
      </c>
      <c r="U72" s="252">
        <f t="shared" si="23"/>
        <v>0</v>
      </c>
      <c r="V72" s="252">
        <f t="shared" si="23"/>
        <v>0</v>
      </c>
      <c r="W72" s="252">
        <f t="shared" si="23"/>
        <v>0</v>
      </c>
      <c r="X72" s="252">
        <f t="shared" si="23"/>
        <v>6.3862247381608603E-2</v>
      </c>
      <c r="Y72" s="252">
        <f t="shared" si="23"/>
        <v>1.3650751236586782</v>
      </c>
      <c r="Z72" s="252">
        <f t="shared" si="23"/>
        <v>2.0870381109436975</v>
      </c>
      <c r="AA72" s="252">
        <f t="shared" si="23"/>
        <v>2.5297131201705287</v>
      </c>
      <c r="AB72" s="252">
        <f t="shared" si="23"/>
        <v>2.6606754981340748</v>
      </c>
      <c r="AC72" s="252">
        <f t="shared" si="23"/>
        <v>2.9633136649690752</v>
      </c>
      <c r="AD72" s="252">
        <f t="shared" si="23"/>
        <v>2.6724675322535476</v>
      </c>
      <c r="AE72" s="252">
        <f t="shared" si="23"/>
        <v>3.0894257391354882</v>
      </c>
      <c r="AF72" s="252">
        <f t="shared" si="23"/>
        <v>3.2507264245050198</v>
      </c>
      <c r="AG72" s="252">
        <f t="shared" si="23"/>
        <v>3.5466836504853338</v>
      </c>
      <c r="AH72" s="252">
        <f t="shared" si="23"/>
        <v>3.5514511360100629</v>
      </c>
      <c r="AI72" s="252">
        <f t="shared" si="23"/>
        <v>0</v>
      </c>
    </row>
    <row r="73" spans="1:35" ht="15" customHeight="1">
      <c r="A73" s="222"/>
      <c r="B73" s="5"/>
      <c r="C73" s="5"/>
      <c r="D73" s="5"/>
      <c r="E73" s="17" t="s">
        <v>502</v>
      </c>
      <c r="F73" s="17"/>
      <c r="G73" s="5" t="str">
        <f>Inputs!$I$11</f>
        <v>£m 2020 prices</v>
      </c>
      <c r="H73" s="17"/>
      <c r="I73" s="255">
        <f>SUM(K72:AI72)</f>
        <v>27.780432247647116</v>
      </c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</row>
    <row r="74" spans="1:35" ht="15" customHeight="1">
      <c r="A74" s="222"/>
      <c r="B74" s="5"/>
      <c r="C74" s="5"/>
      <c r="D74" s="5"/>
      <c r="E74" s="17"/>
      <c r="F74" s="17"/>
      <c r="G74" s="17"/>
      <c r="H74" s="17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</row>
    <row r="75" spans="1:35" ht="15" customHeight="1">
      <c r="A75" s="222"/>
      <c r="B75" s="5"/>
      <c r="C75" s="5"/>
      <c r="D75" s="5"/>
      <c r="E75" s="17" t="s">
        <v>428</v>
      </c>
      <c r="F75" s="17"/>
      <c r="G75" s="17" t="str">
        <f>'Allowances Floor'!G65</f>
        <v>scalar</v>
      </c>
      <c r="H75" s="17"/>
      <c r="I75" s="97">
        <f>'Allowances Floor'!I65</f>
        <v>3.8567228484761955E-2</v>
      </c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</row>
    <row r="76" spans="1:35" ht="15" customHeight="1">
      <c r="A76" s="222"/>
      <c r="B76" s="5"/>
      <c r="C76" s="5"/>
      <c r="D76" s="5"/>
      <c r="E76" s="17"/>
      <c r="F76" s="17"/>
      <c r="G76" s="17"/>
      <c r="H76" s="17"/>
      <c r="I76" s="17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</row>
    <row r="77" spans="1:35" ht="15" customHeight="1">
      <c r="A77" s="222"/>
      <c r="B77" s="5"/>
      <c r="C77" s="5"/>
      <c r="D77" s="5"/>
      <c r="E77" s="17" t="s">
        <v>503</v>
      </c>
      <c r="F77" s="17"/>
      <c r="G77" s="5" t="str">
        <f>Inputs!$I$11</f>
        <v>£m 2020 prices</v>
      </c>
      <c r="H77" s="17"/>
      <c r="I77" s="256">
        <f>I73 * I75</f>
        <v>1.0714142779004554</v>
      </c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</row>
    <row r="78" spans="1:35" ht="15" customHeight="1">
      <c r="A78" s="222"/>
      <c r="B78" s="5"/>
      <c r="C78" s="5"/>
      <c r="D78" s="5"/>
      <c r="E78" s="17"/>
      <c r="F78" s="17"/>
      <c r="G78" s="17"/>
      <c r="H78" s="17"/>
      <c r="I78" s="17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</row>
    <row r="79" spans="1:35" ht="15" customHeight="1">
      <c r="A79"/>
      <c r="B79" s="267" t="s">
        <v>47</v>
      </c>
      <c r="C79" s="11"/>
      <c r="D79" s="11"/>
      <c r="E79" s="11"/>
      <c r="F79" s="11"/>
      <c r="G79" s="11"/>
      <c r="H79" s="11"/>
      <c r="I79" s="25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</row>
    <row r="80" spans="1:35" ht="1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</row>
    <row r="81" spans="1:35" ht="15" hidden="1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</row>
    <row r="82" spans="1:35" ht="15" hidden="1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</row>
    <row r="83" spans="1:35" ht="15" hidden="1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</row>
    <row r="84" spans="1:35" ht="15" hidden="1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</row>
    <row r="85" spans="1:35" ht="15" hidden="1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</row>
    <row r="86" spans="1:35" ht="15" hidden="1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</row>
    <row r="87" spans="1:35" ht="15" hidden="1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</row>
    <row r="88" spans="1:35" ht="15" hidden="1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</row>
    <row r="89" spans="1:35" ht="15" hidden="1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</row>
    <row r="90" spans="1:35" ht="15" hidden="1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</row>
    <row r="91" spans="1:35" ht="15" hidden="1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</row>
    <row r="92" spans="1:35" ht="15" hidden="1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</row>
    <row r="93" spans="1:35" ht="15" hidden="1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</row>
    <row r="94" spans="1:35" ht="15" hidden="1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</row>
    <row r="95" spans="1:35" ht="15" hidden="1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</row>
    <row r="96" spans="1:35" ht="15" hidden="1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</row>
    <row r="97" spans="1:35" ht="15" hidden="1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</row>
  </sheetData>
  <pageMargins left="0.23622047244094491" right="0.23622047244094491" top="0.74803149606299213" bottom="0.74803149606299213" header="0.31496062992125984" footer="0.31496062992125984"/>
  <pageSetup paperSize="8" scale="43" fitToHeight="0" orientation="landscape" r:id="rId1"/>
  <headerFooter>
    <oddHeader>&amp;C&amp;"Aptos"&amp;10&amp;K000000 OFFICIAL&amp;1#_x000D_</oddHeader>
    <oddFooter>&amp;C_x000D_&amp;1#&amp;"Aptos"&amp;10&amp;K000000 OFFICIAL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8">
    <tabColor theme="6" tint="0.59999389629810485"/>
    <pageSetUpPr fitToPage="1"/>
  </sheetPr>
  <dimension ref="A1:AT41"/>
  <sheetViews>
    <sheetView view="pageBreakPreview" zoomScale="96" zoomScaleNormal="130" zoomScaleSheetLayoutView="96" workbookViewId="0">
      <pane xSplit="10" ySplit="2" topLeftCell="K3" activePane="bottomRight" state="frozen"/>
      <selection pane="topRight" activeCell="G26" sqref="G26"/>
      <selection pane="bottomLeft" activeCell="G26" sqref="G26"/>
      <selection pane="bottomRight" activeCell="B40" activeCellId="1" sqref="B4 B40"/>
    </sheetView>
  </sheetViews>
  <sheetFormatPr defaultColWidth="0" defaultRowHeight="15" customHeight="1" zeroHeight="1"/>
  <cols>
    <col min="1" max="3" width="2.5703125" style="27" customWidth="1"/>
    <col min="4" max="4" width="2.5703125" style="17" customWidth="1"/>
    <col min="5" max="5" width="99.140625" style="17" bestFit="1" customWidth="1"/>
    <col min="6" max="6" width="1.5703125" style="17" customWidth="1"/>
    <col min="7" max="7" width="15.5703125" style="17" customWidth="1"/>
    <col min="8" max="8" width="10.7109375" style="17" bestFit="1" customWidth="1"/>
    <col min="9" max="9" width="11.42578125" style="17" bestFit="1" customWidth="1"/>
    <col min="10" max="10" width="3.140625" customWidth="1"/>
    <col min="11" max="21" width="10.5703125" hidden="1" customWidth="1"/>
    <col min="22" max="22" width="11.28515625" hidden="1" customWidth="1"/>
    <col min="23" max="39" width="13.7109375" hidden="1" customWidth="1"/>
    <col min="40" max="40" width="12.5703125" hidden="1" customWidth="1"/>
    <col min="41" max="46" width="13.7109375" hidden="1" customWidth="1"/>
    <col min="47" max="16384" width="9.140625" hidden="1"/>
  </cols>
  <sheetData>
    <row r="1" spans="1:9" ht="15" customHeight="1">
      <c r="A1" s="157" t="s">
        <v>42</v>
      </c>
      <c r="B1" s="12"/>
      <c r="C1" s="12"/>
      <c r="D1" s="12"/>
      <c r="E1" s="12"/>
      <c r="F1" s="12"/>
      <c r="G1" s="12"/>
      <c r="H1" s="12" t="s">
        <v>108</v>
      </c>
      <c r="I1" s="12"/>
    </row>
    <row r="2" spans="1:9" ht="15" customHeight="1">
      <c r="A2" s="12"/>
      <c r="B2" s="12"/>
      <c r="C2" s="12"/>
      <c r="D2" s="12"/>
      <c r="E2" s="14" t="s">
        <v>109</v>
      </c>
      <c r="F2" s="14"/>
      <c r="G2" s="14" t="s">
        <v>110</v>
      </c>
      <c r="H2" s="14" t="s">
        <v>111</v>
      </c>
      <c r="I2" s="14" t="s">
        <v>112</v>
      </c>
    </row>
    <row r="3" spans="1:9" ht="15" customHeight="1">
      <c r="I3" s="28"/>
    </row>
    <row r="4" spans="1:9" ht="15" customHeight="1">
      <c r="B4" s="267" t="s">
        <v>506</v>
      </c>
      <c r="C4" s="56"/>
      <c r="D4" s="56"/>
      <c r="E4" s="56"/>
      <c r="F4" s="56"/>
      <c r="G4" s="56"/>
      <c r="H4" s="56"/>
      <c r="I4" s="56"/>
    </row>
    <row r="5" spans="1:9" ht="15" customHeight="1">
      <c r="C5" s="17"/>
      <c r="I5" s="28"/>
    </row>
    <row r="6" spans="1:9" ht="15" customHeight="1">
      <c r="A6" s="5"/>
      <c r="B6" s="5"/>
      <c r="C6" s="10" t="s">
        <v>507</v>
      </c>
      <c r="D6" s="10"/>
      <c r="E6" s="10"/>
      <c r="F6" s="10"/>
      <c r="G6" s="10"/>
      <c r="H6" s="10"/>
      <c r="I6" s="10"/>
    </row>
    <row r="7" spans="1:9" ht="15" customHeight="1">
      <c r="A7" s="5"/>
      <c r="B7" s="5"/>
      <c r="C7" s="3" t="s">
        <v>508</v>
      </c>
      <c r="D7" s="3"/>
      <c r="E7" s="3"/>
    </row>
    <row r="8" spans="1:9" ht="15" customHeight="1">
      <c r="A8"/>
      <c r="B8" s="5"/>
      <c r="C8" s="5"/>
      <c r="D8" s="5"/>
      <c r="E8" s="5" t="s">
        <v>509</v>
      </c>
      <c r="G8" s="5" t="str">
        <f>Inputs!$I$11</f>
        <v>£m 2020 prices</v>
      </c>
      <c r="I8" s="175">
        <f>'Allowances Cap'!$I33</f>
        <v>27.429020517418916</v>
      </c>
    </row>
    <row r="9" spans="1:9" ht="15" customHeight="1">
      <c r="A9"/>
      <c r="B9" s="5"/>
      <c r="C9" s="5"/>
      <c r="D9" s="5"/>
      <c r="E9" s="5" t="s">
        <v>510</v>
      </c>
      <c r="G9" s="5" t="str">
        <f>Inputs!$I$11</f>
        <v>£m 2020 prices</v>
      </c>
      <c r="I9" s="175">
        <f>'Allowances Floor'!$I33</f>
        <v>15.210960117704312</v>
      </c>
    </row>
    <row r="10" spans="1:9" ht="15" customHeight="1">
      <c r="A10" s="115"/>
      <c r="B10" s="5"/>
      <c r="C10" s="5"/>
      <c r="D10" s="5"/>
      <c r="I10" s="75"/>
    </row>
    <row r="11" spans="1:9" ht="13.15">
      <c r="A11"/>
      <c r="B11" s="5"/>
      <c r="C11" s="5"/>
      <c r="D11" s="5"/>
      <c r="E11" s="55" t="s">
        <v>511</v>
      </c>
      <c r="G11" s="5" t="str">
        <f>Inputs!$I$11</f>
        <v>£m 2020 prices</v>
      </c>
      <c r="I11" s="175">
        <f>IF(Inputs!$I$199="No",'Tax Cap'!I40,0)</f>
        <v>3.9639745603188348</v>
      </c>
    </row>
    <row r="12" spans="1:9" ht="13.15">
      <c r="A12"/>
      <c r="B12" s="5"/>
      <c r="C12" s="5"/>
      <c r="D12" s="5"/>
      <c r="E12" s="55" t="s">
        <v>512</v>
      </c>
      <c r="G12" s="5" t="str">
        <f>Inputs!$I$11</f>
        <v>£m 2020 prices</v>
      </c>
      <c r="I12" s="175">
        <f>IF(Inputs!$I$199="No",'Tax Floor'!I40,0)</f>
        <v>0.91941222344379026</v>
      </c>
    </row>
    <row r="13" spans="1:9" ht="15" customHeight="1">
      <c r="A13"/>
      <c r="B13" s="5"/>
      <c r="C13" s="5"/>
      <c r="D13" s="5"/>
      <c r="E13" s="113"/>
      <c r="G13" s="5"/>
      <c r="I13" s="114"/>
    </row>
    <row r="14" spans="1:9" ht="15" customHeight="1">
      <c r="A14"/>
      <c r="B14" s="5"/>
      <c r="C14" s="5"/>
      <c r="D14" s="5"/>
      <c r="E14" s="55" t="s">
        <v>513</v>
      </c>
      <c r="G14" s="5" t="str">
        <f>Inputs!$I$11</f>
        <v>£m 2020 prices</v>
      </c>
      <c r="I14" s="125"/>
    </row>
    <row r="15" spans="1:9" ht="15" customHeight="1">
      <c r="A15"/>
      <c r="B15" s="5"/>
      <c r="C15" s="5"/>
      <c r="D15" s="5"/>
      <c r="E15" s="55" t="s">
        <v>514</v>
      </c>
      <c r="G15" s="5" t="str">
        <f>Inputs!$I$11</f>
        <v>£m 2020 prices</v>
      </c>
      <c r="I15" s="125"/>
    </row>
    <row r="16" spans="1:9" ht="15" customHeight="1">
      <c r="A16"/>
      <c r="B16" s="5"/>
      <c r="C16" s="5"/>
      <c r="D16" s="5"/>
      <c r="I16" s="75"/>
    </row>
    <row r="17" spans="1:9" ht="13.15">
      <c r="A17"/>
      <c r="B17" s="5"/>
      <c r="C17" s="5"/>
      <c r="D17" s="5"/>
      <c r="E17" s="5" t="s">
        <v>515</v>
      </c>
      <c r="G17" s="5" t="str">
        <f>Inputs!$I$11</f>
        <v>£m 2020 prices</v>
      </c>
      <c r="I17" s="257">
        <f>I8+IF(Inputs!$I$199="Yes",I14,I11)</f>
        <v>31.392995077737751</v>
      </c>
    </row>
    <row r="18" spans="1:9" ht="13.15">
      <c r="A18"/>
      <c r="B18" s="5"/>
      <c r="C18" s="5"/>
      <c r="D18" s="5"/>
      <c r="E18" s="5" t="s">
        <v>516</v>
      </c>
      <c r="G18" s="5" t="str">
        <f>Inputs!$I$11</f>
        <v>£m 2020 prices</v>
      </c>
      <c r="H18" s="212"/>
      <c r="I18" s="111">
        <f>I9+IF(Inputs!$I$199="Yes",I15,I12)</f>
        <v>16.130372341148103</v>
      </c>
    </row>
    <row r="19" spans="1:9" ht="15" customHeight="1">
      <c r="A19" s="115"/>
      <c r="B19" s="5"/>
      <c r="C19" s="5"/>
      <c r="D19" s="5"/>
      <c r="I19" s="75"/>
    </row>
    <row r="20" spans="1:9" ht="15" customHeight="1">
      <c r="A20"/>
      <c r="E20" s="17" t="s">
        <v>517</v>
      </c>
      <c r="G20" s="5" t="str">
        <f>Inputs!$I$11</f>
        <v>£m 2020 prices</v>
      </c>
      <c r="H20" s="17" t="s">
        <v>518</v>
      </c>
      <c r="I20" s="263">
        <v>31.178949750000001</v>
      </c>
    </row>
    <row r="21" spans="1:9" ht="15" customHeight="1">
      <c r="A21"/>
      <c r="C21" s="17"/>
      <c r="E21" s="17" t="s">
        <v>519</v>
      </c>
      <c r="G21" s="5" t="str">
        <f>Inputs!$I$11</f>
        <v>£m 2020 prices</v>
      </c>
      <c r="H21" s="17" t="s">
        <v>520</v>
      </c>
      <c r="I21" s="263">
        <v>15.546731749999999</v>
      </c>
    </row>
    <row r="22" spans="1:9" ht="15" customHeight="1">
      <c r="A22"/>
      <c r="B22" s="17"/>
      <c r="I22" s="76"/>
    </row>
    <row r="23" spans="1:9" ht="15" customHeight="1">
      <c r="A23"/>
      <c r="B23" s="17"/>
      <c r="C23" s="17"/>
      <c r="E23" s="17" t="s">
        <v>521</v>
      </c>
      <c r="G23" s="5" t="str">
        <f>Inputs!$I$11</f>
        <v>£m 2020 prices</v>
      </c>
      <c r="H23" s="17" t="s">
        <v>522</v>
      </c>
      <c r="I23" s="76">
        <f>I17-I20</f>
        <v>0.21404532773775031</v>
      </c>
    </row>
    <row r="24" spans="1:9" ht="15" customHeight="1">
      <c r="A24"/>
      <c r="B24" s="17"/>
      <c r="C24" s="17"/>
      <c r="E24" s="17" t="s">
        <v>523</v>
      </c>
      <c r="G24" s="5" t="str">
        <f>Inputs!$I$11</f>
        <v>£m 2020 prices</v>
      </c>
      <c r="H24" s="17" t="s">
        <v>524</v>
      </c>
      <c r="I24" s="76">
        <f>I18-I21</f>
        <v>0.58364059114810374</v>
      </c>
    </row>
    <row r="25" spans="1:9" ht="15" customHeight="1">
      <c r="A25" s="5"/>
      <c r="B25" s="5"/>
      <c r="C25" s="5"/>
      <c r="D25" s="5"/>
    </row>
    <row r="26" spans="1:9" ht="15" customHeight="1">
      <c r="A26" s="220"/>
      <c r="B26" s="5"/>
      <c r="C26" s="10" t="s">
        <v>525</v>
      </c>
      <c r="D26" s="10"/>
      <c r="E26" s="10"/>
      <c r="F26" s="10"/>
      <c r="G26" s="10"/>
      <c r="H26" s="10"/>
      <c r="I26" s="10"/>
    </row>
    <row r="27" spans="1:9" ht="15" customHeight="1">
      <c r="A27" s="220"/>
      <c r="B27" s="5"/>
      <c r="C27" s="3" t="s">
        <v>508</v>
      </c>
      <c r="D27" s="3"/>
      <c r="E27" s="3"/>
    </row>
    <row r="28" spans="1:9" ht="15" customHeight="1">
      <c r="A28" s="222"/>
      <c r="B28" s="5"/>
      <c r="C28" s="5"/>
      <c r="D28" s="5"/>
      <c r="E28" s="5" t="s">
        <v>526</v>
      </c>
      <c r="G28" s="5" t="str">
        <f>Inputs!$I$11</f>
        <v>£m 2020 prices</v>
      </c>
      <c r="I28" s="175">
        <f>'Allowances Floor'!$I67</f>
        <v>16.233649531035152</v>
      </c>
    </row>
    <row r="29" spans="1:9" ht="15" customHeight="1">
      <c r="A29" s="231"/>
      <c r="B29" s="5"/>
      <c r="C29" s="5"/>
      <c r="D29" s="5"/>
      <c r="I29" s="75"/>
    </row>
    <row r="30" spans="1:9" ht="13.15">
      <c r="A30" s="222"/>
      <c r="B30" s="5"/>
      <c r="C30" s="5"/>
      <c r="D30" s="5"/>
      <c r="E30" s="55" t="s">
        <v>527</v>
      </c>
      <c r="G30" s="5" t="str">
        <f>Inputs!$I$11</f>
        <v>£m 2020 prices</v>
      </c>
      <c r="I30" s="175">
        <f>IF(Inputs!$I$199="No",'Tax Floor'!I77,0)</f>
        <v>1.0714142779004554</v>
      </c>
    </row>
    <row r="31" spans="1:9" ht="15" customHeight="1">
      <c r="A31" s="222"/>
      <c r="B31" s="5"/>
      <c r="C31" s="5"/>
      <c r="D31" s="5"/>
      <c r="E31" s="113"/>
      <c r="G31" s="5"/>
      <c r="I31" s="114"/>
    </row>
    <row r="32" spans="1:9" ht="15" customHeight="1">
      <c r="A32" s="222"/>
      <c r="B32" s="5"/>
      <c r="C32" s="5"/>
      <c r="D32" s="5"/>
      <c r="E32" s="55" t="s">
        <v>528</v>
      </c>
      <c r="G32" s="5" t="str">
        <f>Inputs!$I$11</f>
        <v>£m 2020 prices</v>
      </c>
      <c r="I32" s="125"/>
    </row>
    <row r="33" spans="1:9" ht="15" customHeight="1">
      <c r="A33" s="222"/>
      <c r="B33" s="5"/>
      <c r="C33" s="5"/>
      <c r="D33" s="5"/>
      <c r="I33" s="75"/>
    </row>
    <row r="34" spans="1:9" ht="13.15">
      <c r="A34" s="222"/>
      <c r="B34" s="5"/>
      <c r="C34" s="5"/>
      <c r="D34" s="5"/>
      <c r="E34" s="5" t="s">
        <v>529</v>
      </c>
      <c r="G34" s="5" t="str">
        <f>Inputs!$I$11</f>
        <v>£m 2020 prices</v>
      </c>
      <c r="H34" s="212"/>
      <c r="I34" s="258">
        <f>I28+IF(Inputs!$I$199="Yes",I32,I30)</f>
        <v>17.305063808935607</v>
      </c>
    </row>
    <row r="35" spans="1:9" ht="15" customHeight="1">
      <c r="A35" s="231"/>
      <c r="B35" s="5"/>
      <c r="C35" s="5"/>
      <c r="D35" s="5"/>
      <c r="H35" s="212"/>
      <c r="I35" s="75"/>
    </row>
    <row r="36" spans="1:9" ht="15" customHeight="1">
      <c r="A36" s="222"/>
      <c r="C36" s="17"/>
      <c r="E36" s="17" t="s">
        <v>530</v>
      </c>
      <c r="G36" s="5" t="str">
        <f>Inputs!$I$11</f>
        <v>£m 2020 prices</v>
      </c>
      <c r="H36" s="213"/>
      <c r="I36" s="264">
        <v>18.561677620000001</v>
      </c>
    </row>
    <row r="37" spans="1:9" ht="15" customHeight="1">
      <c r="A37" s="222"/>
      <c r="B37" s="17"/>
      <c r="I37" s="76"/>
    </row>
    <row r="38" spans="1:9" ht="15" customHeight="1">
      <c r="A38" s="222"/>
      <c r="B38" s="17"/>
      <c r="C38" s="17"/>
      <c r="E38" s="17" t="s">
        <v>531</v>
      </c>
      <c r="G38" s="5" t="str">
        <f>Inputs!$I$11</f>
        <v>£m 2020 prices</v>
      </c>
      <c r="I38" s="262">
        <f>I34-I36</f>
        <v>-1.2566138110643941</v>
      </c>
    </row>
    <row r="39" spans="1:9" ht="15" customHeight="1">
      <c r="A39" s="220"/>
      <c r="B39" s="5"/>
      <c r="C39" s="5"/>
      <c r="D39" s="5"/>
    </row>
    <row r="40" spans="1:9" ht="15" customHeight="1">
      <c r="A40" s="5"/>
      <c r="B40" s="267" t="s">
        <v>47</v>
      </c>
      <c r="C40" s="56"/>
      <c r="D40" s="56"/>
      <c r="E40" s="56"/>
      <c r="F40" s="56"/>
      <c r="G40" s="56"/>
      <c r="H40" s="56"/>
      <c r="I40" s="56"/>
    </row>
    <row r="41" spans="1:9" ht="15" customHeight="1">
      <c r="I41" s="251"/>
    </row>
  </sheetData>
  <pageMargins left="0.23622047244094491" right="0.23622047244094491" top="0.74803149606299213" bottom="0.74803149606299213" header="0.31496062992125984" footer="0.31496062992125984"/>
  <pageSetup paperSize="8" fitToHeight="0" orientation="landscape" r:id="rId1"/>
  <headerFooter>
    <oddHeader>&amp;C&amp;"Aptos"&amp;10&amp;K000000 OFFICIAL&amp;1#_x000D_</oddHeader>
    <oddFooter>&amp;C_x000D_&amp;1#&amp;"Aptos"&amp;10&amp;K000000 OFFICIAL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7C6947C0F765F428416B2828D309B65" ma:contentTypeVersion="16" ma:contentTypeDescription="Create a new document." ma:contentTypeScope="" ma:versionID="7647c6595f224e3bd9e63834e1bb6261">
  <xsd:schema xmlns:xsd="http://www.w3.org/2001/XMLSchema" xmlns:xs="http://www.w3.org/2001/XMLSchema" xmlns:p="http://schemas.microsoft.com/office/2006/metadata/properties" xmlns:ns1="http://schemas.microsoft.com/sharepoint/v3" xmlns:ns2="3ffacce4-957f-4f0a-910f-9efe2ecf512c" xmlns:ns3="d66eba0d-a2b9-4833-9603-ab5d8f45883c" targetNamespace="http://schemas.microsoft.com/office/2006/metadata/properties" ma:root="true" ma:fieldsID="0e1e0c35e55ed21418a3626af8608a3f" ns1:_="" ns2:_="" ns3:_="">
    <xsd:import namespace="http://schemas.microsoft.com/sharepoint/v3"/>
    <xsd:import namespace="3ffacce4-957f-4f0a-910f-9efe2ecf512c"/>
    <xsd:import namespace="d66eba0d-a2b9-4833-9603-ab5d8f45883c"/>
    <xsd:element name="properties">
      <xsd:complexType>
        <xsd:sequence>
          <xsd:element name="documentManagement">
            <xsd:complexType>
              <xsd:all>
                <xsd:element ref="ns2:PublicationRequestID" minOccurs="0"/>
                <xsd:element ref="ns2:DocumentTitle" minOccurs="0"/>
                <xsd:element ref="ns2:DocumentRank" minOccurs="0"/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8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9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ffacce4-957f-4f0a-910f-9efe2ecf512c" elementFormDefault="qualified">
    <xsd:import namespace="http://schemas.microsoft.com/office/2006/documentManagement/types"/>
    <xsd:import namespace="http://schemas.microsoft.com/office/infopath/2007/PartnerControls"/>
    <xsd:element name="PublicationRequestID" ma:index="8" nillable="true" ma:displayName="PublicationRequestID" ma:format="Dropdown" ma:internalName="PublicationRequestID" ma:percentage="FALSE">
      <xsd:simpleType>
        <xsd:restriction base="dms:Number"/>
      </xsd:simpleType>
    </xsd:element>
    <xsd:element name="DocumentTitle" ma:index="9" nillable="true" ma:displayName="DocumentTitle" ma:format="Dropdown" ma:internalName="DocumentTitle">
      <xsd:simpleType>
        <xsd:restriction base="dms:Note">
          <xsd:maxLength value="255"/>
        </xsd:restriction>
      </xsd:simpleType>
    </xsd:element>
    <xsd:element name="DocumentRank" ma:index="10" nillable="true" ma:displayName="DocumentImportance" ma:format="Dropdown" ma:internalName="DocumentRank">
      <xsd:simpleType>
        <xsd:restriction base="dms:Text">
          <xsd:maxLength value="255"/>
        </xsd:restriction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f1db303c-1d0a-4523-bf11-6998614b371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4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5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6eba0d-a2b9-4833-9603-ab5d8f45883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bdb3995f-4898-4ee6-8000-b65c76445445}" ma:internalName="TaxCatchAll" ma:showField="CatchAllData" ma:web="d66eba0d-a2b9-4833-9603-ab5d8f45883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sisl xmlns:xsd="http://www.w3.org/2001/XMLSchema" xmlns:xsi="http://www.w3.org/2001/XMLSchema-instance" xmlns="http://www.boldonjames.com/2008/01/sie/internal/label" sislVersion="0" policy="973096ae-7329-4b3b-9368-47aeba6959e1" origin="userSelected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TaxCatchAll xmlns="d66eba0d-a2b9-4833-9603-ab5d8f45883c" xsi:nil="true"/>
    <lcf76f155ced4ddcb4097134ff3c332f xmlns="3ffacce4-957f-4f0a-910f-9efe2ecf512c">
      <Terms xmlns="http://schemas.microsoft.com/office/infopath/2007/PartnerControls"/>
    </lcf76f155ced4ddcb4097134ff3c332f>
    <PublicationRequestID xmlns="3ffacce4-957f-4f0a-910f-9efe2ecf512c">3104</PublicationRequestID>
    <DocumentTitle xmlns="3ffacce4-957f-4f0a-910f-9efe2ecf512c">Appendix 4 - GCFFM1</DocumentTitle>
    <DocumentRank xmlns="3ffacce4-957f-4f0a-910f-9efe2ecf512c">Subsidiary</DocumentRank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91584D-BCFF-4913-8EDB-AB6097D739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3ffacce4-957f-4f0a-910f-9efe2ecf512c"/>
    <ds:schemaRef ds:uri="d66eba0d-a2b9-4833-9603-ab5d8f45883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3DA05FE-CC8D-4AF4-9CF4-E992FEDA7DBD}">
  <ds:schemaRefs>
    <ds:schemaRef ds:uri="http://www.w3.org/2001/XMLSchema"/>
    <ds:schemaRef ds:uri="http://www.boldonjames.com/2008/01/sie/internal/label"/>
  </ds:schemaRefs>
</ds:datastoreItem>
</file>

<file path=customXml/itemProps3.xml><?xml version="1.0" encoding="utf-8"?>
<ds:datastoreItem xmlns:ds="http://schemas.openxmlformats.org/officeDocument/2006/customXml" ds:itemID="{0E3DAC2A-039C-49F3-AF6D-71F3165C1A09}">
  <ds:schemaRefs>
    <ds:schemaRef ds:uri="http://schemas.microsoft.com/sharepoint/v3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3ffacce4-957f-4f0a-910f-9efe2ecf512c"/>
    <ds:schemaRef ds:uri="http://purl.org/dc/dcmitype/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d66eba0d-a2b9-4833-9603-ab5d8f45883c"/>
  </ds:schemaRefs>
</ds:datastoreItem>
</file>

<file path=customXml/itemProps4.xml><?xml version="1.0" encoding="utf-8"?>
<ds:datastoreItem xmlns:ds="http://schemas.openxmlformats.org/officeDocument/2006/customXml" ds:itemID="{26D7EEB9-D373-42EA-9381-0F4872C157E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24</vt:i4>
      </vt:variant>
    </vt:vector>
  </HeadingPairs>
  <TitlesOfParts>
    <vt:vector size="37" baseType="lpstr">
      <vt:lpstr>Cover</vt:lpstr>
      <vt:lpstr>Version Control</vt:lpstr>
      <vt:lpstr>Inputs</vt:lpstr>
      <vt:lpstr>Data Sources</vt:lpstr>
      <vt:lpstr>Pre Op RAV</vt:lpstr>
      <vt:lpstr>Finance</vt:lpstr>
      <vt:lpstr>Op Rav</vt:lpstr>
      <vt:lpstr>Allowances Cap</vt:lpstr>
      <vt:lpstr>Allowances Floor</vt:lpstr>
      <vt:lpstr>Tax Deductions</vt:lpstr>
      <vt:lpstr>Tax Cap</vt:lpstr>
      <vt:lpstr>Tax Floor</vt:lpstr>
      <vt:lpstr>Cap Floor Levels</vt:lpstr>
      <vt:lpstr>'Allowances Cap'!Print_Area</vt:lpstr>
      <vt:lpstr>'Allowances Floor'!Print_Area</vt:lpstr>
      <vt:lpstr>'Cap Floor Levels'!Print_Area</vt:lpstr>
      <vt:lpstr>Cover!Print_Area</vt:lpstr>
      <vt:lpstr>'Data Sources'!Print_Area</vt:lpstr>
      <vt:lpstr>Finance!Print_Area</vt:lpstr>
      <vt:lpstr>Inputs!Print_Area</vt:lpstr>
      <vt:lpstr>'Op Rav'!Print_Area</vt:lpstr>
      <vt:lpstr>'Pre Op RAV'!Print_Area</vt:lpstr>
      <vt:lpstr>'Tax Cap'!Print_Area</vt:lpstr>
      <vt:lpstr>'Tax Deductions'!Print_Area</vt:lpstr>
      <vt:lpstr>'Tax Floor'!Print_Area</vt:lpstr>
      <vt:lpstr>'Allowances Cap'!Print_Titles</vt:lpstr>
      <vt:lpstr>'Allowances Floor'!Print_Titles</vt:lpstr>
      <vt:lpstr>'Cap Floor Levels'!Print_Titles</vt:lpstr>
      <vt:lpstr>Cover!Print_Titles</vt:lpstr>
      <vt:lpstr>'Data Sources'!Print_Titles</vt:lpstr>
      <vt:lpstr>Finance!Print_Titles</vt:lpstr>
      <vt:lpstr>Inputs!Print_Titles</vt:lpstr>
      <vt:lpstr>'Op Rav'!Print_Titles</vt:lpstr>
      <vt:lpstr>'Pre Op RAV'!Print_Titles</vt:lpstr>
      <vt:lpstr>'Tax Cap'!Print_Titles</vt:lpstr>
      <vt:lpstr>'Tax Deductions'!Print_Titles</vt:lpstr>
      <vt:lpstr>'Tax Floor'!Print_Titles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GCFFM1 - Greenlink Cap and Floor Financial Model 1</dc:title>
  <dc:subject/>
  <dc:creator>Martin Namor</dc:creator>
  <cp:keywords/>
  <dc:description/>
  <cp:lastModifiedBy>Erin Baillie</cp:lastModifiedBy>
  <cp:revision/>
  <dcterms:created xsi:type="dcterms:W3CDTF">2014-03-17T11:35:35Z</dcterms:created>
  <dcterms:modified xsi:type="dcterms:W3CDTF">2026-09-17T15:23:06Z</dcterms:modified>
  <cp:category/>
  <cp:contentStatus>Published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0x010100D7C6947C0F765F428416B2828D309B65</vt:lpwstr>
  </property>
  <property fmtid="{D5CDD505-2E9C-101B-9397-08002B2CF9AE}" pid="3" name="Select Content Type Above">
    <vt:lpwstr/>
  </property>
  <property fmtid="{D5CDD505-2E9C-101B-9397-08002B2CF9AE}" pid="4" name="Order">
    <vt:r8>2893600</vt:r8>
  </property>
  <property fmtid="{D5CDD505-2E9C-101B-9397-08002B2CF9AE}" pid="5" name="Applicable Start Date">
    <vt:filetime>2014-03-17T00:00:00Z</vt:filetime>
  </property>
  <property fmtid="{D5CDD505-2E9C-101B-9397-08002B2CF9AE}" pid="6" name="URL">
    <vt:lpwstr/>
  </property>
  <property fmtid="{D5CDD505-2E9C-101B-9397-08002B2CF9AE}" pid="7" name="From">
    <vt:lpwstr/>
  </property>
  <property fmtid="{D5CDD505-2E9C-101B-9397-08002B2CF9AE}" pid="8" name="Project Sponsor">
    <vt:lpwstr/>
  </property>
  <property fmtid="{D5CDD505-2E9C-101B-9397-08002B2CF9AE}" pid="9" name="BCC">
    <vt:lpwstr/>
  </property>
  <property fmtid="{D5CDD505-2E9C-101B-9397-08002B2CF9AE}" pid="10" name="xd_ProgID">
    <vt:lpwstr/>
  </property>
  <property fmtid="{D5CDD505-2E9C-101B-9397-08002B2CF9AE}" pid="11" name="_Version">
    <vt:lpwstr/>
  </property>
  <property fmtid="{D5CDD505-2E9C-101B-9397-08002B2CF9AE}" pid="12" name="Project Manager">
    <vt:lpwstr/>
  </property>
  <property fmtid="{D5CDD505-2E9C-101B-9397-08002B2CF9AE}" pid="13" name="Ref No">
    <vt:lpwstr/>
  </property>
  <property fmtid="{D5CDD505-2E9C-101B-9397-08002B2CF9AE}" pid="14" name="Applicable Duration">
    <vt:lpwstr>-</vt:lpwstr>
  </property>
  <property fmtid="{D5CDD505-2E9C-101B-9397-08002B2CF9AE}" pid="15" name="Project Name">
    <vt:lpwstr/>
  </property>
  <property fmtid="{D5CDD505-2E9C-101B-9397-08002B2CF9AE}" pid="16" name="Project Owner">
    <vt:lpwstr/>
  </property>
  <property fmtid="{D5CDD505-2E9C-101B-9397-08002B2CF9AE}" pid="17" name="TemplateUrl">
    <vt:lpwstr/>
  </property>
  <property fmtid="{D5CDD505-2E9C-101B-9397-08002B2CF9AE}" pid="18" name="CC">
    <vt:lpwstr/>
  </property>
  <property fmtid="{D5CDD505-2E9C-101B-9397-08002B2CF9AE}" pid="19" name="DLCPolicyLabelLock">
    <vt:lpwstr/>
  </property>
  <property fmtid="{D5CDD505-2E9C-101B-9397-08002B2CF9AE}" pid="20" name="To">
    <vt:lpwstr/>
  </property>
  <property fmtid="{D5CDD505-2E9C-101B-9397-08002B2CF9AE}" pid="21" name="::">
    <vt:lpwstr/>
  </property>
  <property fmtid="{D5CDD505-2E9C-101B-9397-08002B2CF9AE}" pid="22" name="Attach Count">
    <vt:lpwstr/>
  </property>
  <property fmtid="{D5CDD505-2E9C-101B-9397-08002B2CF9AE}" pid="23" name=":">
    <vt:lpwstr/>
  </property>
  <property fmtid="{D5CDD505-2E9C-101B-9397-08002B2CF9AE}" pid="24" name="Importance">
    <vt:lpwstr/>
  </property>
  <property fmtid="{D5CDD505-2E9C-101B-9397-08002B2CF9AE}" pid="25" name="DLCPolicyLabelClientValue">
    <vt:lpwstr>Version : {_UIVersionString}</vt:lpwstr>
  </property>
  <property fmtid="{D5CDD505-2E9C-101B-9397-08002B2CF9AE}" pid="26" name="docIndexRef">
    <vt:lpwstr>5510add5-6ef5-4e0d-85dc-ace3a34b1669</vt:lpwstr>
  </property>
  <property fmtid="{D5CDD505-2E9C-101B-9397-08002B2CF9AE}" pid="27" name="bjSaver">
    <vt:lpwstr>F4pwnGwIynODlByWBfXh7WvHa6LyLkXu</vt:lpwstr>
  </property>
  <property fmtid="{D5CDD505-2E9C-101B-9397-08002B2CF9AE}" pid="28" name="_NewReviewCycle">
    <vt:lpwstr/>
  </property>
  <property fmtid="{D5CDD505-2E9C-101B-9397-08002B2CF9AE}" pid="29" name="BJSCc5a055b0-1bed-4579_x">
    <vt:lpwstr/>
  </property>
  <property fmtid="{D5CDD505-2E9C-101B-9397-08002B2CF9AE}" pid="30" name="BJSCSummaryMarking">
    <vt:lpwstr>This item has no classification</vt:lpwstr>
  </property>
  <property fmtid="{D5CDD505-2E9C-101B-9397-08002B2CF9AE}" pid="31" name="BJSCInternalLabel">
    <vt:lpwstr>&lt;?xml version="1.0" encoding="us-ascii"?&gt;&lt;sisl xmlns:xsi="http://www.w3.org/2001/XMLSchema-instance" xmlns:xsd="http://www.w3.org/2001/XMLSchema" sislVersion="0" policy="973096ae-7329-4b3b-9368-47aeba6959e1" xmlns="http://www.boldonjames.com/2008/01/sie/internal/label" /&gt;</vt:lpwstr>
  </property>
  <property fmtid="{D5CDD505-2E9C-101B-9397-08002B2CF9AE}" pid="32" name="BJSCdd9eba61-d6b9-469b_x">
    <vt:lpwstr/>
  </property>
  <property fmtid="{D5CDD505-2E9C-101B-9397-08002B2CF9AE}" pid="33" name="MSIP_Label_7fa661c7-26ae-4657-b815-44993f82ceaf_Enabled">
    <vt:lpwstr>True</vt:lpwstr>
  </property>
  <property fmtid="{D5CDD505-2E9C-101B-9397-08002B2CF9AE}" pid="34" name="MSIP_Label_7fa661c7-26ae-4657-b815-44993f82ceaf_SiteId">
    <vt:lpwstr>c9a7d621-4bc4-4407-b730-f428e656aa9e</vt:lpwstr>
  </property>
  <property fmtid="{D5CDD505-2E9C-101B-9397-08002B2CF9AE}" pid="35" name="MSIP_Label_7fa661c7-26ae-4657-b815-44993f82ceaf_Owner">
    <vt:lpwstr>victor.creste@sgcib.com</vt:lpwstr>
  </property>
  <property fmtid="{D5CDD505-2E9C-101B-9397-08002B2CF9AE}" pid="36" name="MSIP_Label_7fa661c7-26ae-4657-b815-44993f82ceaf_SetDate">
    <vt:lpwstr>2020-07-29T17:27:50.2522221Z</vt:lpwstr>
  </property>
  <property fmtid="{D5CDD505-2E9C-101B-9397-08002B2CF9AE}" pid="37" name="MSIP_Label_7fa661c7-26ae-4657-b815-44993f82ceaf_Name">
    <vt:lpwstr>C2 - Confidential</vt:lpwstr>
  </property>
  <property fmtid="{D5CDD505-2E9C-101B-9397-08002B2CF9AE}" pid="38" name="MSIP_Label_7fa661c7-26ae-4657-b815-44993f82ceaf_Application">
    <vt:lpwstr>Microsoft Azure Information Protection</vt:lpwstr>
  </property>
  <property fmtid="{D5CDD505-2E9C-101B-9397-08002B2CF9AE}" pid="39" name="MSIP_Label_7fa661c7-26ae-4657-b815-44993f82ceaf_ActionId">
    <vt:lpwstr>5771a1c3-62af-4b46-9911-93df0255c83b</vt:lpwstr>
  </property>
  <property fmtid="{D5CDD505-2E9C-101B-9397-08002B2CF9AE}" pid="40" name="MSIP_Label_7fa661c7-26ae-4657-b815-44993f82ceaf_Extended_MSFT_Method">
    <vt:lpwstr>Manual</vt:lpwstr>
  </property>
  <property fmtid="{D5CDD505-2E9C-101B-9397-08002B2CF9AE}" pid="41" name="bjClsUserRVM">
    <vt:lpwstr>[]</vt:lpwstr>
  </property>
  <property fmtid="{D5CDD505-2E9C-101B-9397-08002B2CF9AE}" pid="42" name="bjDocumentSecurityLabel">
    <vt:lpwstr>This item has no classification</vt:lpwstr>
  </property>
  <property fmtid="{D5CDD505-2E9C-101B-9397-08002B2CF9AE}" pid="43" name="RoutingRuleDescription">
    <vt:lpwstr/>
  </property>
  <property fmtid="{D5CDD505-2E9C-101B-9397-08002B2CF9AE}" pid="44" name="_ExtendedDescription">
    <vt:lpwstr/>
  </property>
  <property fmtid="{D5CDD505-2E9C-101B-9397-08002B2CF9AE}" pid="45" name="MediaServiceImageTags">
    <vt:lpwstr/>
  </property>
  <property fmtid="{D5CDD505-2E9C-101B-9397-08002B2CF9AE}" pid="46" name="MSIP_Label_5aee3434-f7af-4edb-a29e-2a21d151ac0d_Enabled">
    <vt:lpwstr>true</vt:lpwstr>
  </property>
  <property fmtid="{D5CDD505-2E9C-101B-9397-08002B2CF9AE}" pid="47" name="MSIP_Label_5aee3434-f7af-4edb-a29e-2a21d151ac0d_SetDate">
    <vt:lpwstr>2026-09-15T12:47:37Z</vt:lpwstr>
  </property>
  <property fmtid="{D5CDD505-2E9C-101B-9397-08002B2CF9AE}" pid="48" name="MSIP_Label_5aee3434-f7af-4edb-a29e-2a21d151ac0d_Method">
    <vt:lpwstr>Privileged</vt:lpwstr>
  </property>
  <property fmtid="{D5CDD505-2E9C-101B-9397-08002B2CF9AE}" pid="49" name="MSIP_Label_5aee3434-f7af-4edb-a29e-2a21d151ac0d_Name">
    <vt:lpwstr>OFFICIAL -</vt:lpwstr>
  </property>
  <property fmtid="{D5CDD505-2E9C-101B-9397-08002B2CF9AE}" pid="50" name="MSIP_Label_5aee3434-f7af-4edb-a29e-2a21d151ac0d_SiteId">
    <vt:lpwstr>185562ad-39bc-4840-8e40-be6216340c52</vt:lpwstr>
  </property>
  <property fmtid="{D5CDD505-2E9C-101B-9397-08002B2CF9AE}" pid="51" name="MSIP_Label_5aee3434-f7af-4edb-a29e-2a21d151ac0d_ActionId">
    <vt:lpwstr>44db310c-c790-4e54-b345-0601eaea8d9c</vt:lpwstr>
  </property>
  <property fmtid="{D5CDD505-2E9C-101B-9397-08002B2CF9AE}" pid="52" name="MSIP_Label_5aee3434-f7af-4edb-a29e-2a21d151ac0d_ContentBits">
    <vt:lpwstr>3</vt:lpwstr>
  </property>
  <property fmtid="{D5CDD505-2E9C-101B-9397-08002B2CF9AE}" pid="53" name="MSIP_Label_5aee3434-f7af-4edb-a29e-2a21d151ac0d_Tag">
    <vt:lpwstr>10, 0, 1, 1</vt:lpwstr>
  </property>
</Properties>
</file>