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8.xml" ContentType="application/vnd.openxmlformats-officedocument.drawing+xml"/>
  <Override PartName="/xl/ctrlProps/ctrlProp3.xml" ContentType="application/vnd.ms-excel.controlproperties+xml"/>
  <Override PartName="/xl/comments2.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trlProps/ctrlProp4.xml" ContentType="application/vnd.ms-excel.controlproperties+xml"/>
  <Override PartName="/xl/ctrlProps/ctrlProp5.xml" ContentType="application/vnd.ms-excel.controlproperties+xml"/>
  <Override PartName="/xl/comments3.xml" ContentType="application/vnd.openxmlformats-officedocument.spreadsheetml.comments+xml"/>
  <Override PartName="/xl/drawings/drawing12.xml" ContentType="application/vnd.openxmlformats-officedocument.drawing+xml"/>
  <Override PartName="/xl/ctrlProps/ctrlProp6.xml" ContentType="application/vnd.ms-excel.controlproperties+xml"/>
  <Override PartName="/xl/comments4.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filterPrivacy="1" codeName="ThisWorkbook" defaultThemeVersion="124226"/>
  <xr:revisionPtr revIDLastSave="0" documentId="13_ncr:1_{1089C49E-0701-4113-8A8A-EA6E50798179}" xr6:coauthVersionLast="47" xr6:coauthVersionMax="47" xr10:uidLastSave="{00000000-0000-0000-0000-000000000000}"/>
  <bookViews>
    <workbookView xWindow="-110" yWindow="-110" windowWidth="19420" windowHeight="10300" tabRatio="763" xr2:uid="{00000000-000D-0000-FFFF-FFFF00000000}"/>
  </bookViews>
  <sheets>
    <sheet name="Pension Pack cover" sheetId="11" r:id="rId1"/>
    <sheet name="Version control" sheetId="12" r:id="rId2"/>
    <sheet name="Contents" sheetId="13" r:id="rId3"/>
    <sheet name="Changes Log" sheetId="14" r:id="rId4"/>
    <sheet name="P1.1 PDAM Licensee provided" sheetId="4" r:id="rId5"/>
    <sheet name="P1.2 PDAM Actuary provided data" sheetId="6" r:id="rId6"/>
    <sheet name="P1.5 Calculation of Vrr - L1" sheetId="46" r:id="rId7"/>
    <sheet name="P1.6 IBAPA and PBAPA - L1" sheetId="47" r:id="rId8"/>
    <sheet name="controls - do not change" sheetId="48" r:id="rId9"/>
    <sheet name="P2.1 PDAM Licensee provided" sheetId="42" r:id="rId10"/>
    <sheet name="P2.2 PDAM Actuary provided" sheetId="43" r:id="rId11"/>
    <sheet name="P2.5 Calculation of Vrr - L2" sheetId="49" r:id="rId12"/>
    <sheet name="P2.6 IBAPA and PBAPA - L2" sheetId="50" r:id="rId13"/>
    <sheet name="Para 6.20 adjustments" sheetId="37" r:id="rId14"/>
  </sheet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xlnm._FilterDatabase" localSheetId="0" hidden="1">'Pension Pack cover'!$C$12:$D$12</definedName>
    <definedName name="_Order1" hidden="1">255</definedName>
    <definedName name="_Order2" hidden="1">0</definedName>
    <definedName name="_Toc199051678" localSheetId="3">'Changes Log'!#REF!</definedName>
    <definedName name="_Toc352922511" localSheetId="13">'Para 6.20 adjustments'!$A$4</definedName>
    <definedName name="compname">#REF!</definedName>
    <definedName name="constrainsts" localSheetId="3">#REF!</definedName>
    <definedName name="constrainsts" localSheetId="9">#REF!</definedName>
    <definedName name="constrainsts" localSheetId="10">#REF!</definedName>
    <definedName name="constrainsts">#REF!</definedName>
    <definedName name="CT">'controls - do not change'!$D$2:$D$26</definedName>
    <definedName name="DP5TUV__year">'controls - do not change'!$E$2</definedName>
    <definedName name="DP5TUV_year">'controls - do not change'!$E$2</definedName>
    <definedName name="DRA">'P1.6 IBAPA and PBAPA - L1'!$C$20</definedName>
    <definedName name="DRB">'P2.6 IBAPA and PBAPA - L2'!$C$20</definedName>
    <definedName name="EBAPA1">'P1.6 IBAPA and PBAPA - L1'!$C$19</definedName>
    <definedName name="EBAPA2">'P2.6 IBAPA and PBAPA - L2'!$C$19</definedName>
    <definedName name="f_1">'P1.6 IBAPA and PBAPA - L1'!$C$31</definedName>
    <definedName name="f_2">'P2.6 IBAPA and PBAPA - L2'!$C$31</definedName>
    <definedName name="flatBAPA1">'P1.6 IBAPA and PBAPA - L1'!$C$24</definedName>
    <definedName name="flatBAPA2">'P2.6 IBAPA and PBAPA - L2'!$C$24</definedName>
    <definedName name="flatPBAPA1">'P1.6 IBAPA and PBAPA - L1'!$C$29</definedName>
    <definedName name="flatPBAPA2">'P2.6 IBAPA and PBAPA - L2'!$C$29</definedName>
    <definedName name="Guidance" localSheetId="1">'Version control'!#REF!</definedName>
    <definedName name="Guidance">#REF!</definedName>
    <definedName name="Guidance2" localSheetId="9">'Version control'!#REF!</definedName>
    <definedName name="Guidance2" localSheetId="10">'Version control'!#REF!</definedName>
    <definedName name="Guidance2">'Version control'!#REF!</definedName>
    <definedName name="irp_1">'P1.6 IBAPA and PBAPA - L1'!$C$23</definedName>
    <definedName name="irp_2">'P2.6 IBAPA and PBAPA - L2'!$C$23</definedName>
    <definedName name="List_1">#REF!</definedName>
    <definedName name="ManagerialAllocations">#REF!</definedName>
    <definedName name="Pal_Workbook_GUID" hidden="1">"LJ9YVKRJVQ1A1KNUG7XIT5A9"</definedName>
    <definedName name="PBAPA">'P1.6 IBAPA and PBAPA - L1'!$C$24</definedName>
    <definedName name="pco1_num">'controls - do not change'!$B$32</definedName>
    <definedName name="pco1A">'controls - do not change'!$B$30</definedName>
    <definedName name="pco1Q">'controls - do not change'!$B$2:$B$4</definedName>
    <definedName name="PrimeRecordAllocations">#REF!</definedName>
    <definedName name="_xlnm.Print_Area" localSheetId="2">Contents!$A$1:$D$15</definedName>
    <definedName name="_xlnm.Print_Area" localSheetId="4">'P1.1 PDAM Licensee provided'!$A$1:$K$176</definedName>
    <definedName name="_xlnm.Print_Area" localSheetId="5">'P1.2 PDAM Actuary provided data'!$A$1:$O$112</definedName>
    <definedName name="_xlnm.Print_Area" localSheetId="9">'P2.1 PDAM Licensee provided'!$A$1:$K$176</definedName>
    <definedName name="_xlnm.Print_Area" localSheetId="10">'P2.2 PDAM Actuary provided'!$A$1:$O$112</definedName>
    <definedName name="_xlnm.Print_Area" localSheetId="0">'Pension Pack cover'!$A$1:$H$112</definedName>
    <definedName name="_xlnm.Print_Area" localSheetId="1">'Version control'!$A$1:$E$18</definedName>
    <definedName name="PSEDA">'P1.6 IBAPA and PBAPA - L1'!$C$15</definedName>
    <definedName name="PSEDB">'P2.6 IBAPA and PBAPA - L2'!$C$15</definedName>
    <definedName name="RepAllow">#REF!</definedName>
    <definedName name="Repyear">#REF!</definedName>
    <definedName name="RepYearM1">#REF!</definedName>
    <definedName name="RepYearP1">#REF!</definedName>
    <definedName name="RepYearP5">#REF!</definedName>
    <definedName name="RiskAfterRecalcMacro" hidden="1">""</definedName>
    <definedName name="RiskAfterSimMacro" hidden="1">""</definedName>
    <definedName name="RiskBeforeRecalcMacro" hidden="1">""</definedName>
    <definedName name="RiskBeforeSimMacro" hidden="1">""</definedName>
    <definedName name="RiskMultipleCPUSupportEnabled" hidden="1">TRUE</definedName>
    <definedName name="Rounding">#REF!</definedName>
    <definedName name="rpa_1">'P1.6 IBAPA and PBAPA - L1'!$C$22</definedName>
    <definedName name="rpa_2">'P2.6 IBAPA and PBAPA - L2'!$C$22</definedName>
    <definedName name="rr_num">'controls - do not change'!$C$32</definedName>
    <definedName name="rr2_num">'controls - do not change'!$C$34</definedName>
    <definedName name="rr3_num">'controls - do not change'!$C$36</definedName>
    <definedName name="rrA">'controls - do not change'!$C$30</definedName>
    <definedName name="rrQ">'controls - do not change'!$C$2:$C$5</definedName>
    <definedName name="SAPBEXhrIndnt" hidden="1">"Wide"</definedName>
    <definedName name="SAPsysID" hidden="1">"708C5W7SBKP804JT78WJ0JNKI"</definedName>
    <definedName name="SAPwbID" hidden="1">"ARS"</definedName>
    <definedName name="selecteddno">#REF!</definedName>
    <definedName name="shortname">#REF!</definedName>
    <definedName name="Table2.12TotalCost">#REF!</definedName>
    <definedName name="www" localSheetId="9">#REF!</definedName>
    <definedName name="www" localSheetId="10">#REF!</definedName>
    <definedName name="www">#REF!</definedName>
    <definedName name="y_1">'P1.6 IBAPA and PBAPA - L1'!$C$28</definedName>
    <definedName name="y_2">'P2.6 IBAPA and PBAPA - L2'!$C$28</definedName>
    <definedName name="Year">'Pension Pack cover'!$B$81:$B$101</definedName>
    <definedName name="yearQ">'controls - do not change'!$A$2:$A$50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73" i="49" l="1" a="1"/>
  <c r="AA73" i="49" s="1"/>
  <c r="AA73" i="46" a="1"/>
  <c r="AA73" i="46"/>
  <c r="E87" i="42" l="1"/>
  <c r="E86" i="42"/>
  <c r="E65" i="42"/>
  <c r="E64" i="42"/>
  <c r="E87" i="4"/>
  <c r="E86" i="4"/>
  <c r="E65" i="4"/>
  <c r="E64" i="4"/>
  <c r="E43" i="4"/>
  <c r="E42" i="4"/>
  <c r="C43" i="4" l="1"/>
  <c r="D148" i="4"/>
  <c r="E36" i="4"/>
  <c r="D40" i="4"/>
  <c r="D41" i="4"/>
  <c r="D43" i="4"/>
  <c r="C48" i="46" l="1" a="1"/>
  <c r="C48" i="46" s="1"/>
  <c r="C48" i="49" l="1" a="1"/>
  <c r="C48" i="49" s="1"/>
  <c r="C61" i="49"/>
  <c r="C61" i="46"/>
  <c r="I14" i="4" l="1"/>
  <c r="I14" i="42"/>
  <c r="I116" i="42"/>
  <c r="E116" i="42"/>
  <c r="E116" i="4"/>
  <c r="AA70" i="49"/>
  <c r="AA36" i="49"/>
  <c r="AA37" i="49" s="1"/>
  <c r="AA19" i="49"/>
  <c r="AA21" i="49" s="1"/>
  <c r="AA24" i="49" s="1"/>
  <c r="AA9" i="49"/>
  <c r="Z70" i="49"/>
  <c r="Z36" i="49"/>
  <c r="Z37" i="49" s="1"/>
  <c r="Z19" i="49"/>
  <c r="Z21" i="49" s="1"/>
  <c r="Z24" i="49" s="1"/>
  <c r="Z9" i="49"/>
  <c r="Y70" i="49"/>
  <c r="Y36" i="49"/>
  <c r="Y37" i="49" s="1"/>
  <c r="Y19" i="49"/>
  <c r="Y21" i="49" s="1"/>
  <c r="Y24" i="49" s="1"/>
  <c r="Y9" i="49"/>
  <c r="X70" i="49"/>
  <c r="X36" i="49"/>
  <c r="X37" i="49" s="1"/>
  <c r="X19" i="49"/>
  <c r="X21" i="49" s="1"/>
  <c r="X24" i="49" s="1"/>
  <c r="X9" i="49"/>
  <c r="X27" i="49" s="1"/>
  <c r="X29" i="49" s="1"/>
  <c r="W70" i="49"/>
  <c r="W36" i="49"/>
  <c r="W37" i="49" s="1"/>
  <c r="W19" i="49"/>
  <c r="W21" i="49" s="1"/>
  <c r="W24" i="49" s="1"/>
  <c r="W9" i="49"/>
  <c r="V70" i="49"/>
  <c r="V36" i="49"/>
  <c r="V37" i="49" s="1"/>
  <c r="V19" i="49"/>
  <c r="V21" i="49" s="1"/>
  <c r="V24" i="49" s="1"/>
  <c r="V9" i="49"/>
  <c r="AA70" i="46"/>
  <c r="AA36" i="46"/>
  <c r="AA37" i="46" s="1"/>
  <c r="AA19" i="46"/>
  <c r="AA21" i="46" s="1"/>
  <c r="AA24" i="46" s="1"/>
  <c r="AA9" i="46"/>
  <c r="AA27" i="46" s="1"/>
  <c r="AA29" i="46" s="1"/>
  <c r="Z70" i="46"/>
  <c r="Z36" i="46"/>
  <c r="Z37" i="46" s="1"/>
  <c r="Z19" i="46"/>
  <c r="Z21" i="46" s="1"/>
  <c r="Z24" i="46" s="1"/>
  <c r="Z9" i="46"/>
  <c r="Z27" i="46" s="1"/>
  <c r="Z29" i="46" s="1"/>
  <c r="Y70" i="46"/>
  <c r="Y36" i="46"/>
  <c r="Y37" i="46" s="1"/>
  <c r="Y19" i="46"/>
  <c r="Y21" i="46" s="1"/>
  <c r="Y24" i="46" s="1"/>
  <c r="Y9" i="46"/>
  <c r="Y27" i="46" s="1"/>
  <c r="Y29" i="46" s="1"/>
  <c r="V27" i="49" l="1"/>
  <c r="V29" i="49" s="1"/>
  <c r="AA10" i="49"/>
  <c r="AA27" i="49"/>
  <c r="AA29" i="49" s="1"/>
  <c r="Z10" i="49"/>
  <c r="Z27" i="49"/>
  <c r="Z29" i="49" s="1"/>
  <c r="Y10" i="49"/>
  <c r="Y27" i="49"/>
  <c r="Y29" i="49" s="1"/>
  <c r="X10" i="49"/>
  <c r="W10" i="49"/>
  <c r="W27" i="49"/>
  <c r="W29" i="49" s="1"/>
  <c r="V10" i="49"/>
  <c r="Z10" i="46"/>
  <c r="AA10" i="46"/>
  <c r="Y10" i="46"/>
  <c r="X70" i="46" l="1"/>
  <c r="X36" i="46"/>
  <c r="X37" i="46" s="1"/>
  <c r="X19" i="46"/>
  <c r="X21" i="46" s="1"/>
  <c r="X24" i="46" s="1"/>
  <c r="X9" i="46"/>
  <c r="X27" i="46" s="1"/>
  <c r="X29" i="46" s="1"/>
  <c r="W70" i="46"/>
  <c r="W36" i="46"/>
  <c r="W37" i="46" s="1"/>
  <c r="W19" i="46"/>
  <c r="W21" i="46" s="1"/>
  <c r="W24" i="46" s="1"/>
  <c r="W9" i="46"/>
  <c r="W27" i="46" s="1"/>
  <c r="W29" i="46" s="1"/>
  <c r="V70" i="46"/>
  <c r="V36" i="46"/>
  <c r="V37" i="46" s="1"/>
  <c r="V19" i="46"/>
  <c r="V21" i="46" s="1"/>
  <c r="V24" i="46" s="1"/>
  <c r="V9" i="46"/>
  <c r="V27" i="46" s="1"/>
  <c r="V29" i="46" s="1"/>
  <c r="T36" i="46"/>
  <c r="E24" i="37"/>
  <c r="E23" i="37"/>
  <c r="D24" i="37"/>
  <c r="D23" i="37"/>
  <c r="X10" i="46" l="1"/>
  <c r="W10" i="46"/>
  <c r="V10" i="46"/>
  <c r="D19" i="37"/>
  <c r="E19" i="37"/>
  <c r="D20" i="37"/>
  <c r="D21" i="37" s="1"/>
  <c r="E20" i="37"/>
  <c r="E21" i="37" s="1"/>
  <c r="B90" i="43" l="1"/>
  <c r="B46" i="43" l="1"/>
  <c r="B46" i="6"/>
  <c r="B25" i="6"/>
  <c r="C31" i="47" l="1"/>
  <c r="C17" i="47"/>
  <c r="C17" i="50"/>
  <c r="K16" i="47" l="1"/>
  <c r="AG16" i="47"/>
  <c r="Y16" i="47"/>
  <c r="R16" i="47"/>
  <c r="P16" i="47"/>
  <c r="Z16" i="47"/>
  <c r="S16" i="47"/>
  <c r="N16" i="47"/>
  <c r="AI16" i="47"/>
  <c r="AA16" i="47"/>
  <c r="T16" i="47"/>
  <c r="M16" i="47"/>
  <c r="AJ16" i="47"/>
  <c r="AB16" i="47"/>
  <c r="U16" i="47"/>
  <c r="L16" i="47"/>
  <c r="AK16" i="47"/>
  <c r="V16" i="47"/>
  <c r="AL16" i="47"/>
  <c r="W16" i="47"/>
  <c r="AM16" i="47"/>
  <c r="X16" i="47"/>
  <c r="AF16" i="47"/>
  <c r="Q16" i="47"/>
  <c r="O16" i="47"/>
  <c r="AH16" i="47"/>
  <c r="I16" i="47"/>
  <c r="AD16" i="47"/>
  <c r="J16" i="47"/>
  <c r="AC16" i="47"/>
  <c r="AE16" i="47"/>
  <c r="B12" i="43" l="1"/>
  <c r="B12" i="6"/>
  <c r="E92" i="43"/>
  <c r="E92" i="6"/>
  <c r="A2" i="37"/>
  <c r="B123" i="4" l="1"/>
  <c r="B123" i="42"/>
  <c r="C115" i="4"/>
  <c r="A2" i="50" l="1"/>
  <c r="A2" i="49"/>
  <c r="A2" i="47"/>
  <c r="A2" i="46"/>
  <c r="A3" i="46" l="1"/>
  <c r="C31" i="50" l="1"/>
  <c r="A3" i="50"/>
  <c r="C81" i="49"/>
  <c r="U70" i="49"/>
  <c r="T70" i="49"/>
  <c r="S70" i="49"/>
  <c r="R70" i="49"/>
  <c r="Q70" i="49"/>
  <c r="P70" i="49"/>
  <c r="O70" i="49"/>
  <c r="N70" i="49"/>
  <c r="M70" i="49"/>
  <c r="L70" i="49"/>
  <c r="K70" i="49"/>
  <c r="J70" i="49"/>
  <c r="I70" i="49"/>
  <c r="H70" i="49"/>
  <c r="G70" i="49"/>
  <c r="F70" i="49"/>
  <c r="E70" i="49"/>
  <c r="D70" i="49"/>
  <c r="L37" i="49"/>
  <c r="K37" i="49"/>
  <c r="D37" i="49"/>
  <c r="U36" i="49"/>
  <c r="U37" i="49" s="1"/>
  <c r="T36" i="49"/>
  <c r="T37" i="49" s="1"/>
  <c r="S36" i="49"/>
  <c r="S37" i="49" s="1"/>
  <c r="R36" i="49"/>
  <c r="R37" i="49" s="1"/>
  <c r="Q36" i="49"/>
  <c r="Q37" i="49" s="1"/>
  <c r="P36" i="49"/>
  <c r="P37" i="49" s="1"/>
  <c r="O36" i="49"/>
  <c r="O37" i="49" s="1"/>
  <c r="N36" i="49"/>
  <c r="N37" i="49" s="1"/>
  <c r="M36" i="49"/>
  <c r="M37" i="49" s="1"/>
  <c r="L36" i="49"/>
  <c r="K36" i="49"/>
  <c r="J36" i="49"/>
  <c r="J37" i="49" s="1"/>
  <c r="I36" i="49"/>
  <c r="I37" i="49" s="1"/>
  <c r="H36" i="49"/>
  <c r="H37" i="49" s="1"/>
  <c r="G36" i="49"/>
  <c r="G37" i="49" s="1"/>
  <c r="F36" i="49"/>
  <c r="F37" i="49" s="1"/>
  <c r="E36" i="49"/>
  <c r="E37" i="49" s="1"/>
  <c r="D36" i="49"/>
  <c r="U19" i="49"/>
  <c r="U21" i="49" s="1"/>
  <c r="U24" i="49" s="1"/>
  <c r="T19" i="49"/>
  <c r="T21" i="49" s="1"/>
  <c r="T24" i="49" s="1"/>
  <c r="S19" i="49"/>
  <c r="S21" i="49" s="1"/>
  <c r="S24" i="49" s="1"/>
  <c r="R19" i="49"/>
  <c r="R21" i="49" s="1"/>
  <c r="R24" i="49" s="1"/>
  <c r="Q19" i="49"/>
  <c r="Q21" i="49" s="1"/>
  <c r="Q24" i="49" s="1"/>
  <c r="P19" i="49"/>
  <c r="P21" i="49" s="1"/>
  <c r="P24" i="49" s="1"/>
  <c r="O19" i="49"/>
  <c r="O21" i="49" s="1"/>
  <c r="O24" i="49" s="1"/>
  <c r="N19" i="49"/>
  <c r="N21" i="49" s="1"/>
  <c r="N24" i="49" s="1"/>
  <c r="M19" i="49"/>
  <c r="M21" i="49" s="1"/>
  <c r="M24" i="49" s="1"/>
  <c r="L19" i="49"/>
  <c r="L21" i="49" s="1"/>
  <c r="L24" i="49" s="1"/>
  <c r="K19" i="49"/>
  <c r="K21" i="49" s="1"/>
  <c r="K24" i="49" s="1"/>
  <c r="J19" i="49"/>
  <c r="J21" i="49" s="1"/>
  <c r="J24" i="49" s="1"/>
  <c r="I19" i="49"/>
  <c r="I21" i="49" s="1"/>
  <c r="I24" i="49" s="1"/>
  <c r="H19" i="49"/>
  <c r="H21" i="49" s="1"/>
  <c r="H24" i="49" s="1"/>
  <c r="G19" i="49"/>
  <c r="G21" i="49" s="1"/>
  <c r="G24" i="49" s="1"/>
  <c r="F19" i="49"/>
  <c r="F21" i="49" s="1"/>
  <c r="F24" i="49" s="1"/>
  <c r="E19" i="49"/>
  <c r="E21" i="49" s="1"/>
  <c r="E24" i="49" s="1"/>
  <c r="D19" i="49"/>
  <c r="D21" i="49" s="1"/>
  <c r="D24" i="49" s="1"/>
  <c r="A3" i="49"/>
  <c r="E2" i="48" l="1"/>
  <c r="A26" i="48"/>
  <c r="A27" i="48"/>
  <c r="A28" i="48"/>
  <c r="A29" i="48"/>
  <c r="A30" i="48"/>
  <c r="A31" i="48"/>
  <c r="A32" i="48"/>
  <c r="B32" i="48"/>
  <c r="F9" i="46" s="1"/>
  <c r="C32" i="48"/>
  <c r="A33" i="48"/>
  <c r="A34" i="48"/>
  <c r="A35" i="48"/>
  <c r="A36" i="48"/>
  <c r="A37" i="48"/>
  <c r="A38" i="48"/>
  <c r="A39" i="48"/>
  <c r="A40" i="48"/>
  <c r="A41" i="48"/>
  <c r="A42" i="48"/>
  <c r="A43" i="48"/>
  <c r="A44" i="48"/>
  <c r="A45" i="48"/>
  <c r="A46" i="48"/>
  <c r="A47" i="48"/>
  <c r="A48" i="48"/>
  <c r="A49" i="48"/>
  <c r="A50" i="48"/>
  <c r="A3" i="47"/>
  <c r="D19" i="46"/>
  <c r="D21" i="46" s="1"/>
  <c r="D24" i="46" s="1"/>
  <c r="E19" i="46"/>
  <c r="E21" i="46" s="1"/>
  <c r="E24" i="46" s="1"/>
  <c r="F19" i="46"/>
  <c r="F21" i="46" s="1"/>
  <c r="F24" i="46" s="1"/>
  <c r="G19" i="46"/>
  <c r="G21" i="46" s="1"/>
  <c r="G24" i="46" s="1"/>
  <c r="H19" i="46"/>
  <c r="H21" i="46" s="1"/>
  <c r="H24" i="46" s="1"/>
  <c r="I19" i="46"/>
  <c r="I21" i="46" s="1"/>
  <c r="J19" i="46"/>
  <c r="J21" i="46" s="1"/>
  <c r="J24" i="46" s="1"/>
  <c r="K19" i="46"/>
  <c r="K21" i="46" s="1"/>
  <c r="K24" i="46" s="1"/>
  <c r="L19" i="46"/>
  <c r="L21" i="46" s="1"/>
  <c r="L24" i="46" s="1"/>
  <c r="M19" i="46"/>
  <c r="M21" i="46" s="1"/>
  <c r="M24" i="46" s="1"/>
  <c r="N19" i="46"/>
  <c r="N21" i="46" s="1"/>
  <c r="N24" i="46" s="1"/>
  <c r="O19" i="46"/>
  <c r="O21" i="46" s="1"/>
  <c r="O24" i="46" s="1"/>
  <c r="P19" i="46"/>
  <c r="P21" i="46" s="1"/>
  <c r="P24" i="46" s="1"/>
  <c r="Q19" i="46"/>
  <c r="Q21" i="46" s="1"/>
  <c r="R19" i="46"/>
  <c r="R21" i="46" s="1"/>
  <c r="R24" i="46" s="1"/>
  <c r="S19" i="46"/>
  <c r="S21" i="46" s="1"/>
  <c r="S24" i="46" s="1"/>
  <c r="T19" i="46"/>
  <c r="T21" i="46" s="1"/>
  <c r="T24" i="46" s="1"/>
  <c r="U19" i="46"/>
  <c r="U21" i="46" s="1"/>
  <c r="U24" i="46" s="1"/>
  <c r="I24" i="46"/>
  <c r="Q24" i="46"/>
  <c r="D36" i="46"/>
  <c r="D37" i="46" s="1"/>
  <c r="E36" i="46"/>
  <c r="E37" i="46" s="1"/>
  <c r="F36" i="46"/>
  <c r="G36" i="46"/>
  <c r="G37" i="46" s="1"/>
  <c r="H36" i="46"/>
  <c r="H37" i="46" s="1"/>
  <c r="I36" i="46"/>
  <c r="I37" i="46" s="1"/>
  <c r="J36" i="46"/>
  <c r="J37" i="46" s="1"/>
  <c r="K36" i="46"/>
  <c r="K37" i="46" s="1"/>
  <c r="L36" i="46"/>
  <c r="L37" i="46" s="1"/>
  <c r="M36" i="46"/>
  <c r="M37" i="46" s="1"/>
  <c r="N36" i="46"/>
  <c r="N37" i="46" s="1"/>
  <c r="O36" i="46"/>
  <c r="O37" i="46" s="1"/>
  <c r="P36" i="46"/>
  <c r="P37" i="46" s="1"/>
  <c r="Q36" i="46"/>
  <c r="Q37" i="46" s="1"/>
  <c r="R36" i="46"/>
  <c r="R37" i="46" s="1"/>
  <c r="S36" i="46"/>
  <c r="S37" i="46" s="1"/>
  <c r="T37" i="46"/>
  <c r="U36" i="46"/>
  <c r="U37" i="46" s="1"/>
  <c r="F37" i="46"/>
  <c r="D70" i="46"/>
  <c r="E70" i="46"/>
  <c r="F70" i="46"/>
  <c r="G70" i="46"/>
  <c r="H70" i="46"/>
  <c r="I70" i="46"/>
  <c r="J70" i="46"/>
  <c r="K70" i="46"/>
  <c r="L70" i="46"/>
  <c r="M70" i="46"/>
  <c r="N70" i="46"/>
  <c r="O70" i="46"/>
  <c r="P70" i="46"/>
  <c r="Q70" i="46"/>
  <c r="R70" i="46"/>
  <c r="S70" i="46"/>
  <c r="T70" i="46"/>
  <c r="U70" i="46"/>
  <c r="C81" i="46"/>
  <c r="Z11" i="49" l="1"/>
  <c r="AA32" i="49" s="1"/>
  <c r="Y12" i="49"/>
  <c r="Z14" i="49"/>
  <c r="V13" i="49"/>
  <c r="Z44" i="49"/>
  <c r="W13" i="49"/>
  <c r="W14" i="49"/>
  <c r="V11" i="49"/>
  <c r="W32" i="49" s="1"/>
  <c r="W12" i="49"/>
  <c r="V14" i="49"/>
  <c r="X11" i="49"/>
  <c r="Y32" i="49" s="1"/>
  <c r="X12" i="49"/>
  <c r="Y13" i="49"/>
  <c r="V44" i="49"/>
  <c r="W11" i="49"/>
  <c r="X32" i="49" s="1"/>
  <c r="AA14" i="49"/>
  <c r="X13" i="49"/>
  <c r="Y44" i="49"/>
  <c r="AA11" i="49"/>
  <c r="AA44" i="49"/>
  <c r="X14" i="49"/>
  <c r="W44" i="49"/>
  <c r="Z12" i="49"/>
  <c r="V12" i="49"/>
  <c r="Y11" i="49"/>
  <c r="Z32" i="49" s="1"/>
  <c r="Y14" i="49"/>
  <c r="X44" i="49"/>
  <c r="AA12" i="49"/>
  <c r="Z13" i="49"/>
  <c r="AA13" i="49"/>
  <c r="Y11" i="46"/>
  <c r="Z32" i="46" s="1"/>
  <c r="Z44" i="46"/>
  <c r="AA12" i="46"/>
  <c r="Z11" i="46"/>
  <c r="AA32" i="46" s="1"/>
  <c r="AA44" i="46"/>
  <c r="Z12" i="46"/>
  <c r="Y12" i="46"/>
  <c r="Z14" i="46"/>
  <c r="Z13" i="46"/>
  <c r="Y44" i="46"/>
  <c r="Y13" i="46"/>
  <c r="AA11" i="46"/>
  <c r="AA13" i="46"/>
  <c r="Y14" i="46"/>
  <c r="AA14" i="46"/>
  <c r="V44" i="46"/>
  <c r="W13" i="46"/>
  <c r="V13" i="46"/>
  <c r="W12" i="46"/>
  <c r="V14" i="46"/>
  <c r="X12" i="46"/>
  <c r="X14" i="46"/>
  <c r="V12" i="46"/>
  <c r="X11" i="46"/>
  <c r="Y32" i="46" s="1"/>
  <c r="X44" i="46"/>
  <c r="W14" i="46"/>
  <c r="V11" i="46"/>
  <c r="W32" i="46" s="1"/>
  <c r="W44" i="46"/>
  <c r="W11" i="46"/>
  <c r="X32" i="46" s="1"/>
  <c r="X13" i="46"/>
  <c r="J4" i="47"/>
  <c r="P9" i="46"/>
  <c r="P10" i="46" s="1"/>
  <c r="E9" i="46"/>
  <c r="E10" i="46" s="1"/>
  <c r="T9" i="46"/>
  <c r="T11" i="46" s="1"/>
  <c r="H9" i="46"/>
  <c r="H27" i="46" s="1"/>
  <c r="H29" i="46" s="1"/>
  <c r="O9" i="46"/>
  <c r="O27" i="46" s="1"/>
  <c r="O29" i="46" s="1"/>
  <c r="D9" i="46"/>
  <c r="D27" i="46" s="1"/>
  <c r="D29" i="46" s="1"/>
  <c r="S9" i="46"/>
  <c r="M9" i="46"/>
  <c r="M13" i="46" s="1"/>
  <c r="G9" i="46"/>
  <c r="G10" i="46" s="1"/>
  <c r="L9" i="46"/>
  <c r="L11" i="46" s="1"/>
  <c r="M32" i="46" s="1"/>
  <c r="I9" i="46"/>
  <c r="I13" i="46" s="1"/>
  <c r="Q9" i="46"/>
  <c r="Q10" i="46" s="1"/>
  <c r="U9" i="46"/>
  <c r="K9" i="46"/>
  <c r="K10" i="46" s="1"/>
  <c r="U4" i="47"/>
  <c r="K4" i="47"/>
  <c r="P4" i="47"/>
  <c r="AA4" i="47"/>
  <c r="AE4" i="47"/>
  <c r="X4" i="47"/>
  <c r="S4" i="47"/>
  <c r="M4" i="47"/>
  <c r="AM4" i="47"/>
  <c r="AI4" i="47"/>
  <c r="AG4" i="47"/>
  <c r="AC4" i="47"/>
  <c r="AD4" i="47"/>
  <c r="W4" i="47"/>
  <c r="Q4" i="47"/>
  <c r="L4" i="47"/>
  <c r="AK4" i="47"/>
  <c r="Y4" i="47"/>
  <c r="T4" i="47"/>
  <c r="O4" i="47"/>
  <c r="F13" i="46"/>
  <c r="F59" i="46" s="1"/>
  <c r="F71" i="46"/>
  <c r="F72" i="46" s="1"/>
  <c r="F74" i="46" s="1"/>
  <c r="F12" i="46"/>
  <c r="F27" i="46"/>
  <c r="F29" i="46" s="1"/>
  <c r="F14" i="46"/>
  <c r="F10" i="46"/>
  <c r="F11" i="46"/>
  <c r="G32" i="46" s="1"/>
  <c r="R9" i="46"/>
  <c r="R27" i="46" s="1"/>
  <c r="R29" i="46" s="1"/>
  <c r="N9" i="46"/>
  <c r="J9" i="46"/>
  <c r="AJ4" i="47"/>
  <c r="Z4" i="47"/>
  <c r="V4" i="47"/>
  <c r="R4" i="47"/>
  <c r="N4" i="47"/>
  <c r="AL4" i="47"/>
  <c r="AH4" i="47"/>
  <c r="AF4" i="47"/>
  <c r="AB4" i="47"/>
  <c r="AL16" i="50"/>
  <c r="AL17" i="50" s="1"/>
  <c r="AH16" i="50"/>
  <c r="AH17" i="50" s="1"/>
  <c r="AD16" i="50"/>
  <c r="AD17" i="50" s="1"/>
  <c r="Z16" i="50"/>
  <c r="Z17" i="50" s="1"/>
  <c r="V16" i="50"/>
  <c r="V17" i="50" s="1"/>
  <c r="R16" i="50"/>
  <c r="R17" i="50" s="1"/>
  <c r="N16" i="50"/>
  <c r="N17" i="50" s="1"/>
  <c r="J16" i="50"/>
  <c r="AK16" i="50"/>
  <c r="AK17" i="50" s="1"/>
  <c r="AG16" i="50"/>
  <c r="AG17" i="50" s="1"/>
  <c r="AC16" i="50"/>
  <c r="AC17" i="50" s="1"/>
  <c r="Y16" i="50"/>
  <c r="Y17" i="50" s="1"/>
  <c r="U16" i="50"/>
  <c r="U17" i="50" s="1"/>
  <c r="Q16" i="50"/>
  <c r="Q17" i="50" s="1"/>
  <c r="M16" i="50"/>
  <c r="M17" i="50" s="1"/>
  <c r="I16" i="50"/>
  <c r="AF16" i="50"/>
  <c r="AF17" i="50" s="1"/>
  <c r="X16" i="50"/>
  <c r="X17" i="50" s="1"/>
  <c r="P16" i="50"/>
  <c r="P17" i="50" s="1"/>
  <c r="AM16" i="50"/>
  <c r="AM17" i="50" s="1"/>
  <c r="AE16" i="50"/>
  <c r="AE17" i="50" s="1"/>
  <c r="W16" i="50"/>
  <c r="W17" i="50" s="1"/>
  <c r="O16" i="50"/>
  <c r="O17" i="50" s="1"/>
  <c r="AI16" i="50"/>
  <c r="AI17" i="50" s="1"/>
  <c r="S16" i="50"/>
  <c r="S17" i="50" s="1"/>
  <c r="AJ16" i="50"/>
  <c r="AJ17" i="50" s="1"/>
  <c r="T16" i="50"/>
  <c r="T17" i="50" s="1"/>
  <c r="AB16" i="50"/>
  <c r="AB17" i="50" s="1"/>
  <c r="L16" i="50"/>
  <c r="L17" i="50" s="1"/>
  <c r="AA16" i="50"/>
  <c r="AA17" i="50" s="1"/>
  <c r="K16" i="50"/>
  <c r="C34" i="48"/>
  <c r="AM4" i="50"/>
  <c r="AI4" i="50"/>
  <c r="AE4" i="50"/>
  <c r="AA4" i="50"/>
  <c r="W4" i="50"/>
  <c r="S4" i="50"/>
  <c r="O4" i="50"/>
  <c r="K4" i="50"/>
  <c r="AL4" i="50"/>
  <c r="AH4" i="50"/>
  <c r="AD4" i="50"/>
  <c r="Z4" i="50"/>
  <c r="V4" i="50"/>
  <c r="R4" i="50"/>
  <c r="N4" i="50"/>
  <c r="J4" i="50"/>
  <c r="AG4" i="50"/>
  <c r="Y4" i="50"/>
  <c r="Q4" i="50"/>
  <c r="AF4" i="50"/>
  <c r="X4" i="50"/>
  <c r="P4" i="50"/>
  <c r="AB4" i="50"/>
  <c r="L4" i="50"/>
  <c r="AJ4" i="50"/>
  <c r="AC4" i="50"/>
  <c r="M4" i="50"/>
  <c r="AK4" i="50"/>
  <c r="U4" i="50"/>
  <c r="T4" i="50"/>
  <c r="U9" i="49"/>
  <c r="Q9" i="49"/>
  <c r="M9" i="49"/>
  <c r="I9" i="49"/>
  <c r="E9" i="49"/>
  <c r="O9" i="49"/>
  <c r="G9" i="49"/>
  <c r="T9" i="49"/>
  <c r="P9" i="49"/>
  <c r="L9" i="49"/>
  <c r="H9" i="49"/>
  <c r="D9" i="49"/>
  <c r="K9" i="50" s="1"/>
  <c r="S9" i="49"/>
  <c r="K9" i="49"/>
  <c r="N9" i="49"/>
  <c r="J9" i="49"/>
  <c r="R9" i="49"/>
  <c r="F9" i="49"/>
  <c r="AH17" i="47"/>
  <c r="R17" i="47"/>
  <c r="AD17" i="47"/>
  <c r="N17" i="47"/>
  <c r="Z17" i="47"/>
  <c r="AL17" i="47"/>
  <c r="V17" i="47"/>
  <c r="AK17" i="47"/>
  <c r="AG17" i="47"/>
  <c r="AC17" i="47"/>
  <c r="Y17" i="47"/>
  <c r="U17" i="47"/>
  <c r="Q17" i="47"/>
  <c r="M17" i="47"/>
  <c r="AJ17" i="47"/>
  <c r="AF17" i="47"/>
  <c r="AB17" i="47"/>
  <c r="X17" i="47"/>
  <c r="T17" i="47"/>
  <c r="P17" i="47"/>
  <c r="L17" i="47"/>
  <c r="AM17" i="47"/>
  <c r="AI17" i="47"/>
  <c r="AE17" i="47"/>
  <c r="AA17" i="47"/>
  <c r="W17" i="47"/>
  <c r="S17" i="47"/>
  <c r="O17" i="47"/>
  <c r="H55" i="4"/>
  <c r="E11" i="46" l="1"/>
  <c r="F32" i="46" s="1"/>
  <c r="L71" i="46"/>
  <c r="L72" i="46" s="1"/>
  <c r="P13" i="46"/>
  <c r="E14" i="46"/>
  <c r="E12" i="46"/>
  <c r="I12" i="46"/>
  <c r="Z54" i="49"/>
  <c r="Z53" i="49"/>
  <c r="AA59" i="49"/>
  <c r="AA58" i="49"/>
  <c r="W59" i="49"/>
  <c r="W58" i="49"/>
  <c r="V54" i="49"/>
  <c r="V53" i="49"/>
  <c r="Z59" i="49"/>
  <c r="Z58" i="49"/>
  <c r="Y59" i="49"/>
  <c r="Y58" i="49"/>
  <c r="AA54" i="49"/>
  <c r="AA53" i="49"/>
  <c r="X54" i="49"/>
  <c r="X53" i="49"/>
  <c r="V59" i="49"/>
  <c r="V58" i="49"/>
  <c r="Y54" i="49"/>
  <c r="Y53" i="49"/>
  <c r="X58" i="49"/>
  <c r="X59" i="49"/>
  <c r="W54" i="49"/>
  <c r="W53" i="49"/>
  <c r="G12" i="46"/>
  <c r="G13" i="46"/>
  <c r="G58" i="46" s="1"/>
  <c r="S10" i="46"/>
  <c r="S27" i="46"/>
  <c r="S29" i="46" s="1"/>
  <c r="P14" i="46"/>
  <c r="P27" i="46"/>
  <c r="P29" i="46" s="1"/>
  <c r="G27" i="46"/>
  <c r="G29" i="46" s="1"/>
  <c r="G71" i="46"/>
  <c r="G72" i="46" s="1"/>
  <c r="G74" i="46" s="1"/>
  <c r="U11" i="46"/>
  <c r="V32" i="46" s="1"/>
  <c r="U27" i="46"/>
  <c r="U29" i="46" s="1"/>
  <c r="U32" i="46" s="1"/>
  <c r="P12" i="46"/>
  <c r="P11" i="46"/>
  <c r="Q32" i="46" s="1"/>
  <c r="G11" i="46"/>
  <c r="H32" i="46" s="1"/>
  <c r="T44" i="46"/>
  <c r="S44" i="46" s="1"/>
  <c r="R44" i="46" s="1"/>
  <c r="Q44" i="46" s="1"/>
  <c r="P44" i="46" s="1"/>
  <c r="O44" i="46" s="1"/>
  <c r="N44" i="46" s="1"/>
  <c r="M44" i="46" s="1"/>
  <c r="L44" i="46" s="1"/>
  <c r="K44" i="46" s="1"/>
  <c r="J44" i="46" s="1"/>
  <c r="I44" i="46" s="1"/>
  <c r="H44" i="46" s="1"/>
  <c r="G44" i="46" s="1"/>
  <c r="F44" i="46" s="1"/>
  <c r="E44" i="46" s="1"/>
  <c r="D44" i="46" s="1"/>
  <c r="T27" i="46"/>
  <c r="T29" i="46" s="1"/>
  <c r="G14" i="46"/>
  <c r="AA58" i="46"/>
  <c r="AA59" i="46"/>
  <c r="Z58" i="46"/>
  <c r="Z59" i="46"/>
  <c r="Y53" i="46"/>
  <c r="Y54" i="46"/>
  <c r="Y59" i="46"/>
  <c r="Y58" i="46"/>
  <c r="Z54" i="46"/>
  <c r="Z53" i="46"/>
  <c r="AA54" i="46"/>
  <c r="AA53" i="46"/>
  <c r="L14" i="46"/>
  <c r="L27" i="46"/>
  <c r="L29" i="46" s="1"/>
  <c r="L12" i="46"/>
  <c r="L10" i="46"/>
  <c r="L77" i="46" s="1"/>
  <c r="L79" i="46" s="1"/>
  <c r="L13" i="46"/>
  <c r="L58" i="46" s="1"/>
  <c r="E71" i="46"/>
  <c r="E72" i="46" s="1"/>
  <c r="E74" i="46" s="1"/>
  <c r="E27" i="46"/>
  <c r="E29" i="46" s="1"/>
  <c r="E13" i="46"/>
  <c r="E58" i="46" s="1"/>
  <c r="X54" i="46"/>
  <c r="X53" i="46"/>
  <c r="W54" i="46"/>
  <c r="W53" i="46"/>
  <c r="V59" i="46"/>
  <c r="V58" i="46"/>
  <c r="W59" i="46"/>
  <c r="W58" i="46"/>
  <c r="X59" i="46"/>
  <c r="X58" i="46"/>
  <c r="V53" i="46"/>
  <c r="V54" i="46"/>
  <c r="T12" i="46"/>
  <c r="T54" i="46" s="1"/>
  <c r="H14" i="46"/>
  <c r="Q27" i="46"/>
  <c r="Q29" i="46" s="1"/>
  <c r="I11" i="46"/>
  <c r="J32" i="46" s="1"/>
  <c r="T10" i="46"/>
  <c r="I71" i="46"/>
  <c r="I72" i="46" s="1"/>
  <c r="I74" i="46" s="1"/>
  <c r="I10" i="46"/>
  <c r="I77" i="46" s="1"/>
  <c r="I79" i="46" s="1"/>
  <c r="T13" i="46"/>
  <c r="O13" i="46"/>
  <c r="O58" i="46" s="1"/>
  <c r="T14" i="46"/>
  <c r="I14" i="46"/>
  <c r="H12" i="46"/>
  <c r="Q11" i="46"/>
  <c r="Q13" i="46"/>
  <c r="Q14" i="46"/>
  <c r="Q12" i="46"/>
  <c r="H10" i="46"/>
  <c r="H77" i="46" s="1"/>
  <c r="H79" i="46" s="1"/>
  <c r="S11" i="46"/>
  <c r="T32" i="46" s="1"/>
  <c r="H13" i="46"/>
  <c r="H59" i="46" s="1"/>
  <c r="S12" i="46"/>
  <c r="S54" i="46" s="1"/>
  <c r="H71" i="46"/>
  <c r="H72" i="46" s="1"/>
  <c r="H74" i="46" s="1"/>
  <c r="S14" i="46"/>
  <c r="H11" i="46"/>
  <c r="I32" i="46" s="1"/>
  <c r="S13" i="46"/>
  <c r="M12" i="46"/>
  <c r="I27" i="46"/>
  <c r="I29" i="46" s="1"/>
  <c r="I59" i="46"/>
  <c r="I58" i="46"/>
  <c r="M10" i="46"/>
  <c r="M11" i="46"/>
  <c r="N32" i="46" s="1"/>
  <c r="D10" i="46"/>
  <c r="D77" i="46" s="1"/>
  <c r="D79" i="46" s="1"/>
  <c r="M27" i="46"/>
  <c r="M29" i="46" s="1"/>
  <c r="M14" i="46"/>
  <c r="K12" i="46"/>
  <c r="O12" i="46"/>
  <c r="K11" i="46"/>
  <c r="K9" i="47"/>
  <c r="K17" i="47" s="1"/>
  <c r="D14" i="46"/>
  <c r="D11" i="46"/>
  <c r="E32" i="46" s="1"/>
  <c r="D12" i="46"/>
  <c r="U13" i="46"/>
  <c r="U59" i="46" s="1"/>
  <c r="D13" i="46"/>
  <c r="D59" i="46" s="1"/>
  <c r="K14" i="46"/>
  <c r="K13" i="46"/>
  <c r="K27" i="46"/>
  <c r="K29" i="46" s="1"/>
  <c r="K71" i="46"/>
  <c r="K72" i="46" s="1"/>
  <c r="K74" i="46" s="1"/>
  <c r="O14" i="46"/>
  <c r="U44" i="46"/>
  <c r="U14" i="46"/>
  <c r="D71" i="46"/>
  <c r="D72" i="46" s="1"/>
  <c r="D74" i="46" s="1"/>
  <c r="U10" i="46"/>
  <c r="J9" i="47"/>
  <c r="P77" i="46" s="1"/>
  <c r="P79" i="46" s="1"/>
  <c r="O10" i="46"/>
  <c r="O77" i="46" s="1"/>
  <c r="O79" i="46" s="1"/>
  <c r="O11" i="46"/>
  <c r="P32" i="46" s="1"/>
  <c r="U12" i="46"/>
  <c r="U53" i="46" s="1"/>
  <c r="F58" i="46"/>
  <c r="K17" i="50"/>
  <c r="F77" i="46"/>
  <c r="F79" i="46" s="1"/>
  <c r="G77" i="46"/>
  <c r="G79" i="46" s="1"/>
  <c r="F71" i="49"/>
  <c r="F72" i="49" s="1"/>
  <c r="F74" i="49" s="1"/>
  <c r="F27" i="49"/>
  <c r="F29" i="49" s="1"/>
  <c r="F13" i="49"/>
  <c r="F14" i="49"/>
  <c r="F12" i="49"/>
  <c r="F10" i="49"/>
  <c r="F77" i="49" s="1"/>
  <c r="F79" i="49" s="1"/>
  <c r="F11" i="49"/>
  <c r="G32" i="49" s="1"/>
  <c r="K71" i="49"/>
  <c r="K72" i="49" s="1"/>
  <c r="K74" i="49" s="1"/>
  <c r="K14" i="49"/>
  <c r="K12" i="49"/>
  <c r="K10" i="49"/>
  <c r="K77" i="49" s="1"/>
  <c r="K79" i="49" s="1"/>
  <c r="K27" i="49"/>
  <c r="K29" i="49" s="1"/>
  <c r="K13" i="49"/>
  <c r="K11" i="49"/>
  <c r="L14" i="49"/>
  <c r="L71" i="49"/>
  <c r="L72" i="49" s="1"/>
  <c r="L74" i="49" s="1"/>
  <c r="L27" i="49"/>
  <c r="L29" i="49" s="1"/>
  <c r="L13" i="49"/>
  <c r="L11" i="49"/>
  <c r="M32" i="49" s="1"/>
  <c r="L10" i="49"/>
  <c r="L77" i="49" s="1"/>
  <c r="L79" i="49" s="1"/>
  <c r="L12" i="49"/>
  <c r="O27" i="49"/>
  <c r="O29" i="49" s="1"/>
  <c r="O14" i="49"/>
  <c r="O12" i="49"/>
  <c r="O10" i="49"/>
  <c r="O77" i="49" s="1"/>
  <c r="O79" i="49" s="1"/>
  <c r="O11" i="49"/>
  <c r="P32" i="49" s="1"/>
  <c r="O13" i="49"/>
  <c r="Q27" i="49"/>
  <c r="Q29" i="49" s="1"/>
  <c r="Q13" i="49"/>
  <c r="Q11" i="49"/>
  <c r="R32" i="49" s="1"/>
  <c r="Q14" i="49"/>
  <c r="Q10" i="49"/>
  <c r="Q77" i="49" s="1"/>
  <c r="Q79" i="49" s="1"/>
  <c r="Q12" i="49"/>
  <c r="J10" i="46"/>
  <c r="J11" i="46"/>
  <c r="K32" i="46" s="1"/>
  <c r="J14" i="46"/>
  <c r="J27" i="46"/>
  <c r="J29" i="46" s="1"/>
  <c r="J71" i="46"/>
  <c r="J72" i="46" s="1"/>
  <c r="J74" i="46" s="1"/>
  <c r="J12" i="46"/>
  <c r="J13" i="46"/>
  <c r="E77" i="46"/>
  <c r="E79" i="46" s="1"/>
  <c r="R27" i="49"/>
  <c r="R29" i="49" s="1"/>
  <c r="R13" i="49"/>
  <c r="R14" i="49"/>
  <c r="R12" i="49"/>
  <c r="R10" i="49"/>
  <c r="R77" i="49" s="1"/>
  <c r="R79" i="49" s="1"/>
  <c r="R11" i="49"/>
  <c r="S32" i="49" s="1"/>
  <c r="S14" i="49"/>
  <c r="S12" i="49"/>
  <c r="S10" i="49"/>
  <c r="S27" i="49"/>
  <c r="S29" i="49" s="1"/>
  <c r="S13" i="49"/>
  <c r="S11" i="49"/>
  <c r="T32" i="49" s="1"/>
  <c r="P27" i="49"/>
  <c r="P29" i="49" s="1"/>
  <c r="P14" i="49"/>
  <c r="P12" i="49"/>
  <c r="P13" i="49"/>
  <c r="P11" i="49"/>
  <c r="Q32" i="49" s="1"/>
  <c r="P10" i="49"/>
  <c r="E27" i="49"/>
  <c r="E29" i="49" s="1"/>
  <c r="E13" i="49"/>
  <c r="E11" i="49"/>
  <c r="F32" i="49" s="1"/>
  <c r="E71" i="49"/>
  <c r="E72" i="49" s="1"/>
  <c r="E74" i="49" s="1"/>
  <c r="E12" i="49"/>
  <c r="E14" i="49"/>
  <c r="E10" i="49"/>
  <c r="E77" i="49" s="1"/>
  <c r="E79" i="49" s="1"/>
  <c r="U27" i="49"/>
  <c r="U29" i="49" s="1"/>
  <c r="U13" i="49"/>
  <c r="U11" i="49"/>
  <c r="V32" i="49" s="1"/>
  <c r="U12" i="49"/>
  <c r="U44" i="49"/>
  <c r="U14" i="49"/>
  <c r="U10" i="49"/>
  <c r="J9" i="50"/>
  <c r="N12" i="46"/>
  <c r="N13" i="46"/>
  <c r="N27" i="46"/>
  <c r="N29" i="46" s="1"/>
  <c r="N10" i="46"/>
  <c r="N11" i="46"/>
  <c r="O32" i="46" s="1"/>
  <c r="N14" i="46"/>
  <c r="J71" i="49"/>
  <c r="J72" i="49" s="1"/>
  <c r="J74" i="49" s="1"/>
  <c r="J27" i="49"/>
  <c r="J29" i="49" s="1"/>
  <c r="J13" i="49"/>
  <c r="J14" i="49"/>
  <c r="J12" i="49"/>
  <c r="J10" i="49"/>
  <c r="J11" i="49"/>
  <c r="K32" i="49" s="1"/>
  <c r="T44" i="49"/>
  <c r="S44" i="49" s="1"/>
  <c r="T14" i="49"/>
  <c r="T12" i="49"/>
  <c r="T27" i="49"/>
  <c r="T29" i="49" s="1"/>
  <c r="T13" i="49"/>
  <c r="T11" i="49"/>
  <c r="T10" i="49"/>
  <c r="T77" i="49" s="1"/>
  <c r="T79" i="49" s="1"/>
  <c r="I71" i="49"/>
  <c r="I72" i="49" s="1"/>
  <c r="I74" i="49" s="1"/>
  <c r="I27" i="49"/>
  <c r="I29" i="49" s="1"/>
  <c r="I13" i="49"/>
  <c r="I11" i="49"/>
  <c r="J32" i="49" s="1"/>
  <c r="I14" i="49"/>
  <c r="I10" i="49"/>
  <c r="I77" i="49" s="1"/>
  <c r="I79" i="49" s="1"/>
  <c r="I12" i="49"/>
  <c r="D71" i="49"/>
  <c r="D72" i="49" s="1"/>
  <c r="D74" i="49" s="1"/>
  <c r="D14" i="49"/>
  <c r="D27" i="49"/>
  <c r="D29" i="49" s="1"/>
  <c r="D13" i="49"/>
  <c r="D11" i="49"/>
  <c r="E32" i="49" s="1"/>
  <c r="D12" i="49"/>
  <c r="D10" i="49"/>
  <c r="D77" i="49" s="1"/>
  <c r="D79" i="49" s="1"/>
  <c r="R11" i="46"/>
  <c r="S32" i="46" s="1"/>
  <c r="R14" i="46"/>
  <c r="R10" i="46"/>
  <c r="R77" i="46" s="1"/>
  <c r="R79" i="46" s="1"/>
  <c r="R12" i="46"/>
  <c r="R13" i="46"/>
  <c r="N27" i="49"/>
  <c r="N29" i="49" s="1"/>
  <c r="N13" i="49"/>
  <c r="N14" i="49"/>
  <c r="N12" i="49"/>
  <c r="N10" i="49"/>
  <c r="N77" i="49" s="1"/>
  <c r="N79" i="49" s="1"/>
  <c r="N11" i="49"/>
  <c r="O32" i="49" s="1"/>
  <c r="H71" i="49"/>
  <c r="H72" i="49" s="1"/>
  <c r="H74" i="49" s="1"/>
  <c r="H27" i="49"/>
  <c r="H29" i="49" s="1"/>
  <c r="H14" i="49"/>
  <c r="H13" i="49"/>
  <c r="H11" i="49"/>
  <c r="I32" i="49" s="1"/>
  <c r="H12" i="49"/>
  <c r="H10" i="49"/>
  <c r="H77" i="49" s="1"/>
  <c r="H79" i="49" s="1"/>
  <c r="G71" i="49"/>
  <c r="G72" i="49" s="1"/>
  <c r="G74" i="49" s="1"/>
  <c r="G27" i="49"/>
  <c r="G29" i="49" s="1"/>
  <c r="G14" i="49"/>
  <c r="G12" i="49"/>
  <c r="G10" i="49"/>
  <c r="G77" i="49" s="1"/>
  <c r="G79" i="49" s="1"/>
  <c r="G11" i="49"/>
  <c r="H32" i="49" s="1"/>
  <c r="G13" i="49"/>
  <c r="M27" i="49"/>
  <c r="M29" i="49" s="1"/>
  <c r="M13" i="49"/>
  <c r="M11" i="49"/>
  <c r="N32" i="49" s="1"/>
  <c r="M12" i="49"/>
  <c r="M14" i="49"/>
  <c r="M10" i="49"/>
  <c r="M71" i="46"/>
  <c r="D6" i="42"/>
  <c r="D105" i="43"/>
  <c r="C105" i="43"/>
  <c r="B105" i="43"/>
  <c r="E104" i="43"/>
  <c r="E103" i="43"/>
  <c r="E102" i="43"/>
  <c r="E101" i="43"/>
  <c r="E100" i="43"/>
  <c r="E99" i="43"/>
  <c r="E98" i="43"/>
  <c r="E97" i="43"/>
  <c r="E96" i="43"/>
  <c r="E95" i="43"/>
  <c r="E94" i="43"/>
  <c r="E93" i="43"/>
  <c r="E91" i="43"/>
  <c r="E90" i="43"/>
  <c r="D83" i="43"/>
  <c r="D77" i="43"/>
  <c r="D111" i="43" s="1"/>
  <c r="B67" i="43"/>
  <c r="D46" i="43"/>
  <c r="D67" i="43" s="1"/>
  <c r="B41" i="43"/>
  <c r="B25" i="43"/>
  <c r="B21" i="43"/>
  <c r="D20" i="43"/>
  <c r="D21" i="43" s="1"/>
  <c r="A14" i="43"/>
  <c r="D12" i="43"/>
  <c r="D25" i="43" s="1"/>
  <c r="D41" i="43" s="1"/>
  <c r="D42" i="43" s="1"/>
  <c r="A8" i="43"/>
  <c r="A3" i="43"/>
  <c r="A2" i="43"/>
  <c r="B157" i="42"/>
  <c r="B156" i="42"/>
  <c r="J153" i="42"/>
  <c r="I153" i="42"/>
  <c r="B148" i="42"/>
  <c r="H140" i="42"/>
  <c r="D140" i="42"/>
  <c r="B140" i="42"/>
  <c r="I138" i="42"/>
  <c r="H138" i="42"/>
  <c r="G138" i="42"/>
  <c r="F138" i="42"/>
  <c r="E138" i="42"/>
  <c r="D138" i="42"/>
  <c r="C138" i="42"/>
  <c r="J137" i="42"/>
  <c r="I142" i="42" s="1"/>
  <c r="J136" i="42"/>
  <c r="H141" i="42" s="1"/>
  <c r="J135" i="42"/>
  <c r="I140" i="42" s="1"/>
  <c r="B135" i="42"/>
  <c r="J129" i="42"/>
  <c r="B129" i="42"/>
  <c r="B122" i="42"/>
  <c r="J121" i="42"/>
  <c r="J120" i="42"/>
  <c r="J119" i="42"/>
  <c r="J118" i="42"/>
  <c r="J117" i="42"/>
  <c r="H115" i="42"/>
  <c r="G115" i="42"/>
  <c r="F115" i="42"/>
  <c r="E115" i="42"/>
  <c r="D115" i="42"/>
  <c r="C115" i="42"/>
  <c r="B115" i="42"/>
  <c r="B109" i="42"/>
  <c r="B107" i="42"/>
  <c r="C105" i="42"/>
  <c r="C107" i="42" s="1"/>
  <c r="D104" i="42" s="1"/>
  <c r="D105" i="42" s="1"/>
  <c r="B104" i="42"/>
  <c r="H102" i="42"/>
  <c r="K102" i="42" s="1"/>
  <c r="G102" i="42"/>
  <c r="J102" i="42" s="1"/>
  <c r="F102" i="42"/>
  <c r="I102" i="42" s="1"/>
  <c r="I105" i="42" s="1"/>
  <c r="I107" i="42" s="1"/>
  <c r="J104" i="42" s="1"/>
  <c r="I101" i="42"/>
  <c r="J101" i="42" s="1"/>
  <c r="K101" i="42" s="1"/>
  <c r="F101" i="42"/>
  <c r="G101" i="42" s="1"/>
  <c r="H101" i="42" s="1"/>
  <c r="D101" i="42"/>
  <c r="I85" i="42"/>
  <c r="J85" i="42" s="1"/>
  <c r="F85" i="42"/>
  <c r="G85" i="42" s="1"/>
  <c r="C85" i="42"/>
  <c r="J84" i="42"/>
  <c r="G84" i="42"/>
  <c r="D84" i="42"/>
  <c r="J80" i="42"/>
  <c r="G80" i="42"/>
  <c r="G81" i="42" s="1"/>
  <c r="H79" i="42" s="1"/>
  <c r="H80" i="42" s="1"/>
  <c r="D80" i="42"/>
  <c r="D81" i="42" s="1"/>
  <c r="D90" i="42" s="1"/>
  <c r="D94" i="42" s="1"/>
  <c r="H77" i="42"/>
  <c r="E77" i="42"/>
  <c r="I76" i="42"/>
  <c r="F76" i="42"/>
  <c r="I63" i="42"/>
  <c r="J63" i="42" s="1"/>
  <c r="F63" i="42"/>
  <c r="G63" i="42" s="1"/>
  <c r="C63" i="42"/>
  <c r="J62" i="42"/>
  <c r="G62" i="42"/>
  <c r="D62" i="42"/>
  <c r="B62" i="42"/>
  <c r="J58" i="42"/>
  <c r="J59" i="42" s="1"/>
  <c r="K57" i="42" s="1"/>
  <c r="K58" i="42" s="1"/>
  <c r="G58" i="42"/>
  <c r="D58" i="42"/>
  <c r="D59" i="42" s="1"/>
  <c r="H55" i="42"/>
  <c r="E55" i="42"/>
  <c r="I54" i="42"/>
  <c r="F54" i="42"/>
  <c r="I41" i="42"/>
  <c r="J41" i="42" s="1"/>
  <c r="F41" i="42"/>
  <c r="G41" i="42" s="1"/>
  <c r="C41" i="42"/>
  <c r="J40" i="42"/>
  <c r="G40" i="42"/>
  <c r="D40" i="42"/>
  <c r="J36" i="42"/>
  <c r="G36" i="42"/>
  <c r="G37" i="42" s="1"/>
  <c r="H35" i="42" s="1"/>
  <c r="H36" i="42" s="1"/>
  <c r="D36" i="42"/>
  <c r="D37" i="42" s="1"/>
  <c r="H33" i="42"/>
  <c r="E33" i="42"/>
  <c r="I32" i="42"/>
  <c r="F32" i="42"/>
  <c r="J29" i="42"/>
  <c r="K26" i="42" s="1"/>
  <c r="G29" i="42"/>
  <c r="H27" i="42" s="1"/>
  <c r="D29" i="42"/>
  <c r="E28" i="42" s="1"/>
  <c r="E29" i="42" s="1"/>
  <c r="B28" i="42"/>
  <c r="B75" i="42" s="1"/>
  <c r="B27" i="42"/>
  <c r="B53" i="42" s="1"/>
  <c r="B26" i="42"/>
  <c r="B31" i="42" s="1"/>
  <c r="J23" i="42"/>
  <c r="G23" i="42"/>
  <c r="H16" i="42"/>
  <c r="G16" i="42"/>
  <c r="F16" i="42"/>
  <c r="E16" i="42"/>
  <c r="D16" i="42"/>
  <c r="C16" i="42"/>
  <c r="I15" i="42"/>
  <c r="J15" i="42" s="1"/>
  <c r="I115" i="42"/>
  <c r="I123" i="42" s="1"/>
  <c r="H13" i="42"/>
  <c r="G13" i="42"/>
  <c r="F13" i="42"/>
  <c r="E13" i="42"/>
  <c r="D13" i="42"/>
  <c r="C13" i="42"/>
  <c r="B11" i="42"/>
  <c r="A3" i="42"/>
  <c r="A2" i="42"/>
  <c r="G59" i="46" l="1"/>
  <c r="O59" i="46"/>
  <c r="L74" i="46"/>
  <c r="L32" i="46"/>
  <c r="E59" i="46"/>
  <c r="L59" i="46"/>
  <c r="M77" i="46"/>
  <c r="M79" i="46" s="1"/>
  <c r="T53" i="46"/>
  <c r="R32" i="46"/>
  <c r="S53" i="46"/>
  <c r="H58" i="46"/>
  <c r="M77" i="49"/>
  <c r="M79" i="49" s="1"/>
  <c r="N77" i="46"/>
  <c r="N79" i="46" s="1"/>
  <c r="D58" i="46"/>
  <c r="Q77" i="46"/>
  <c r="Q79" i="46" s="1"/>
  <c r="U58" i="46"/>
  <c r="U54" i="46"/>
  <c r="T77" i="46"/>
  <c r="T79" i="46" s="1"/>
  <c r="C19" i="47"/>
  <c r="C22" i="47" s="1"/>
  <c r="J17" i="47"/>
  <c r="S77" i="46"/>
  <c r="S79" i="46" s="1"/>
  <c r="H28" i="42"/>
  <c r="H29" i="42" s="1"/>
  <c r="G123" i="42"/>
  <c r="G154" i="42" s="1"/>
  <c r="G156" i="42" s="1"/>
  <c r="E141" i="42"/>
  <c r="D68" i="43"/>
  <c r="F123" i="42"/>
  <c r="F154" i="42" s="1"/>
  <c r="F156" i="42" s="1"/>
  <c r="H26" i="42"/>
  <c r="H123" i="42"/>
  <c r="H154" i="42" s="1"/>
  <c r="H156" i="42" s="1"/>
  <c r="F142" i="42"/>
  <c r="U32" i="49"/>
  <c r="P77" i="49"/>
  <c r="P79" i="49" s="1"/>
  <c r="M71" i="49"/>
  <c r="M72" i="49" s="1"/>
  <c r="M74" i="49" s="1"/>
  <c r="R44" i="49"/>
  <c r="Q44" i="49" s="1"/>
  <c r="P44" i="49" s="1"/>
  <c r="O44" i="49" s="1"/>
  <c r="N44" i="49" s="1"/>
  <c r="M44" i="49" s="1"/>
  <c r="L44" i="49" s="1"/>
  <c r="K44" i="49" s="1"/>
  <c r="J44" i="49" s="1"/>
  <c r="I44" i="49" s="1"/>
  <c r="H44" i="49" s="1"/>
  <c r="G44" i="49" s="1"/>
  <c r="F44" i="49" s="1"/>
  <c r="E44" i="49" s="1"/>
  <c r="D44" i="49" s="1"/>
  <c r="S77" i="49"/>
  <c r="S79" i="49" s="1"/>
  <c r="C82" i="46"/>
  <c r="C83" i="46" s="1"/>
  <c r="C85" i="46" s="1"/>
  <c r="J17" i="50"/>
  <c r="I22" i="50" s="1"/>
  <c r="I23" i="50" s="1"/>
  <c r="C19" i="50"/>
  <c r="H58" i="49"/>
  <c r="H59" i="49"/>
  <c r="T54" i="49"/>
  <c r="T53" i="49"/>
  <c r="U53" i="49"/>
  <c r="U54" i="49"/>
  <c r="S54" i="49"/>
  <c r="S53" i="49"/>
  <c r="R59" i="49"/>
  <c r="R58" i="49"/>
  <c r="O59" i="49"/>
  <c r="O58" i="49"/>
  <c r="F59" i="49"/>
  <c r="F58" i="49"/>
  <c r="G59" i="49"/>
  <c r="G58" i="49"/>
  <c r="I58" i="49"/>
  <c r="I59" i="49"/>
  <c r="J77" i="49"/>
  <c r="J79" i="49" s="1"/>
  <c r="R58" i="46"/>
  <c r="R59" i="46"/>
  <c r="D58" i="49"/>
  <c r="D59" i="49"/>
  <c r="L32" i="49"/>
  <c r="U59" i="49"/>
  <c r="U58" i="49"/>
  <c r="E58" i="49"/>
  <c r="E59" i="49"/>
  <c r="L59" i="49"/>
  <c r="L58" i="49"/>
  <c r="N71" i="46"/>
  <c r="M72" i="46"/>
  <c r="M74" i="46" s="1"/>
  <c r="K28" i="42"/>
  <c r="K29" i="42" s="1"/>
  <c r="E79" i="42"/>
  <c r="K27" i="42"/>
  <c r="E80" i="42"/>
  <c r="F140" i="42"/>
  <c r="G141" i="42"/>
  <c r="H142" i="42"/>
  <c r="E105" i="43"/>
  <c r="I141" i="42"/>
  <c r="D6" i="43"/>
  <c r="E26" i="42"/>
  <c r="E27" i="42"/>
  <c r="J105" i="42"/>
  <c r="J107" i="42" s="1"/>
  <c r="K104" i="42" s="1"/>
  <c r="K107" i="42" s="1"/>
  <c r="C141" i="42"/>
  <c r="D142" i="42"/>
  <c r="D79" i="43"/>
  <c r="D109" i="43" s="1"/>
  <c r="D84" i="43"/>
  <c r="D46" i="42"/>
  <c r="D47" i="42"/>
  <c r="E36" i="42"/>
  <c r="E35" i="42"/>
  <c r="D68" i="42"/>
  <c r="D69" i="42"/>
  <c r="E58" i="42"/>
  <c r="E57" i="42"/>
  <c r="K105" i="42"/>
  <c r="C100" i="42"/>
  <c r="C134" i="42"/>
  <c r="C114" i="42"/>
  <c r="I100" i="42"/>
  <c r="E153" i="42"/>
  <c r="E128" i="42"/>
  <c r="G134" i="42"/>
  <c r="G114" i="42"/>
  <c r="D63" i="42"/>
  <c r="D85" i="42"/>
  <c r="J115" i="42"/>
  <c r="C128" i="42"/>
  <c r="E134" i="42"/>
  <c r="C153" i="42"/>
  <c r="D153" i="42"/>
  <c r="D134" i="42"/>
  <c r="D128" i="42"/>
  <c r="D114" i="42"/>
  <c r="F100" i="42"/>
  <c r="F153" i="42"/>
  <c r="F134" i="42"/>
  <c r="F128" i="42"/>
  <c r="F114" i="42"/>
  <c r="H153" i="42"/>
  <c r="H134" i="42"/>
  <c r="H128" i="42"/>
  <c r="H114" i="42"/>
  <c r="I16" i="42"/>
  <c r="J16" i="42" s="1"/>
  <c r="J37" i="42"/>
  <c r="K35" i="42" s="1"/>
  <c r="K36" i="42" s="1"/>
  <c r="D41" i="42"/>
  <c r="G59" i="42"/>
  <c r="H57" i="42" s="1"/>
  <c r="H58" i="42" s="1"/>
  <c r="E94" i="42"/>
  <c r="D86" i="42"/>
  <c r="C86" i="42" s="1"/>
  <c r="D91" i="42"/>
  <c r="B141" i="42"/>
  <c r="E101" i="42"/>
  <c r="D107" i="42"/>
  <c r="E104" i="42" s="1"/>
  <c r="E114" i="42"/>
  <c r="G128" i="42"/>
  <c r="B136" i="42"/>
  <c r="G153" i="42"/>
  <c r="J81" i="42"/>
  <c r="K79" i="42" s="1"/>
  <c r="K80" i="42" s="1"/>
  <c r="F105" i="42"/>
  <c r="F107" i="42" s="1"/>
  <c r="G104" i="42" s="1"/>
  <c r="J138" i="42"/>
  <c r="H143" i="42" s="1"/>
  <c r="H148" i="42" s="1"/>
  <c r="C140" i="42"/>
  <c r="E140" i="42"/>
  <c r="G140" i="42"/>
  <c r="D141" i="42"/>
  <c r="F141" i="42"/>
  <c r="C142" i="42"/>
  <c r="E142" i="42"/>
  <c r="G142" i="42"/>
  <c r="C32" i="46" l="1"/>
  <c r="J58" i="46" s="1"/>
  <c r="J59" i="46" s="1"/>
  <c r="N71" i="49"/>
  <c r="N72" i="49" s="1"/>
  <c r="N74" i="49" s="1"/>
  <c r="I22" i="47"/>
  <c r="I23" i="47" s="1"/>
  <c r="C27" i="47"/>
  <c r="C28" i="47" s="1"/>
  <c r="C32" i="49"/>
  <c r="H53" i="49" s="1"/>
  <c r="H54" i="49" s="1"/>
  <c r="C27" i="50"/>
  <c r="C28" i="50" s="1"/>
  <c r="C23" i="47"/>
  <c r="C24" i="47" s="1"/>
  <c r="C22" i="50"/>
  <c r="C23" i="50" s="1"/>
  <c r="K58" i="46"/>
  <c r="K59" i="46" s="1"/>
  <c r="Q58" i="49"/>
  <c r="Q59" i="49" s="1"/>
  <c r="M58" i="46"/>
  <c r="M59" i="46" s="1"/>
  <c r="P58" i="46"/>
  <c r="P59" i="46" s="1"/>
  <c r="Q58" i="46"/>
  <c r="Q59" i="46" s="1"/>
  <c r="D53" i="46"/>
  <c r="D54" i="46" s="1"/>
  <c r="N58" i="46"/>
  <c r="N59" i="46" s="1"/>
  <c r="C82" i="49"/>
  <c r="C83" i="49" s="1"/>
  <c r="C85" i="49" s="1"/>
  <c r="G53" i="46"/>
  <c r="G54" i="46" s="1"/>
  <c r="O53" i="46"/>
  <c r="O54" i="46" s="1"/>
  <c r="L53" i="46"/>
  <c r="L54" i="46" s="1"/>
  <c r="P53" i="46"/>
  <c r="P54" i="46" s="1"/>
  <c r="M53" i="46"/>
  <c r="M54" i="46" s="1"/>
  <c r="K53" i="46"/>
  <c r="K54" i="46" s="1"/>
  <c r="T58" i="46"/>
  <c r="T59" i="46" s="1"/>
  <c r="J53" i="46"/>
  <c r="J54" i="46" s="1"/>
  <c r="R53" i="46"/>
  <c r="R54" i="46" s="1"/>
  <c r="I53" i="46"/>
  <c r="I54" i="46" s="1"/>
  <c r="H53" i="46"/>
  <c r="H54" i="46" s="1"/>
  <c r="F53" i="46"/>
  <c r="F54" i="46" s="1"/>
  <c r="C49" i="46"/>
  <c r="C51" i="46" s="1"/>
  <c r="C96" i="46" s="1"/>
  <c r="O71" i="46"/>
  <c r="N72" i="46"/>
  <c r="N74" i="46" s="1"/>
  <c r="G143" i="42"/>
  <c r="G148" i="42" s="1"/>
  <c r="I143" i="42"/>
  <c r="I148" i="42" s="1"/>
  <c r="J141" i="42"/>
  <c r="C143" i="42"/>
  <c r="C148" i="42" s="1"/>
  <c r="J140" i="42"/>
  <c r="E105" i="42"/>
  <c r="E107" i="42" s="1"/>
  <c r="D72" i="42"/>
  <c r="E72" i="42" s="1"/>
  <c r="D64" i="42"/>
  <c r="D51" i="42"/>
  <c r="E51" i="42" s="1"/>
  <c r="D43" i="42"/>
  <c r="C43" i="42" s="1"/>
  <c r="J142" i="42"/>
  <c r="E143" i="42"/>
  <c r="E148" i="42" s="1"/>
  <c r="F143" i="42"/>
  <c r="F148" i="42" s="1"/>
  <c r="G105" i="42"/>
  <c r="G107" i="42" s="1"/>
  <c r="H104" i="42" s="1"/>
  <c r="D143" i="42"/>
  <c r="D148" i="42" s="1"/>
  <c r="B137" i="42"/>
  <c r="B142" i="42"/>
  <c r="J33" i="42"/>
  <c r="D95" i="42"/>
  <c r="E95" i="42" s="1"/>
  <c r="D87" i="42"/>
  <c r="J86" i="42"/>
  <c r="G86" i="42"/>
  <c r="D73" i="42"/>
  <c r="E73" i="42" s="1"/>
  <c r="D65" i="42"/>
  <c r="C65" i="42" s="1"/>
  <c r="D50" i="42"/>
  <c r="E50" i="42" s="1"/>
  <c r="D42" i="42"/>
  <c r="N53" i="46" l="1"/>
  <c r="N54" i="46" s="1"/>
  <c r="Q53" i="46"/>
  <c r="Q54" i="46" s="1"/>
  <c r="S58" i="46"/>
  <c r="S59" i="46" s="1"/>
  <c r="P53" i="49"/>
  <c r="P54" i="49" s="1"/>
  <c r="E53" i="46"/>
  <c r="E54" i="46" s="1"/>
  <c r="K58" i="49"/>
  <c r="K59" i="49" s="1"/>
  <c r="J58" i="49"/>
  <c r="J59" i="49" s="1"/>
  <c r="O71" i="49"/>
  <c r="O72" i="49" s="1"/>
  <c r="O74" i="49" s="1"/>
  <c r="F53" i="49"/>
  <c r="F54" i="49" s="1"/>
  <c r="M58" i="49"/>
  <c r="M59" i="49" s="1"/>
  <c r="C49" i="49"/>
  <c r="C51" i="49" s="1"/>
  <c r="C96" i="49" s="1"/>
  <c r="O53" i="49"/>
  <c r="O54" i="49" s="1"/>
  <c r="N58" i="49"/>
  <c r="N59" i="49" s="1"/>
  <c r="M53" i="49"/>
  <c r="M54" i="49" s="1"/>
  <c r="R53" i="49"/>
  <c r="R54" i="49" s="1"/>
  <c r="E53" i="49"/>
  <c r="E54" i="49" s="1"/>
  <c r="N53" i="49"/>
  <c r="N54" i="49" s="1"/>
  <c r="L53" i="49"/>
  <c r="L54" i="49" s="1"/>
  <c r="I53" i="49"/>
  <c r="I54" i="49" s="1"/>
  <c r="S58" i="49"/>
  <c r="S59" i="49" s="1"/>
  <c r="K53" i="49"/>
  <c r="K54" i="49" s="1"/>
  <c r="G53" i="49"/>
  <c r="G54" i="49" s="1"/>
  <c r="P58" i="49"/>
  <c r="P59" i="49" s="1"/>
  <c r="T58" i="49"/>
  <c r="T59" i="49" s="1"/>
  <c r="Q53" i="49"/>
  <c r="Q54" i="49" s="1"/>
  <c r="D53" i="49"/>
  <c r="D54" i="49" s="1"/>
  <c r="J53" i="49"/>
  <c r="J54" i="49" s="1"/>
  <c r="C29" i="50"/>
  <c r="J8" i="50" s="1" a="1"/>
  <c r="J8" i="50" s="1"/>
  <c r="C29" i="47"/>
  <c r="K8" i="47" s="1" a="1"/>
  <c r="K8" i="47" s="1"/>
  <c r="C24" i="50"/>
  <c r="K7" i="50" s="1" a="1"/>
  <c r="K7" i="50" s="1"/>
  <c r="C97" i="46"/>
  <c r="C56" i="46"/>
  <c r="P71" i="46"/>
  <c r="O72" i="46"/>
  <c r="O74" i="46" s="1"/>
  <c r="C42" i="42"/>
  <c r="D44" i="42"/>
  <c r="G65" i="42"/>
  <c r="J65" i="42"/>
  <c r="J90" i="42"/>
  <c r="J94" i="42" s="1"/>
  <c r="K94" i="42" s="1"/>
  <c r="H105" i="42"/>
  <c r="H107" i="42" s="1"/>
  <c r="J43" i="42"/>
  <c r="G43" i="42"/>
  <c r="C64" i="42"/>
  <c r="D66" i="42"/>
  <c r="G90" i="42"/>
  <c r="G94" i="42" s="1"/>
  <c r="H94" i="42" s="1"/>
  <c r="C87" i="42"/>
  <c r="D88" i="42"/>
  <c r="K33" i="42"/>
  <c r="J77" i="42"/>
  <c r="K77" i="42" s="1"/>
  <c r="J55" i="42"/>
  <c r="K55" i="42" s="1"/>
  <c r="J143" i="42"/>
  <c r="J148" i="42" s="1"/>
  <c r="C41" i="4"/>
  <c r="D36" i="4"/>
  <c r="D37" i="4" s="1"/>
  <c r="P71" i="49" l="1"/>
  <c r="V8" i="50" a="1"/>
  <c r="V8" i="50" s="1"/>
  <c r="U8" i="50" a="1"/>
  <c r="U8" i="50" s="1"/>
  <c r="M8" i="50" a="1"/>
  <c r="M8" i="50" s="1"/>
  <c r="R8" i="50" a="1"/>
  <c r="R8" i="50" s="1"/>
  <c r="P8" i="50" a="1"/>
  <c r="P8" i="50" s="1"/>
  <c r="O8" i="50" a="1"/>
  <c r="O8" i="50" s="1"/>
  <c r="K8" i="50" a="1"/>
  <c r="K8" i="50" s="1"/>
  <c r="Q8" i="50" a="1"/>
  <c r="Q8" i="50" s="1"/>
  <c r="T8" i="50" a="1"/>
  <c r="T8" i="50" s="1"/>
  <c r="M8" i="47" a="1"/>
  <c r="M8" i="47" s="1"/>
  <c r="Z8" i="50" a="1"/>
  <c r="Z8" i="50" s="1"/>
  <c r="AM8" i="50" a="1"/>
  <c r="AM8" i="50" s="1"/>
  <c r="Y8" i="47" a="1"/>
  <c r="Y8" i="47" s="1"/>
  <c r="N8" i="50" a="1"/>
  <c r="N8" i="50" s="1"/>
  <c r="AF8" i="50" a="1"/>
  <c r="AF8" i="50" s="1"/>
  <c r="AI8" i="50" a="1"/>
  <c r="AI8" i="50" s="1"/>
  <c r="AK8" i="50" a="1"/>
  <c r="AK8" i="50" s="1"/>
  <c r="L8" i="50" a="1"/>
  <c r="L8" i="50" s="1"/>
  <c r="AE8" i="50" a="1"/>
  <c r="AE8" i="50" s="1"/>
  <c r="AL8" i="50" a="1"/>
  <c r="AL8" i="50" s="1"/>
  <c r="AG8" i="50" a="1"/>
  <c r="AG8" i="50" s="1"/>
  <c r="AJ8" i="50" a="1"/>
  <c r="AJ8" i="50" s="1"/>
  <c r="AA8" i="50" a="1"/>
  <c r="AA8" i="50" s="1"/>
  <c r="AH8" i="50" a="1"/>
  <c r="AH8" i="50" s="1"/>
  <c r="AC8" i="50" a="1"/>
  <c r="AC8" i="50" s="1"/>
  <c r="AB8" i="50" a="1"/>
  <c r="AB8" i="50" s="1"/>
  <c r="W8" i="50" a="1"/>
  <c r="W8" i="50" s="1"/>
  <c r="AD8" i="50" a="1"/>
  <c r="AD8" i="50" s="1"/>
  <c r="Y8" i="50" a="1"/>
  <c r="Y8" i="50" s="1"/>
  <c r="X8" i="50" a="1"/>
  <c r="X8" i="50" s="1"/>
  <c r="S8" i="50" a="1"/>
  <c r="S8" i="50" s="1"/>
  <c r="L8" i="47" a="1"/>
  <c r="L8" i="47" s="1"/>
  <c r="AJ8" i="47" a="1"/>
  <c r="AJ8" i="47" s="1"/>
  <c r="R8" i="47" a="1"/>
  <c r="R8" i="47" s="1"/>
  <c r="AB8" i="47" a="1"/>
  <c r="AB8" i="47" s="1"/>
  <c r="N8" i="47" a="1"/>
  <c r="N8" i="47" s="1"/>
  <c r="X8" i="47" a="1"/>
  <c r="X8" i="47" s="1"/>
  <c r="AK8" i="47" a="1"/>
  <c r="AK8" i="47" s="1"/>
  <c r="AM8" i="47" a="1"/>
  <c r="AM8" i="47" s="1"/>
  <c r="AH8" i="47" a="1"/>
  <c r="AH8" i="47" s="1"/>
  <c r="AD8" i="47" a="1"/>
  <c r="AD8" i="47" s="1"/>
  <c r="AC8" i="47" a="1"/>
  <c r="AC8" i="47" s="1"/>
  <c r="AI8" i="47" a="1"/>
  <c r="AI8" i="47" s="1"/>
  <c r="AE8" i="47" a="1"/>
  <c r="AE8" i="47" s="1"/>
  <c r="AL8" i="47" a="1"/>
  <c r="AL8" i="47" s="1"/>
  <c r="AG8" i="47" a="1"/>
  <c r="AG8" i="47" s="1"/>
  <c r="AF8" i="47" a="1"/>
  <c r="AF8" i="47" s="1"/>
  <c r="AA8" i="47" a="1"/>
  <c r="AA8" i="47" s="1"/>
  <c r="W8" i="47" a="1"/>
  <c r="W8" i="47" s="1"/>
  <c r="S8" i="47" a="1"/>
  <c r="S8" i="47" s="1"/>
  <c r="Z8" i="47" a="1"/>
  <c r="Z8" i="47" s="1"/>
  <c r="U8" i="47" a="1"/>
  <c r="U8" i="47" s="1"/>
  <c r="T8" i="47" a="1"/>
  <c r="T8" i="47" s="1"/>
  <c r="O8" i="47" a="1"/>
  <c r="O8" i="47" s="1"/>
  <c r="V8" i="47" a="1"/>
  <c r="V8" i="47" s="1"/>
  <c r="Q8" i="47" a="1"/>
  <c r="Q8" i="47" s="1"/>
  <c r="P8" i="47" a="1"/>
  <c r="P8" i="47" s="1"/>
  <c r="J8" i="47" a="1"/>
  <c r="J8" i="47" s="1"/>
  <c r="C97" i="49"/>
  <c r="C56" i="49"/>
  <c r="S7" i="50" a="1"/>
  <c r="S7" i="50" s="1"/>
  <c r="V7" i="50" a="1"/>
  <c r="V7" i="50" s="1"/>
  <c r="R7" i="50" a="1"/>
  <c r="R7" i="50" s="1"/>
  <c r="W7" i="50" a="1"/>
  <c r="W7" i="50" s="1"/>
  <c r="T7" i="50" a="1"/>
  <c r="T7" i="50" s="1"/>
  <c r="P7" i="50" a="1"/>
  <c r="P7" i="50" s="1"/>
  <c r="L7" i="50" a="1"/>
  <c r="L7" i="50" s="1"/>
  <c r="X7" i="50" a="1"/>
  <c r="X7" i="50" s="1"/>
  <c r="Q7" i="50" a="1"/>
  <c r="Q7" i="50" s="1"/>
  <c r="M7" i="50" a="1"/>
  <c r="M7" i="50" s="1"/>
  <c r="U7" i="50" a="1"/>
  <c r="U7" i="50" s="1"/>
  <c r="N7" i="50" a="1"/>
  <c r="N7" i="50" s="1"/>
  <c r="J7" i="50" a="1"/>
  <c r="J7" i="50" s="1"/>
  <c r="O7" i="50" a="1"/>
  <c r="O7" i="50" s="1"/>
  <c r="M7" i="47" a="1"/>
  <c r="M7" i="47" s="1"/>
  <c r="J7" i="47" a="1"/>
  <c r="J7" i="47" s="1"/>
  <c r="K7" i="47" a="1"/>
  <c r="K7" i="47" s="1"/>
  <c r="L7" i="47" a="1"/>
  <c r="L7" i="47" s="1"/>
  <c r="Q7" i="47" a="1"/>
  <c r="Q7" i="47" s="1"/>
  <c r="R7" i="47" a="1"/>
  <c r="R7" i="47" s="1"/>
  <c r="S7" i="47" a="1"/>
  <c r="S7" i="47" s="1"/>
  <c r="P7" i="47" a="1"/>
  <c r="P7" i="47" s="1"/>
  <c r="U7" i="47" a="1"/>
  <c r="U7" i="47" s="1"/>
  <c r="V7" i="47" a="1"/>
  <c r="V7" i="47" s="1"/>
  <c r="W7" i="47" a="1"/>
  <c r="W7" i="47" s="1"/>
  <c r="T7" i="47" a="1"/>
  <c r="T7" i="47" s="1"/>
  <c r="O7" i="47" a="1"/>
  <c r="O7" i="47" s="1"/>
  <c r="X7" i="47" a="1"/>
  <c r="X7" i="47" s="1"/>
  <c r="N7" i="47" a="1"/>
  <c r="N7" i="47" s="1"/>
  <c r="C63" i="46"/>
  <c r="C86" i="46" s="1"/>
  <c r="C87" i="46" s="1"/>
  <c r="P72" i="49"/>
  <c r="P74" i="49" s="1"/>
  <c r="Q71" i="49"/>
  <c r="P72" i="46"/>
  <c r="P74" i="46" s="1"/>
  <c r="Q71" i="46"/>
  <c r="G64" i="42"/>
  <c r="J64" i="42"/>
  <c r="J47" i="42"/>
  <c r="J51" i="42" s="1"/>
  <c r="K51" i="42" s="1"/>
  <c r="J69" i="42"/>
  <c r="J73" i="42" s="1"/>
  <c r="K73" i="42" s="1"/>
  <c r="E62" i="42"/>
  <c r="E84" i="42"/>
  <c r="E40" i="42"/>
  <c r="E85" i="42"/>
  <c r="E41" i="42"/>
  <c r="E43" i="42" s="1"/>
  <c r="E63" i="42"/>
  <c r="J87" i="42"/>
  <c r="G87" i="42"/>
  <c r="G47" i="42"/>
  <c r="G51" i="42" s="1"/>
  <c r="H51" i="42" s="1"/>
  <c r="G69" i="42"/>
  <c r="G73" i="42" s="1"/>
  <c r="H73" i="42" s="1"/>
  <c r="J42" i="42"/>
  <c r="G42" i="42"/>
  <c r="C91" i="46" l="1"/>
  <c r="C63" i="49"/>
  <c r="C86" i="49" s="1"/>
  <c r="C87" i="49" s="1"/>
  <c r="C91" i="49" s="1"/>
  <c r="Y7" i="50" a="1"/>
  <c r="Y7" i="50" s="1"/>
  <c r="Z7" i="50" s="1" a="1"/>
  <c r="Z7" i="50" s="1"/>
  <c r="Y7" i="47" a="1"/>
  <c r="Y7" i="47" s="1"/>
  <c r="Q72" i="49"/>
  <c r="Q74" i="49" s="1"/>
  <c r="R71" i="49"/>
  <c r="Q72" i="46"/>
  <c r="Q74" i="46" s="1"/>
  <c r="R71" i="46"/>
  <c r="G44" i="42"/>
  <c r="H87" i="42" s="1"/>
  <c r="G46" i="42"/>
  <c r="G50" i="42" s="1"/>
  <c r="H50" i="42" s="1"/>
  <c r="G91" i="42"/>
  <c r="G95" i="42" s="1"/>
  <c r="H95" i="42" s="1"/>
  <c r="G88" i="42"/>
  <c r="E88" i="42"/>
  <c r="J66" i="42"/>
  <c r="J68" i="42"/>
  <c r="J72" i="42" s="1"/>
  <c r="K72" i="42" s="1"/>
  <c r="D116" i="42" s="1"/>
  <c r="J44" i="42"/>
  <c r="K87" i="42" s="1"/>
  <c r="J46" i="42"/>
  <c r="J50" i="42" s="1"/>
  <c r="K50" i="42" s="1"/>
  <c r="C116" i="42" s="1"/>
  <c r="J91" i="42"/>
  <c r="J95" i="42" s="1"/>
  <c r="K95" i="42" s="1"/>
  <c r="J88" i="42"/>
  <c r="E42" i="42"/>
  <c r="E44" i="42" s="1"/>
  <c r="E66" i="42"/>
  <c r="H64" i="42"/>
  <c r="G66" i="42"/>
  <c r="G68" i="42"/>
  <c r="G72" i="42" s="1"/>
  <c r="H72" i="42" s="1"/>
  <c r="C15" i="37"/>
  <c r="C22" i="37" s="1"/>
  <c r="A3" i="37"/>
  <c r="C20" i="37"/>
  <c r="C19" i="37"/>
  <c r="C21" i="37" s="1"/>
  <c r="A3" i="4"/>
  <c r="B63" i="11"/>
  <c r="B62" i="4"/>
  <c r="B67" i="6"/>
  <c r="B158" i="11"/>
  <c r="B156" i="4"/>
  <c r="B159" i="11"/>
  <c r="B157" i="4"/>
  <c r="B110" i="11"/>
  <c r="B109" i="4"/>
  <c r="B139" i="11"/>
  <c r="B148" i="4"/>
  <c r="B105" i="6"/>
  <c r="B90" i="6"/>
  <c r="B21" i="6"/>
  <c r="A14" i="6"/>
  <c r="A8" i="6"/>
  <c r="A2" i="4"/>
  <c r="B28" i="4"/>
  <c r="B75" i="4" s="1"/>
  <c r="B27" i="4"/>
  <c r="B53" i="4" s="1"/>
  <c r="B26" i="4"/>
  <c r="B31" i="4" s="1"/>
  <c r="H13" i="4"/>
  <c r="H134" i="4" s="1"/>
  <c r="G13" i="4"/>
  <c r="G114" i="4" s="1"/>
  <c r="F13" i="4"/>
  <c r="F114" i="4" s="1"/>
  <c r="E13" i="4"/>
  <c r="E153" i="4" s="1"/>
  <c r="D13" i="4"/>
  <c r="D134" i="4" s="1"/>
  <c r="C13" i="4"/>
  <c r="C100" i="4" s="1"/>
  <c r="D6" i="4"/>
  <c r="D6" i="6" s="1"/>
  <c r="A2" i="12"/>
  <c r="A3" i="6"/>
  <c r="A3" i="13"/>
  <c r="A2" i="13"/>
  <c r="B2" i="14"/>
  <c r="A2" i="6"/>
  <c r="B41" i="6"/>
  <c r="I153" i="4"/>
  <c r="J153" i="4"/>
  <c r="B122" i="4"/>
  <c r="J121" i="4"/>
  <c r="J118" i="4"/>
  <c r="J119" i="4"/>
  <c r="J120" i="4"/>
  <c r="B115" i="4"/>
  <c r="I76" i="4"/>
  <c r="F76" i="4"/>
  <c r="I54" i="4"/>
  <c r="F54" i="4"/>
  <c r="J23" i="4"/>
  <c r="G23" i="4"/>
  <c r="I32" i="4"/>
  <c r="F32" i="4"/>
  <c r="D115" i="4"/>
  <c r="E115" i="4"/>
  <c r="F115" i="4"/>
  <c r="G115" i="4"/>
  <c r="H115" i="4"/>
  <c r="D84" i="4"/>
  <c r="J80" i="4"/>
  <c r="J81" i="4" s="1"/>
  <c r="K79" i="4" s="1"/>
  <c r="K80" i="4" s="1"/>
  <c r="G80" i="4"/>
  <c r="G81" i="4" s="1"/>
  <c r="H79" i="4" s="1"/>
  <c r="H80" i="4" s="1"/>
  <c r="D80" i="4"/>
  <c r="D81" i="4" s="1"/>
  <c r="E79" i="4" s="1"/>
  <c r="I85" i="4"/>
  <c r="J85" i="4" s="1"/>
  <c r="F85" i="4"/>
  <c r="G85" i="4" s="1"/>
  <c r="C85" i="4"/>
  <c r="J84" i="4"/>
  <c r="G84" i="4"/>
  <c r="H77" i="4"/>
  <c r="E77" i="4"/>
  <c r="D62" i="4"/>
  <c r="D63" i="4" s="1"/>
  <c r="I63" i="4"/>
  <c r="J63" i="4" s="1"/>
  <c r="F63" i="4"/>
  <c r="G63" i="4" s="1"/>
  <c r="C63" i="4"/>
  <c r="J62" i="4"/>
  <c r="G62" i="4"/>
  <c r="E55" i="4"/>
  <c r="J29" i="4"/>
  <c r="G58" i="4"/>
  <c r="G59" i="4" s="1"/>
  <c r="H57" i="4" s="1"/>
  <c r="H58" i="4" s="1"/>
  <c r="G36" i="4"/>
  <c r="G37" i="4" s="1"/>
  <c r="H35" i="4" s="1"/>
  <c r="H36" i="4" s="1"/>
  <c r="J58" i="4"/>
  <c r="J59" i="4" s="1"/>
  <c r="K57" i="4" s="1"/>
  <c r="K58" i="4" s="1"/>
  <c r="J36" i="4"/>
  <c r="J37" i="4" s="1"/>
  <c r="K35" i="4" s="1"/>
  <c r="K36" i="4" s="1"/>
  <c r="D58" i="4"/>
  <c r="D29" i="4"/>
  <c r="G29" i="4"/>
  <c r="C105" i="4"/>
  <c r="C107" i="4" s="1"/>
  <c r="D104" i="4" s="1"/>
  <c r="I115" i="4"/>
  <c r="I123" i="4" s="1"/>
  <c r="C16" i="4"/>
  <c r="E91" i="6"/>
  <c r="E93" i="6"/>
  <c r="E94" i="6"/>
  <c r="E95" i="6"/>
  <c r="E96" i="6"/>
  <c r="E97" i="6"/>
  <c r="E98" i="6"/>
  <c r="E99" i="6"/>
  <c r="E100" i="6"/>
  <c r="E101" i="6"/>
  <c r="E102" i="6"/>
  <c r="E103" i="6"/>
  <c r="E104" i="6"/>
  <c r="E90" i="6"/>
  <c r="B11" i="4"/>
  <c r="H102" i="4"/>
  <c r="K102" i="4" s="1"/>
  <c r="G102" i="4"/>
  <c r="J102" i="4" s="1"/>
  <c r="F102" i="4"/>
  <c r="F105" i="4" s="1"/>
  <c r="I101" i="4"/>
  <c r="J101" i="4" s="1"/>
  <c r="K101" i="4" s="1"/>
  <c r="F101" i="4"/>
  <c r="G101" i="4" s="1"/>
  <c r="H101" i="4" s="1"/>
  <c r="D105" i="6"/>
  <c r="C105" i="6"/>
  <c r="D83" i="6"/>
  <c r="D77" i="6"/>
  <c r="D46" i="6"/>
  <c r="D67" i="6" s="1"/>
  <c r="D68" i="6" s="1"/>
  <c r="D20" i="6"/>
  <c r="D21" i="6" s="1"/>
  <c r="D12" i="6"/>
  <c r="D25" i="6" s="1"/>
  <c r="D41" i="6" s="1"/>
  <c r="D42" i="6" s="1"/>
  <c r="I15" i="4"/>
  <c r="J15" i="4" s="1"/>
  <c r="B140" i="4"/>
  <c r="B135" i="4"/>
  <c r="D101" i="4"/>
  <c r="D15" i="37" s="1"/>
  <c r="D22" i="37" s="1"/>
  <c r="I41" i="4"/>
  <c r="J41" i="4" s="1"/>
  <c r="F41" i="4"/>
  <c r="G41" i="4" s="1"/>
  <c r="J40" i="4"/>
  <c r="G40" i="4"/>
  <c r="E33" i="4"/>
  <c r="H33" i="4"/>
  <c r="B129" i="4"/>
  <c r="B107" i="4"/>
  <c r="B104" i="4"/>
  <c r="D138" i="4"/>
  <c r="E138" i="4"/>
  <c r="F138" i="4"/>
  <c r="G138" i="4"/>
  <c r="H138" i="4"/>
  <c r="I138" i="4"/>
  <c r="C138" i="4"/>
  <c r="J136" i="4"/>
  <c r="J137" i="4"/>
  <c r="D16" i="4"/>
  <c r="E16" i="4"/>
  <c r="F16" i="4"/>
  <c r="G16" i="4"/>
  <c r="H16" i="4"/>
  <c r="H153" i="4" l="1"/>
  <c r="D114" i="4"/>
  <c r="D128" i="4"/>
  <c r="F100" i="4"/>
  <c r="H114" i="4"/>
  <c r="H128" i="4"/>
  <c r="E114" i="4"/>
  <c r="D153" i="4"/>
  <c r="C23" i="37"/>
  <c r="H123" i="4"/>
  <c r="H154" i="4" s="1"/>
  <c r="G123" i="4"/>
  <c r="G154" i="4" s="1"/>
  <c r="G134" i="4"/>
  <c r="F123" i="4"/>
  <c r="F154" i="4" s="1"/>
  <c r="K42" i="42"/>
  <c r="AA7" i="50" a="1"/>
  <c r="AA7" i="50" s="1"/>
  <c r="AB7" i="50" s="1" a="1"/>
  <c r="AB7" i="50" s="1"/>
  <c r="Z7" i="47" a="1"/>
  <c r="Z7" i="47" s="1"/>
  <c r="AA7" i="47" s="1" a="1"/>
  <c r="AA7" i="47" s="1"/>
  <c r="E128" i="4"/>
  <c r="I100" i="4"/>
  <c r="F153" i="4"/>
  <c r="F134" i="4"/>
  <c r="F128" i="4"/>
  <c r="E134" i="4"/>
  <c r="R72" i="49"/>
  <c r="R74" i="49" s="1"/>
  <c r="S71" i="49"/>
  <c r="R72" i="46"/>
  <c r="S71" i="46"/>
  <c r="H155" i="42"/>
  <c r="H157" i="42" s="1"/>
  <c r="I155" i="42"/>
  <c r="I157" i="42" s="1"/>
  <c r="D155" i="42"/>
  <c r="D157" i="42" s="1"/>
  <c r="C155" i="42"/>
  <c r="C157" i="42" s="1"/>
  <c r="F155" i="42"/>
  <c r="F157" i="42" s="1"/>
  <c r="E155" i="42"/>
  <c r="E157" i="42" s="1"/>
  <c r="G155" i="42"/>
  <c r="G157" i="42" s="1"/>
  <c r="C114" i="4"/>
  <c r="J115" i="4" s="1"/>
  <c r="E105" i="6"/>
  <c r="C134" i="4"/>
  <c r="J135" i="4" s="1"/>
  <c r="E140" i="4" s="1"/>
  <c r="C153" i="4"/>
  <c r="G153" i="4"/>
  <c r="B136" i="4"/>
  <c r="G128" i="4"/>
  <c r="C128" i="4"/>
  <c r="J129" i="4" s="1"/>
  <c r="C24" i="37"/>
  <c r="D91" i="4"/>
  <c r="D95" i="4" s="1"/>
  <c r="E95" i="4" s="1"/>
  <c r="H40" i="42"/>
  <c r="H62" i="42"/>
  <c r="H84" i="42"/>
  <c r="H63" i="42"/>
  <c r="H85" i="42"/>
  <c r="H41" i="42"/>
  <c r="H86" i="42"/>
  <c r="H43" i="42"/>
  <c r="H65" i="42"/>
  <c r="K85" i="42"/>
  <c r="K63" i="42"/>
  <c r="K41" i="42"/>
  <c r="K62" i="42"/>
  <c r="K84" i="42"/>
  <c r="K40" i="42"/>
  <c r="K86" i="42"/>
  <c r="K43" i="42"/>
  <c r="K65" i="42"/>
  <c r="K64" i="42"/>
  <c r="H42" i="42"/>
  <c r="D111" i="6"/>
  <c r="E101" i="4"/>
  <c r="B137" i="4" s="1"/>
  <c r="D90" i="4"/>
  <c r="D86" i="4" s="1"/>
  <c r="C86" i="4" s="1"/>
  <c r="G86" i="4" s="1"/>
  <c r="G90" i="4" s="1"/>
  <c r="G94" i="4" s="1"/>
  <c r="H94" i="4" s="1"/>
  <c r="I16" i="4"/>
  <c r="J16" i="4" s="1"/>
  <c r="I141" i="4"/>
  <c r="H141" i="4"/>
  <c r="G141" i="4"/>
  <c r="F141" i="4"/>
  <c r="E141" i="4"/>
  <c r="D141" i="4"/>
  <c r="C141" i="4"/>
  <c r="I142" i="4"/>
  <c r="H142" i="4"/>
  <c r="G142" i="4"/>
  <c r="F142" i="4"/>
  <c r="E142" i="4"/>
  <c r="C142" i="4"/>
  <c r="D142" i="4"/>
  <c r="D85" i="4"/>
  <c r="D59" i="4"/>
  <c r="E57" i="4" s="1"/>
  <c r="E80" i="4"/>
  <c r="K28" i="4"/>
  <c r="K29" i="4" s="1"/>
  <c r="K27" i="4"/>
  <c r="K26" i="4"/>
  <c r="H28" i="4"/>
  <c r="H29" i="4" s="1"/>
  <c r="H27" i="4"/>
  <c r="H26" i="4"/>
  <c r="E26" i="4"/>
  <c r="E28" i="4"/>
  <c r="E29" i="4" s="1"/>
  <c r="E27" i="4"/>
  <c r="I102" i="4"/>
  <c r="I105" i="4" s="1"/>
  <c r="I107" i="4" s="1"/>
  <c r="J104" i="4" s="1"/>
  <c r="J105" i="4" s="1"/>
  <c r="D79" i="6"/>
  <c r="F107" i="4"/>
  <c r="G104" i="4" s="1"/>
  <c r="G105" i="4" s="1"/>
  <c r="D105" i="4"/>
  <c r="D107" i="4" s="1"/>
  <c r="E104" i="4" s="1"/>
  <c r="B141" i="4"/>
  <c r="D84" i="6"/>
  <c r="D68" i="4" l="1"/>
  <c r="C140" i="4"/>
  <c r="AC7" i="50" a="1"/>
  <c r="AC7" i="50" s="1"/>
  <c r="AD7" i="50" s="1" a="1"/>
  <c r="AD7" i="50" s="1"/>
  <c r="AB7" i="47" a="1"/>
  <c r="AB7" i="47" s="1"/>
  <c r="J33" i="4"/>
  <c r="J55" i="4" s="1"/>
  <c r="K55" i="4" s="1"/>
  <c r="D109" i="6"/>
  <c r="D69" i="4"/>
  <c r="G140" i="4"/>
  <c r="F140" i="4"/>
  <c r="I140" i="4"/>
  <c r="J142" i="4"/>
  <c r="D140" i="4"/>
  <c r="H140" i="4"/>
  <c r="J140" i="4" s="1"/>
  <c r="J138" i="4"/>
  <c r="C143" i="4" s="1"/>
  <c r="D87" i="4"/>
  <c r="C87" i="4" s="1"/>
  <c r="G87" i="4" s="1"/>
  <c r="G91" i="4" s="1"/>
  <c r="G95" i="4" s="1"/>
  <c r="H95" i="4" s="1"/>
  <c r="S72" i="49"/>
  <c r="T71" i="49"/>
  <c r="S72" i="46"/>
  <c r="S74" i="46" s="1"/>
  <c r="T71" i="46"/>
  <c r="R74" i="46"/>
  <c r="K109" i="42"/>
  <c r="E109" i="42"/>
  <c r="C122" i="42" s="1"/>
  <c r="C123" i="42" s="1"/>
  <c r="H109" i="42"/>
  <c r="J86" i="4"/>
  <c r="D94" i="4"/>
  <c r="E94" i="4" s="1"/>
  <c r="J141" i="4"/>
  <c r="J157" i="42"/>
  <c r="J155" i="42"/>
  <c r="E58" i="4"/>
  <c r="K90" i="42"/>
  <c r="K91" i="42" s="1"/>
  <c r="K88" i="42"/>
  <c r="H68" i="42"/>
  <c r="H69" i="42" s="1"/>
  <c r="H66" i="42"/>
  <c r="K46" i="42"/>
  <c r="K47" i="42" s="1"/>
  <c r="K44" i="42"/>
  <c r="K68" i="42"/>
  <c r="K69" i="42" s="1"/>
  <c r="K66" i="42"/>
  <c r="H90" i="42"/>
  <c r="H91" i="42" s="1"/>
  <c r="H88" i="42"/>
  <c r="H46" i="42"/>
  <c r="H47" i="42" s="1"/>
  <c r="H44" i="42"/>
  <c r="B142" i="4"/>
  <c r="E15" i="37"/>
  <c r="E22" i="37" s="1"/>
  <c r="H143" i="4"/>
  <c r="H148" i="4" s="1"/>
  <c r="H155" i="4" s="1"/>
  <c r="H157" i="4" s="1"/>
  <c r="G88" i="4"/>
  <c r="E35" i="4"/>
  <c r="G156" i="4"/>
  <c r="F156" i="4"/>
  <c r="H156" i="4"/>
  <c r="J107" i="4"/>
  <c r="K104" i="4" s="1"/>
  <c r="E105" i="4"/>
  <c r="G107" i="4"/>
  <c r="H104" i="4" s="1"/>
  <c r="H105" i="4" s="1"/>
  <c r="D65" i="4"/>
  <c r="C65" i="4" s="1"/>
  <c r="D73" i="4"/>
  <c r="E73" i="4" s="1"/>
  <c r="D72" i="4"/>
  <c r="E72" i="4" s="1"/>
  <c r="D64" i="4"/>
  <c r="C64" i="4" s="1"/>
  <c r="J87" i="4" l="1"/>
  <c r="J91" i="4" s="1"/>
  <c r="J95" i="4" s="1"/>
  <c r="K95" i="4" s="1"/>
  <c r="J77" i="4"/>
  <c r="K77" i="4" s="1"/>
  <c r="D88" i="4"/>
  <c r="I143" i="4"/>
  <c r="I148" i="4" s="1"/>
  <c r="I155" i="4" s="1"/>
  <c r="I157" i="4" s="1"/>
  <c r="K33" i="4"/>
  <c r="AE7" i="50" a="1"/>
  <c r="AE7" i="50" s="1"/>
  <c r="AF7" i="50" s="1" a="1"/>
  <c r="AF7" i="50" s="1"/>
  <c r="AG7" i="50" s="1" a="1"/>
  <c r="AG7" i="50" s="1"/>
  <c r="AH7" i="50" s="1" a="1"/>
  <c r="AH7" i="50" s="1"/>
  <c r="AI7" i="50" s="1" a="1"/>
  <c r="AI7" i="50" s="1"/>
  <c r="AJ7" i="50" s="1" a="1"/>
  <c r="AJ7" i="50" s="1"/>
  <c r="AK7" i="50" s="1" a="1"/>
  <c r="AK7" i="50" s="1"/>
  <c r="AL7" i="50" s="1" a="1"/>
  <c r="AL7" i="50" s="1"/>
  <c r="AM7" i="50" s="1" a="1"/>
  <c r="AM7" i="50" s="1"/>
  <c r="AC7" i="47" a="1"/>
  <c r="AC7" i="47" s="1"/>
  <c r="AD7" i="47" s="1" a="1"/>
  <c r="AD7" i="47" s="1"/>
  <c r="D122" i="42"/>
  <c r="D123" i="42" s="1"/>
  <c r="D154" i="42" s="1"/>
  <c r="D156" i="42" s="1"/>
  <c r="E122" i="42"/>
  <c r="E123" i="42" s="1"/>
  <c r="E154" i="42" s="1"/>
  <c r="E156" i="42" s="1"/>
  <c r="J88" i="4"/>
  <c r="E143" i="4"/>
  <c r="E148" i="4" s="1"/>
  <c r="E155" i="4" s="1"/>
  <c r="E157" i="4" s="1"/>
  <c r="F143" i="4"/>
  <c r="F148" i="4" s="1"/>
  <c r="F155" i="4" s="1"/>
  <c r="F157" i="4" s="1"/>
  <c r="D143" i="4"/>
  <c r="D155" i="4" s="1"/>
  <c r="D157" i="4" s="1"/>
  <c r="G143" i="4"/>
  <c r="G148" i="4" s="1"/>
  <c r="G155" i="4" s="1"/>
  <c r="G157" i="4" s="1"/>
  <c r="T72" i="49"/>
  <c r="T74" i="49" s="1"/>
  <c r="U71" i="49"/>
  <c r="S74" i="49"/>
  <c r="T72" i="46"/>
  <c r="U71" i="46"/>
  <c r="V71" i="46" s="1"/>
  <c r="J122" i="42"/>
  <c r="J90" i="4"/>
  <c r="J94" i="4" s="1"/>
  <c r="K94" i="4" s="1"/>
  <c r="K105" i="4"/>
  <c r="K107" i="4" s="1"/>
  <c r="H107" i="4"/>
  <c r="H109" i="4" s="1"/>
  <c r="D122" i="4" s="1"/>
  <c r="E107" i="4"/>
  <c r="E109" i="4" s="1"/>
  <c r="C122" i="4" s="1"/>
  <c r="D66" i="4"/>
  <c r="C148" i="4"/>
  <c r="C155" i="4" s="1"/>
  <c r="C157" i="4" s="1"/>
  <c r="G65" i="4"/>
  <c r="J65" i="4"/>
  <c r="U72" i="49" l="1"/>
  <c r="V71" i="49"/>
  <c r="V72" i="46"/>
  <c r="W71" i="46"/>
  <c r="U72" i="46"/>
  <c r="AE7" i="47" a="1"/>
  <c r="AE7" i="47" s="1"/>
  <c r="AF7" i="47" s="1" a="1"/>
  <c r="AF7" i="47" s="1"/>
  <c r="AG7" i="47" s="1" a="1"/>
  <c r="AG7" i="47" s="1"/>
  <c r="AH7" i="47" s="1" a="1"/>
  <c r="AH7" i="47" s="1"/>
  <c r="AI7" i="47" s="1" a="1"/>
  <c r="AI7" i="47" s="1"/>
  <c r="AJ7" i="47" s="1" a="1"/>
  <c r="AJ7" i="47" s="1"/>
  <c r="AK7" i="47" s="1" a="1"/>
  <c r="AK7" i="47" s="1"/>
  <c r="AL7" i="47" s="1" a="1"/>
  <c r="AL7" i="47" s="1"/>
  <c r="AM7" i="47" s="1" a="1"/>
  <c r="AM7" i="47" s="1"/>
  <c r="J143" i="4"/>
  <c r="J148" i="4" s="1"/>
  <c r="T74" i="46"/>
  <c r="C154" i="42"/>
  <c r="C156" i="42" s="1"/>
  <c r="K109" i="4"/>
  <c r="G69" i="4"/>
  <c r="G73" i="4" s="1"/>
  <c r="H73" i="4" s="1"/>
  <c r="J64" i="4"/>
  <c r="G64" i="4"/>
  <c r="J69" i="4"/>
  <c r="J73" i="4" s="1"/>
  <c r="K73" i="4" s="1"/>
  <c r="V72" i="49" l="1"/>
  <c r="W71" i="49"/>
  <c r="U74" i="49"/>
  <c r="W72" i="46"/>
  <c r="X71" i="46"/>
  <c r="E122" i="4"/>
  <c r="E123" i="4" s="1"/>
  <c r="E154" i="4" s="1"/>
  <c r="E156" i="4" s="1"/>
  <c r="U77" i="49"/>
  <c r="U79" i="49" s="1"/>
  <c r="U77" i="46"/>
  <c r="U79" i="46" s="1"/>
  <c r="U74" i="46"/>
  <c r="J68" i="4"/>
  <c r="J72" i="4" s="1"/>
  <c r="J66" i="4"/>
  <c r="G68" i="4"/>
  <c r="G72" i="4" s="1"/>
  <c r="H72" i="4" s="1"/>
  <c r="G66" i="4"/>
  <c r="W72" i="49" l="1"/>
  <c r="X71" i="49"/>
  <c r="V74" i="49"/>
  <c r="V77" i="49"/>
  <c r="V79" i="49" s="1"/>
  <c r="X72" i="46"/>
  <c r="Y71" i="46"/>
  <c r="V74" i="46"/>
  <c r="V77" i="46"/>
  <c r="V79" i="46" s="1"/>
  <c r="J122" i="4"/>
  <c r="K72" i="4"/>
  <c r="W77" i="46" l="1"/>
  <c r="W79" i="46" s="1"/>
  <c r="W77" i="49"/>
  <c r="W79" i="49" s="1"/>
  <c r="W74" i="49"/>
  <c r="X72" i="49"/>
  <c r="Y71" i="49"/>
  <c r="Y72" i="46"/>
  <c r="Z71" i="46"/>
  <c r="W74" i="46"/>
  <c r="D116" i="4"/>
  <c r="D123" i="4" s="1"/>
  <c r="D154" i="4" s="1"/>
  <c r="D156" i="4" s="1"/>
  <c r="X77" i="49" l="1"/>
  <c r="X79" i="49" s="1"/>
  <c r="X74" i="49"/>
  <c r="Y72" i="49"/>
  <c r="Z71" i="49"/>
  <c r="X74" i="46"/>
  <c r="Z72" i="46"/>
  <c r="AA71" i="46"/>
  <c r="X77" i="46"/>
  <c r="X79" i="46" s="1"/>
  <c r="C123" i="4"/>
  <c r="J117" i="4"/>
  <c r="Y74" i="46" l="1"/>
  <c r="Y77" i="46"/>
  <c r="Y79" i="46" s="1"/>
  <c r="Z74" i="46"/>
  <c r="Z72" i="49"/>
  <c r="AA71" i="49"/>
  <c r="Y77" i="49"/>
  <c r="Y79" i="49" s="1"/>
  <c r="Y74" i="49"/>
  <c r="AA72" i="46"/>
  <c r="C154" i="4"/>
  <c r="J155" i="4" s="1"/>
  <c r="Z77" i="46" l="1"/>
  <c r="Z79" i="46" s="1"/>
  <c r="AA72" i="49"/>
  <c r="Z77" i="49"/>
  <c r="Z79" i="49" s="1"/>
  <c r="Z74" i="49"/>
  <c r="C156" i="4"/>
  <c r="AA74" i="46" l="1"/>
  <c r="C75" i="46" s="1"/>
  <c r="B91" i="46" s="1"/>
  <c r="AA77" i="46"/>
  <c r="AA79" i="46" s="1"/>
  <c r="AA74" i="49"/>
  <c r="C75" i="49" s="1"/>
  <c r="B91" i="49" s="1"/>
  <c r="AA77" i="49"/>
  <c r="AA79" i="49" s="1"/>
  <c r="J157" i="4"/>
  <c r="J77" i="46"/>
  <c r="J79" i="46" s="1"/>
  <c r="K77" i="46"/>
  <c r="K79" i="46" s="1"/>
  <c r="J123" i="42" l="1"/>
  <c r="I154" i="42"/>
  <c r="I156" i="42" s="1"/>
  <c r="J156" i="42" s="1"/>
  <c r="J154" i="42" l="1"/>
  <c r="J123" i="4"/>
  <c r="I154" i="4"/>
  <c r="J154" i="4" s="1"/>
  <c r="I156" i="4" l="1"/>
  <c r="J156" i="4" s="1"/>
  <c r="D47" i="4" l="1"/>
  <c r="D51" i="4"/>
  <c r="E51" i="4" s="1"/>
  <c r="G43" i="4" l="1"/>
  <c r="J43" i="4"/>
  <c r="J47" i="4" l="1"/>
  <c r="J51" i="4" s="1"/>
  <c r="K51" i="4" s="1"/>
  <c r="G47" i="4"/>
  <c r="G51" i="4" s="1"/>
  <c r="H51" i="4" s="1"/>
  <c r="D46" i="4"/>
  <c r="D42" i="4" s="1"/>
  <c r="D50" i="4"/>
  <c r="E50" i="4" s="1"/>
  <c r="C42" i="4" l="1"/>
  <c r="D44" i="4"/>
  <c r="E40" i="4" l="1"/>
  <c r="E84" i="4"/>
  <c r="E62" i="4"/>
  <c r="E85" i="4"/>
  <c r="E41" i="4"/>
  <c r="E63" i="4"/>
  <c r="G42" i="4"/>
  <c r="J42" i="4"/>
  <c r="E66" i="4" l="1"/>
  <c r="J44" i="4"/>
  <c r="K42" i="4" s="1"/>
  <c r="J46" i="4"/>
  <c r="J50" i="4" s="1"/>
  <c r="K50" i="4" s="1"/>
  <c r="C116" i="4" s="1"/>
  <c r="I116" i="4" s="1"/>
  <c r="G44" i="4"/>
  <c r="G46" i="4"/>
  <c r="G50" i="4" s="1"/>
  <c r="H50" i="4" s="1"/>
  <c r="E88" i="4"/>
  <c r="E44" i="4"/>
  <c r="H86" i="4" l="1"/>
  <c r="H62" i="4"/>
  <c r="H40" i="4"/>
  <c r="H64" i="4"/>
  <c r="H65" i="4"/>
  <c r="H43" i="4"/>
  <c r="H41" i="4"/>
  <c r="H85" i="4"/>
  <c r="H84" i="4"/>
  <c r="H63" i="4"/>
  <c r="H87" i="4"/>
  <c r="H42" i="4"/>
  <c r="K43" i="4"/>
  <c r="K87" i="4"/>
  <c r="K40" i="4"/>
  <c r="K64" i="4"/>
  <c r="K85" i="4"/>
  <c r="K41" i="4"/>
  <c r="K84" i="4"/>
  <c r="K62" i="4"/>
  <c r="K86" i="4"/>
  <c r="K63" i="4"/>
  <c r="K65" i="4"/>
  <c r="K68" i="4" l="1"/>
  <c r="K69" i="4" s="1"/>
  <c r="K66" i="4"/>
  <c r="K90" i="4"/>
  <c r="K91" i="4" s="1"/>
  <c r="K88" i="4"/>
  <c r="K46" i="4"/>
  <c r="K47" i="4" s="1"/>
  <c r="K44" i="4"/>
  <c r="H90" i="4"/>
  <c r="H91" i="4" s="1"/>
  <c r="H88" i="4"/>
  <c r="H66" i="4"/>
  <c r="H68" i="4"/>
  <c r="H69" i="4" s="1"/>
  <c r="H46" i="4"/>
  <c r="H47" i="4" s="1"/>
  <c r="H44"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48" authorId="0" shapeId="0" xr:uid="{5F98B934-7480-4A86-A38D-FB50CFB652C0}">
      <text>
        <r>
          <rPr>
            <b/>
            <sz val="9"/>
            <color indexed="81"/>
            <rFont val="Tahoma"/>
            <family val="2"/>
          </rPr>
          <t xml:space="preserve">Ian Rowson: </t>
        </r>
        <r>
          <rPr>
            <sz val="9"/>
            <color indexed="81"/>
            <rFont val="Tahoma"/>
            <family val="2"/>
          </rPr>
          <t xml:space="preserve">Cell C48 is for an offset value to be input, corresponding to the value of the allowances excluded from Ey in accordance with paragraph 3.39(b) of the financial handbook (row 20). There is no prescribed calculation of the attributed value, but this cell included an illustrative calculation at the time this model was circulated by Ofgem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28" authorId="0" shapeId="0" xr:uid="{00000000-0006-0000-0900-000001000000}">
      <text>
        <r>
          <rPr>
            <b/>
            <sz val="9"/>
            <color indexed="81"/>
            <rFont val="Tahoma"/>
            <family val="2"/>
          </rPr>
          <t>Author:</t>
        </r>
        <r>
          <rPr>
            <sz val="9"/>
            <color indexed="81"/>
            <rFont val="Tahoma"/>
            <family val="2"/>
          </rPr>
          <t xml:space="preserve">
Note, set y (cell C13) to equal irp for this to calculate IBAPA. Specify another value for y to determine a compliant BAPA, a candidate for PBAPA. The licensee may propose a different, non-flat profile for PBAPA if it chooses.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48" authorId="0" shapeId="0" xr:uid="{00000000-0006-0000-0F00-000001000000}">
      <text>
        <r>
          <rPr>
            <b/>
            <sz val="9"/>
            <color indexed="81"/>
            <rFont val="Tahoma"/>
            <family val="2"/>
          </rPr>
          <t xml:space="preserve">Ian Rowson: </t>
        </r>
        <r>
          <rPr>
            <sz val="9"/>
            <color indexed="81"/>
            <rFont val="Tahoma"/>
            <family val="2"/>
          </rPr>
          <t xml:space="preserve">Cell C48 is for an offset value to be input, corresponding to the value of the allowances excluded from Ey in accordance with paragraph 3.39(b) of the financial handbook (row 20). There is no prescribed calculation of the attributed value, but this cell included an illustrative calculation at the time this model was circulated by Ofgem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28" authorId="0" shapeId="0" xr:uid="{00000000-0006-0000-1000-000001000000}">
      <text>
        <r>
          <rPr>
            <b/>
            <sz val="9"/>
            <color indexed="81"/>
            <rFont val="Tahoma"/>
            <family val="2"/>
          </rPr>
          <t>Author:</t>
        </r>
        <r>
          <rPr>
            <sz val="9"/>
            <color indexed="81"/>
            <rFont val="Tahoma"/>
            <family val="2"/>
          </rPr>
          <t xml:space="preserve">
Note, set y (cell C13) to equal irp for this to calculate IBAPA. Specify another value for y to determine a compliant BAPA, a candidate for PBAPA. The licensee may propose a different, non-flat profile for PBAPA if it chooses.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<sst xmlns="http://schemas.openxmlformats.org/spreadsheetml/2006/main" count="1486" uniqueCount="614">
  <si>
    <t>Input cells</t>
  </si>
  <si>
    <t>Calculation &amp; total  cells (of formula within worksheet)</t>
  </si>
  <si>
    <t>Triennial Pension Reporting Pack data tables</t>
  </si>
  <si>
    <t>Referencing to other worksheets</t>
  </si>
  <si>
    <t>Check cells</t>
  </si>
  <si>
    <t>No Input</t>
  </si>
  <si>
    <t>Descriptions and pack data</t>
  </si>
  <si>
    <t xml:space="preserve">NWO Group Name </t>
  </si>
  <si>
    <t>NGED (Central Networks ESPS)</t>
  </si>
  <si>
    <t>Licensee 1</t>
  </si>
  <si>
    <t>Licensee 2</t>
  </si>
  <si>
    <t>Licensee 3</t>
  </si>
  <si>
    <t>Licensee 4</t>
  </si>
  <si>
    <t>Licensee 5</t>
  </si>
  <si>
    <t>Licensee 6</t>
  </si>
  <si>
    <t>Scheme 1</t>
  </si>
  <si>
    <t>CGPS</t>
  </si>
  <si>
    <t>Scheme 2</t>
  </si>
  <si>
    <t>DB Scheme 2</t>
  </si>
  <si>
    <t>Reporting Year/period:</t>
  </si>
  <si>
    <t>[Insert Scheme Name]</t>
  </si>
  <si>
    <t>Group</t>
  </si>
  <si>
    <t>WMID</t>
  </si>
  <si>
    <t>EMID</t>
  </si>
  <si>
    <t>SPENWL</t>
  </si>
  <si>
    <t>Northern Powergrid</t>
  </si>
  <si>
    <t>NPgN</t>
  </si>
  <si>
    <t>NGED (WPD Group ESPS)</t>
  </si>
  <si>
    <t>SWALES</t>
  </si>
  <si>
    <t>UKPN</t>
  </si>
  <si>
    <t>SWEST</t>
  </si>
  <si>
    <t>Cadent Gas</t>
  </si>
  <si>
    <t>LPN</t>
  </si>
  <si>
    <t>SPD &amp; SPTL</t>
  </si>
  <si>
    <t>SPN</t>
  </si>
  <si>
    <t>SHETL &amp; SHEPD</t>
  </si>
  <si>
    <t>EPN</t>
  </si>
  <si>
    <t>SP Manweb</t>
  </si>
  <si>
    <t>SPD</t>
  </si>
  <si>
    <t>Scotia Gas Networks</t>
  </si>
  <si>
    <t>SPMW</t>
  </si>
  <si>
    <t>Wales &amp; West</t>
  </si>
  <si>
    <t>SSEH</t>
  </si>
  <si>
    <t>Northern Gas Networks</t>
  </si>
  <si>
    <t>SSES</t>
  </si>
  <si>
    <t>NGET</t>
  </si>
  <si>
    <t>WWU</t>
  </si>
  <si>
    <t>National Gas Transmission</t>
  </si>
  <si>
    <t>NGN</t>
  </si>
  <si>
    <t>DB scheme 1</t>
  </si>
  <si>
    <t>SGN - Southern</t>
  </si>
  <si>
    <t>SGN - Scotland</t>
  </si>
  <si>
    <t>Cadent EOE</t>
  </si>
  <si>
    <t>Cadent London</t>
  </si>
  <si>
    <t>Cadent WM</t>
  </si>
  <si>
    <t>Cadent NW</t>
  </si>
  <si>
    <t>NGET TO</t>
  </si>
  <si>
    <t>NGET SO</t>
  </si>
  <si>
    <t>NGT TO</t>
  </si>
  <si>
    <t>NGT SO</t>
  </si>
  <si>
    <t>Reporting year</t>
  </si>
  <si>
    <t>NWO Name</t>
  </si>
  <si>
    <t>Scheme Name</t>
  </si>
  <si>
    <t>[Year]</t>
  </si>
  <si>
    <t>[NWO]</t>
  </si>
  <si>
    <t>UKPN ESPS</t>
  </si>
  <si>
    <t>UKPN PS</t>
  </si>
  <si>
    <t>ENWL ESPS</t>
  </si>
  <si>
    <t>ENWL PS</t>
  </si>
  <si>
    <t>Northern Powergrid ESPS</t>
  </si>
  <si>
    <t>SPPS</t>
  </si>
  <si>
    <t>ENWL</t>
  </si>
  <si>
    <t>Manweb ESPS</t>
  </si>
  <si>
    <t>NPN</t>
  </si>
  <si>
    <t>SHEPS</t>
  </si>
  <si>
    <t>NPG</t>
  </si>
  <si>
    <t>Southern ESPS</t>
  </si>
  <si>
    <t>WWU PS</t>
  </si>
  <si>
    <t>NGN PS</t>
  </si>
  <si>
    <t>SGN PS</t>
  </si>
  <si>
    <t>NGTPS</t>
  </si>
  <si>
    <t>NGET ESPS</t>
  </si>
  <si>
    <t>2010-13</t>
  </si>
  <si>
    <t>2010-12</t>
  </si>
  <si>
    <t>2012-13</t>
  </si>
  <si>
    <t>NGG EOE</t>
  </si>
  <si>
    <t>NGG London</t>
  </si>
  <si>
    <t>NGG WM</t>
  </si>
  <si>
    <t>NGG NW</t>
  </si>
  <si>
    <t>NGGT</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</si>
  <si>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</si>
  <si>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</si>
  <si>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</si>
  <si>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</si>
  <si>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</si>
  <si>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</si>
  <si>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</si>
  <si>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</si>
  <si>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</si>
  <si>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</si>
  <si>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</si>
  <si>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</si>
  <si>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</si>
  <si>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</si>
  <si>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</si>
  <si>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</si>
  <si>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Contents</t>
  </si>
  <si>
    <t>Submission Dates</t>
  </si>
  <si>
    <t>P1.1 - PDAM information completed by licensee - primary scheme</t>
  </si>
  <si>
    <t>P1.2 - PDAM information completed by Actuary - primary scheme</t>
  </si>
  <si>
    <t>P1.5 - Calculation of Vrr - Licensee 1</t>
  </si>
  <si>
    <t>P1.6 IBAPA and PBAPA - Licensee 1</t>
  </si>
  <si>
    <t>P2.1 - PDAM information completed by licensee - second scheme</t>
  </si>
  <si>
    <t>P2.2 - PDAM information completed by Actuary - second scheme</t>
  </si>
  <si>
    <t>P2.5 - Calculation of Vrr - Licensee 2</t>
  </si>
  <si>
    <t>P2.6 IBAPA and PBAPA - Licensee 2</t>
  </si>
  <si>
    <t>Para 6.20 adjustment</t>
  </si>
  <si>
    <t>Changes log</t>
  </si>
  <si>
    <t>Change control</t>
  </si>
  <si>
    <t>(change log from 2013 master)</t>
  </si>
  <si>
    <t>Version</t>
  </si>
  <si>
    <t>Table Reference</t>
  </si>
  <si>
    <t>Changes made in the Financial RIGs</t>
  </si>
  <si>
    <t>V1.01</t>
  </si>
  <si>
    <t>P1.1 and P2.1</t>
  </si>
  <si>
    <t>Row 107: formulae amended to be “+C104+C105-C106”</t>
  </si>
  <si>
    <t>V1.03</t>
  </si>
  <si>
    <t>P1.3</t>
  </si>
  <si>
    <t>Cell A73: Amended description to exclude reference to [31 March] 2010</t>
  </si>
  <si>
    <t>Cell A81: Amended description to exclude reference to [31 March] 2013</t>
  </si>
  <si>
    <t>Cell A84: Amended description to exclude reference to [31 March] 2010</t>
  </si>
  <si>
    <t>Cell A86: Amended description to include "deaths"</t>
  </si>
  <si>
    <t>Cell A90: Amended description to exclude reference to [31 March] 2013</t>
  </si>
  <si>
    <t>Cell A93: Amended description to exclude reference to [31 March] 2010</t>
  </si>
  <si>
    <t>Cell A95: Amended description to include "deaths"</t>
  </si>
  <si>
    <t>Cell A98: Amended description to exclude reference to [31 March] 2013</t>
  </si>
  <si>
    <t>Cell A101: Amended description to exclude reference to [31 March] 2010</t>
  </si>
  <si>
    <t>Cell A104: Amended description to include "deaths"</t>
  </si>
  <si>
    <t>Cell A106: Amended description to exclude reference to [31 March] 2013</t>
  </si>
  <si>
    <t>Cell A109: Amended description to exclude reference to [31 March] 2010</t>
  </si>
  <si>
    <t>Cell A111: Amended description to include "deaths"</t>
  </si>
  <si>
    <t>Cell A113: Amended description to exclude reference to [31 March] 2013</t>
  </si>
  <si>
    <t>Cell D132: Corrected formula to link to 2013 data, not 2010 data. Formula was: =D81-D125</t>
  </si>
  <si>
    <t>Cell D133: Corrected formula to link to 2013 data, not 2010 data. Formula was: =D90-D126</t>
  </si>
  <si>
    <t>Cell D134: Corrected formula to link to 2013 data, not 2010 data. Formula was: =D98-D127</t>
  </si>
  <si>
    <t>V1.04</t>
  </si>
  <si>
    <t>Cell D135: Corrected formula to link to 2013 data, not 2010 data. Formula was: =D106-D128</t>
  </si>
  <si>
    <t>Insert "iferror" formula into cells with "#div" calculations</t>
  </si>
  <si>
    <t>Cells H117:I121: Remove duplicate cells</t>
  </si>
  <si>
    <t>Cells L117:M121: Remove duplicate cells</t>
  </si>
  <si>
    <t>Cells P117:Q121: Remove duplicate cells</t>
  </si>
  <si>
    <t>P1.4</t>
  </si>
  <si>
    <t>Cells C17:F17: Corrected formula to include omitted cells for licensees 4-6</t>
  </si>
  <si>
    <t>Cells C28:F28: Corrected formula to include omitted cells for licensees 4-6</t>
  </si>
  <si>
    <t>Cells C58:F58: Corrected formula to include omitted cells for licensees 4-6</t>
  </si>
  <si>
    <t>Cells C69:F69: Corrected formula to include omitted cells for licensees 4-6</t>
  </si>
  <si>
    <t>Cells C86:F86: Corrected formula to include omitted cells for licensees 4-6</t>
  </si>
  <si>
    <t>V1.05</t>
  </si>
  <si>
    <t>Cells A28:A29 Added with additional items to be submitted</t>
  </si>
  <si>
    <t>P1.2</t>
  </si>
  <si>
    <t>Cell B35 item added "Impact of pension increases in excess of minimum increases required under Rules"</t>
  </si>
  <si>
    <t>Cell A135 renamed to "Actuarial Valuation Results"</t>
  </si>
  <si>
    <t>Cells A212, A213, A216 and A217 - all references to "aged 60" changed to "aged 65"</t>
  </si>
  <si>
    <t>Rows 221:241 deleted</t>
  </si>
  <si>
    <t>Rows 278:313 deleted</t>
  </si>
  <si>
    <t>Cells H26:P28 deleted</t>
  </si>
  <si>
    <t>V2.0</t>
  </si>
  <si>
    <t>All tables</t>
  </si>
  <si>
    <t>Updated cells where necessary for years eg 2010 changed to 2013</t>
  </si>
  <si>
    <t>P1.3 &amp; P2.3</t>
  </si>
  <si>
    <t>Delete contents, but retain table numbers</t>
  </si>
  <si>
    <t>P1.4 &amp; P2.4</t>
  </si>
  <si>
    <t>Not required to be completed by DNO/RIIO-ED1 licencees</t>
  </si>
  <si>
    <t>P1.5, P1.6 and control</t>
  </si>
  <si>
    <t>Insert tables P1.5, P1.6, 2.5, 2.6 and control tabs</t>
  </si>
  <si>
    <t>Example P1.1 &amp; 1.2</t>
  </si>
  <si>
    <t>Delete tables</t>
  </si>
  <si>
    <t>P1.1 &amp; P2.1</t>
  </si>
  <si>
    <t>Reinserted row 116 (this was removed by some NOW, following advice from Ofgem, but wasn't logged here)</t>
  </si>
  <si>
    <t>P1.2 &amp; P2.2</t>
  </si>
  <si>
    <t>Cell B87 amended to read b(i)</t>
  </si>
  <si>
    <t>Also submitted' deleted</t>
  </si>
  <si>
    <t>Pension cover pack</t>
  </si>
  <si>
    <t xml:space="preserve">Drop-down menu options corrected for WPD should be WPD (Central Networks ESPS) and WPD (WPD Group ESPS). </t>
  </si>
  <si>
    <t>Amended formula and typographical errors</t>
  </si>
  <si>
    <t>P1.2/2.2</t>
  </si>
  <si>
    <t>Row 116 - not working in cases where section B is not filled in.  Should automatically repeat row 115 if there are no entries in section B.
A drop down menu (cell C20) has been added where DNOs must select "Yes".</t>
  </si>
  <si>
    <t>V2.01</t>
  </si>
  <si>
    <t>P1.2/P2.2</t>
  </si>
  <si>
    <t>Correct cell D64 to : =IF(ROUND(D63,1)=ROUND(-D20,1),"OK","ERROR")</t>
  </si>
  <si>
    <t>Para 6.2 adjustment</t>
  </si>
  <si>
    <t>Amend cell A4 to read "….paragragh 5.9".
Also Pensions RIGs should refer to paragraph 5.9 in the contents, the heading on page 31, paragrah 6.20 and 22.1.</t>
  </si>
  <si>
    <t>P1.1/P2.1</t>
  </si>
  <si>
    <t>Amend Cell B19 to read "…..required for DNOs only (if applicable)"
Also heading on page 55 of the Pension RIGs should read "Section B - Optional Roll Forward of Pre Cut-Off Date Regulatory Fraction Update – DNOs (if applicable)" and Paragraph 16.7 should read "........completed by DNOs (if applicable)....".</t>
  </si>
  <si>
    <t>P1.5/P2.5</t>
  </si>
  <si>
    <t>Deleted dummy data in cells D69:K69 and for submission enter discount rate as per Para 21.21 of the Pensions RIGs</t>
  </si>
  <si>
    <t>Delete formula in cell D78</t>
  </si>
  <si>
    <t>P1.4/P2.4</t>
  </si>
  <si>
    <t>Add columns in J:G to capture costs for 2017-2020</t>
  </si>
  <si>
    <t>Inserted in row 88 "b(ii). The portion of differences between employer contributions paid towards future benefit accrual since last Valuation and the value of future benefit accrual since last Valuation arising because of a surplus attributable to Pre Cut-Off Date pensionable service"</t>
  </si>
  <si>
    <t xml:space="preserve">P1.1/P2.1 </t>
  </si>
  <si>
    <t>Changed the cells in B14-B16 to "as at 31 March 2016" instead of "as at 31 March 2013".</t>
  </si>
  <si>
    <t>P1.6 and 2.6</t>
  </si>
  <si>
    <t xml:space="preserve">Changed cells C17, C22 &amp; C24, J7-AM7 to link to separate named cells for tabs P1.6 and P2.6 to PSEDA and PSEDB respectively </t>
  </si>
  <si>
    <t xml:space="preserve">Changed cells C22 &amp; C27 to link to separate named cells for tabs P1.6 and P2.6 to EBAPA1 and EBAPA2 respectively </t>
  </si>
  <si>
    <t xml:space="preserve">Changed cells J7-AM7 &amp; J8 - AM8 to link to separate named cells for tabs P1.6 and P2.6 to flatBAPA1 and flatBAPA2 respectively </t>
  </si>
  <si>
    <t xml:space="preserve">Changed cells C20, C27, C31, Z16-AM16 to link to separate named cells for tabs P1.6 and P2.6 to DRA and DRB respectively </t>
  </si>
  <si>
    <t>Para 6.20 adjustments</t>
  </si>
  <si>
    <t xml:space="preserve">Cells C15- E15 &amp; C22-E22 updated to 2017,2018,2019 </t>
  </si>
  <si>
    <t>Added formula in B46 to replace hardcoded input</t>
  </si>
  <si>
    <t>Updated year in G33, G55 and G77 from 2013 to 2016.</t>
  </si>
  <si>
    <t>Updated C101 to year 2017</t>
  </si>
  <si>
    <t xml:space="preserve">Updated B44 to refer to Liabilities at 31 March 2016 </t>
  </si>
  <si>
    <t>P1.1 PDAM Licensee provided (&amp; P2.1)</t>
  </si>
  <si>
    <t>Changed formula in I123 from '=SUM(I116:I122)' to '=IF($C$20 = "Yes",SUM(I116:I122),SUM(I115,I117:I122))', to correct for an error</t>
  </si>
  <si>
    <t>Change '2013' to '2016' in B14 and B15</t>
  </si>
  <si>
    <t>P1.2 PDAM Actuary provided data</t>
  </si>
  <si>
    <r>
      <t>Added in 2 extra free form rows for</t>
    </r>
    <r>
      <rPr>
        <i/>
        <sz val="11"/>
        <color theme="1"/>
        <rFont val="Calibri"/>
        <family val="2"/>
        <scheme val="minor"/>
      </rPr>
      <t xml:space="preserve"> "Other adjustment" (please specify) in B38 and D38</t>
    </r>
  </si>
  <si>
    <r>
      <t>Added in 2 extra free form rows for</t>
    </r>
    <r>
      <rPr>
        <i/>
        <sz val="11"/>
        <color theme="1"/>
        <rFont val="Calibri"/>
        <family val="2"/>
        <scheme val="minor"/>
      </rPr>
      <t xml:space="preserve"> "Other adjustment" (please specify) in B61 and D61</t>
    </r>
  </si>
  <si>
    <t>P1.1/2.1</t>
  </si>
  <si>
    <t>Formula in I14 changed to reflect a third Licensee (added "-E14" to the formula)</t>
  </si>
  <si>
    <t>Formula in I123 amended to =IF($C$20="YES",SUM(I116:I122),SUM(I115,I177:I122))</t>
  </si>
  <si>
    <t>P2.1</t>
  </si>
  <si>
    <t>Formulas in C148-J148, C156-J156 and C157-J157 adjusted to reference P2.2 - not P1.2 formula</t>
  </si>
  <si>
    <t>p1.6/p2.6</t>
  </si>
  <si>
    <t xml:space="preserve">Changed the range name for "f" for cells I16:AM16 to link to separate named cells for tabs P1.6 and P2.6 to f_1 and f_2 respectively </t>
  </si>
  <si>
    <t xml:space="preserve">Changed the range name for "y" for cells J8:AM8 to link to separate named cells for tabs P1.6 and P2.6 to y_1 and y_2 respectively </t>
  </si>
  <si>
    <t>P1.6</t>
  </si>
  <si>
    <t>The formula in C22 was bringing in PSEDB instead of PSEDA. Rectified this.</t>
  </si>
  <si>
    <t>The formula in C24 was bringing in PSEDB instead of PSEDA. Rectified this.</t>
  </si>
  <si>
    <t>Formula in K16 was bringing in f_2 rather than f_1. Rectified this.</t>
  </si>
  <si>
    <t>Formula in J8:AM8 was bringing in FLATBAPA from P2.6 rather than cell C29 of table P1.6. Rectified this, and created two new names - FLATBAPA_1 and FLATBAPA_2</t>
  </si>
  <si>
    <t xml:space="preserve">P1.1, P2.1 </t>
  </si>
  <si>
    <r>
      <t>Changed formula in I123 to '=IF($C$20 = "Yes",SUM(I116:I122),SUM(I115,I117:I122))', from '=IF($C$20="YES",SUM(I116:I122),SUM(I115,</t>
    </r>
    <r>
      <rPr>
        <sz val="11"/>
        <color rgb="FFFF0000"/>
        <rFont val="Calibri"/>
        <family val="2"/>
        <scheme val="minor"/>
      </rPr>
      <t>I122:I177</t>
    </r>
    <r>
      <rPr>
        <sz val="11"/>
        <rFont val="Calibri"/>
        <family val="2"/>
        <scheme val="minor"/>
      </rPr>
      <t xml:space="preserve">))' 
</t>
    </r>
  </si>
  <si>
    <t>P1.6,P2.6</t>
  </si>
  <si>
    <t>Renamed cells in C22 and C23 as “rpa1” and “irp1” respectively in P1.6, and “rpa2” and “irp2” in P2.6 to follow the convention in the rest of the template.</t>
  </si>
  <si>
    <t>Controls - do not change</t>
  </si>
  <si>
    <t>Changed the corporate tax rate from 17% to 19% in D13 to make it consistent with the 2020 Budget.</t>
  </si>
  <si>
    <t>Changed the row header in cell B88 to include pre-cut off date as well.</t>
  </si>
  <si>
    <t>P1.6/P2.6</t>
  </si>
  <si>
    <t>Corrected the formula in row 8 to anchor the reference to C28</t>
  </si>
  <si>
    <t>P6.2</t>
  </si>
  <si>
    <t>Changed the formatting to include additional data entry columns for 2018 and 2019</t>
  </si>
  <si>
    <t>V3.0</t>
  </si>
  <si>
    <t>Changed the cells in B14-B16 to "as at 31 March 2019" instead of "as at 31 March 2016".</t>
  </si>
  <si>
    <t>Updated year in G33, G55 and G77 from 2016 to 2019.</t>
  </si>
  <si>
    <t>Updated C101 to year 2020</t>
  </si>
  <si>
    <t>Updated date in cell B116 from 2016 to 2019</t>
  </si>
  <si>
    <t>Add columns in K:M to capture costs for 2021-2023</t>
  </si>
  <si>
    <t>Cells D2 &amp; D3 - changed price bases to 2018-29 (GT,ET,GD) and 2020-21 (ED)</t>
  </si>
  <si>
    <t>V3.1</t>
  </si>
  <si>
    <t>Second controls tab (with "(2)" in tab name)</t>
  </si>
  <si>
    <t>Removed duplicate controls tab</t>
  </si>
  <si>
    <t>Unmerged cells M27 through to P28</t>
  </si>
  <si>
    <t>Pension Pack cover</t>
  </si>
  <si>
    <t>Cells D34 &amp; D37 updated from "WPD (Central Networks ESPS)" and "WPD (WPD Group ESPS)" to "NGED (Central Networks ESPS)"and "NGED (WPD Group ESPS)" respectively</t>
  </si>
  <si>
    <t>Cells D81 &amp; D82 updated from "WPD (Central Networks ESPS)" and "WPD (WPD Group ESPS)" to "NGED (Central Networks ESPS)"and "NGED (WPD Group ESPS)" respectively</t>
  </si>
  <si>
    <t>CT rates added for years 2021/22, 2022/23 and 2023/24.</t>
  </si>
  <si>
    <t>Removed non-zero entries in cell C15</t>
  </si>
  <si>
    <t>Removed data in cells V6:W53</t>
  </si>
  <si>
    <t>Para 6.20 adjustments sheet</t>
  </si>
  <si>
    <t>Corrected formula in cells D23,D24,E23&amp;E24 (cells previously incorrectly referenced to column C year 2020)</t>
  </si>
  <si>
    <t xml:space="preserve">P1.5/P2.5 </t>
  </si>
  <si>
    <t>Cell B97 relabelled (and relinked) to third term</t>
  </si>
  <si>
    <t>P1.4/2.4</t>
  </si>
  <si>
    <t>Contents deleted as no longer required (PPF Levies and Scheme Administration Expenses out of scope for RIIO-2)</t>
  </si>
  <si>
    <t>Row 8 - formula adjusted to remove "@"</t>
  </si>
  <si>
    <t>V4.0</t>
  </si>
  <si>
    <t>Updated years in cells DD8 &amp; D9 to 2022 &amp; 2025 respectively</t>
  </si>
  <si>
    <t>Changed the cells in B14-B16 to "as at 31 March 2022" instead of "as at 31 March 2019".</t>
  </si>
  <si>
    <t>Updated year in G33, G55 and G77 from 2019 to 2022.</t>
  </si>
  <si>
    <t>Updated C101 to year 2023</t>
  </si>
  <si>
    <t>Updated date in cell B116 from 2019 to 2022</t>
  </si>
  <si>
    <t>Additional columns added in order to extend to years 2033-34</t>
  </si>
  <si>
    <t>Included instructions for occassions when there is an expected surplus</t>
  </si>
  <si>
    <t>Cells C36 &amp; D35 renamed to SPENWL</t>
  </si>
  <si>
    <t>controls sheet</t>
  </si>
  <si>
    <t>CT rates added for years 2024/25,2025/26,2026/27</t>
  </si>
  <si>
    <t>V4.1</t>
  </si>
  <si>
    <t>Drop down in cell D24 updated to bring in 2026</t>
  </si>
  <si>
    <t>ALL tabs</t>
  </si>
  <si>
    <t>External links removed</t>
  </si>
  <si>
    <t xml:space="preserve">P1.3/2.3 </t>
  </si>
  <si>
    <t>These tabs have been deleted</t>
  </si>
  <si>
    <t>Cell E116 linked to cell K94</t>
  </si>
  <si>
    <t>Formula in cell I14 updated to =J14-SUM(C14:H14)</t>
  </si>
  <si>
    <t>Formula in cell I116 updated to =J116-SUM(C116:H116)</t>
  </si>
  <si>
    <t>P1.5/2.5</t>
  </si>
  <si>
    <t>Formula in cell C61 extended to 2033-34 i.e. SUM(D59:AA59)</t>
  </si>
  <si>
    <t>Formula in cell C75 extended to 2033-34 i.e. SUM(D74:AA74)</t>
  </si>
  <si>
    <t>P1.5</t>
  </si>
  <si>
    <t>Cell C48 formula re-instated and extended to 2033-34 (i.e. column AA)</t>
  </si>
  <si>
    <t>P2.5</t>
  </si>
  <si>
    <t>Cell C48 formula extended to 2033-34 (i.e. column AA)</t>
  </si>
  <si>
    <t>References to "National Grid Gas" have been replaced with "National Gas Transmission". References to "NGGT" have been replaced with "NGT". References to "NGUKPS" have been replaced with "NGTPS".</t>
  </si>
  <si>
    <t>P1.1/2.1/1.2/2.2</t>
  </si>
  <si>
    <t>Cell colour coding updated</t>
  </si>
  <si>
    <t>Cells D12 and D21 updated to include Cadent. Cells D14 to D17 and C52 to C55 - NGG updated to Cadent. List of NWO Groups (cells D34:D49) updated to include Cadent Gas. List of pension schemes (cells D81:D98) updated to include CGPS.</t>
  </si>
  <si>
    <t>P1.1 PDAM Licensee provided</t>
  </si>
  <si>
    <t>Navigate</t>
  </si>
  <si>
    <t>Pension Scheme Name</t>
  </si>
  <si>
    <t>Date of previous, ie opening, valuation</t>
  </si>
  <si>
    <t>31 March 2022</t>
  </si>
  <si>
    <t>Date of current, ie closing, valuation</t>
  </si>
  <si>
    <t>31 March 2025</t>
  </si>
  <si>
    <t>Individual licensee data</t>
  </si>
  <si>
    <t>Non-regulated</t>
  </si>
  <si>
    <t>Total</t>
  </si>
  <si>
    <r>
      <t xml:space="preserve">Pre cut-off date Regulatory Fractions as at 31 March 2022, </t>
    </r>
    <r>
      <rPr>
        <b/>
        <sz val="10"/>
        <color indexed="8"/>
        <rFont val="Verdana"/>
        <family val="2"/>
      </rPr>
      <t>pre residual unfunded ERDCs</t>
    </r>
  </si>
  <si>
    <t>ERDC adjustment as at 31 March 2022</t>
  </si>
  <si>
    <r>
      <t xml:space="preserve">Pre cut-off date regulatory fractions as at 31 March 2022, </t>
    </r>
    <r>
      <rPr>
        <b/>
        <sz val="10"/>
        <color indexed="8"/>
        <rFont val="Verdana"/>
        <family val="2"/>
      </rPr>
      <t>post residual unfunded ERDCs</t>
    </r>
  </si>
  <si>
    <t>Section B - Optional Roll Forward of Pre Cut-Off Date Regulatory Fraction Update - required for DNOs only (if applicable)</t>
  </si>
  <si>
    <t>Licensee completing Yes or No</t>
  </si>
  <si>
    <t>No</t>
  </si>
  <si>
    <t>1. Total pre Cut-Off Date liabilities attributable to each licensee</t>
  </si>
  <si>
    <t>DPCR4</t>
  </si>
  <si>
    <t>Liabilities</t>
  </si>
  <si>
    <t>£m</t>
  </si>
  <si>
    <t>%</t>
  </si>
  <si>
    <t>Total scheme at cut-off date</t>
  </si>
  <si>
    <t>Start of DPCR4</t>
  </si>
  <si>
    <t>Actives (plus retirees from actives after 2004)</t>
  </si>
  <si>
    <t>Pensioners &amp; deferreds (less retirees from actives since 2004)</t>
  </si>
  <si>
    <t>Total liabilities</t>
  </si>
  <si>
    <t>Split of liabilities between regulated and non-regulated:</t>
  </si>
  <si>
    <t>Actives - regulated</t>
  </si>
  <si>
    <t>Actives - non-regulated</t>
  </si>
  <si>
    <t>Pensioners &amp; deferreds - regulated</t>
  </si>
  <si>
    <t>Pensioners &amp; deferreds - non-regulated</t>
  </si>
  <si>
    <t>Regulatory fraction:</t>
  </si>
  <si>
    <t xml:space="preserve">Regulated </t>
  </si>
  <si>
    <t>Regulatory fraction as a proportion of Pre Cut-Off Date liabilities</t>
  </si>
  <si>
    <t>At DPCR4 split 80/20 attributable as follows:</t>
  </si>
  <si>
    <t>Section C - ERDC computation of movement in residual unfunded balance in period</t>
  </si>
  <si>
    <t xml:space="preserve">Year ended 31 March </t>
  </si>
  <si>
    <t>WACC per Financial Model (pre RIIO)/PCFM (RIIO)</t>
  </si>
  <si>
    <t>Return at WACC for each year in period</t>
  </si>
  <si>
    <t>Proportion of employer deficit payments that can be attributed, in line with the approach detailed in paragraph 6.5 of chapter 6, to the remaining additional liabilities which relate to unfunded ERDCs, allowing for expected returns calculated using the WACC determined for the relevant price control</t>
  </si>
  <si>
    <t>Section D - Changes to pre Cut-Off Date Regulatory Fractions</t>
  </si>
  <si>
    <t xml:space="preserve">Pre Cut-Off Date Regulatory Fractions at 31 March 2022 - after adjustment for Section B; before adjustment for ERDCs, bulk transfers and other items </t>
  </si>
  <si>
    <t>Adjustment to Pre Cut-Off Date Regulatory Fractions due to bulk transfers in during period excluding protected persons</t>
  </si>
  <si>
    <t>Adjustment to Pre Cut-Off Date Regulatory Fractions due to bulk transfers in during period in relation to protected persons</t>
  </si>
  <si>
    <t>Adjustment to Pre Cut-Off Date Regulatory Fractions due to bulk transfers out during period excluding protected persons</t>
  </si>
  <si>
    <t>Adjustment to Pre Cut-Off Date Regulatory Fractions due to bulk transfers out during period in relation to protected persons</t>
  </si>
  <si>
    <t>Adjustment to Pre Cut-Off Date Regulatory Fractions due to other items</t>
  </si>
  <si>
    <t xml:space="preserve">Section E - Post Cut-Off Date Regulatory Proportion at Previous Valuation </t>
  </si>
  <si>
    <t>Section F - Calculation of Weighted Proportion (based on data from RRPs)</t>
  </si>
  <si>
    <t>Total Pensionable Salaries (£m)</t>
  </si>
  <si>
    <t>Sources</t>
  </si>
  <si>
    <t>Proportions of Service:</t>
  </si>
  <si>
    <t>Weighted Proportion</t>
  </si>
  <si>
    <t>Section G - Calculation of Post Cut-Off Regulatory Proportion</t>
  </si>
  <si>
    <t>Section H - Calculation of Established Deficit and Incremental Deficit</t>
  </si>
  <si>
    <r>
      <t xml:space="preserve">Pre cut-off date regulatory fractions, </t>
    </r>
    <r>
      <rPr>
        <b/>
        <sz val="10"/>
        <color indexed="8"/>
        <rFont val="Verdana"/>
        <family val="2"/>
      </rPr>
      <t xml:space="preserve">post residual unfunded ERDCs </t>
    </r>
  </si>
  <si>
    <t>Post Cut-Off Date Regulatory Proportion</t>
  </si>
  <si>
    <t>P1.2: Pensions Deficit Allocation Methodology</t>
  </si>
  <si>
    <t>P1.2 - PDAM information completed and signed off by actuarial advisers - primary scheme</t>
  </si>
  <si>
    <t>Assets (+ve)</t>
  </si>
  <si>
    <t>Liabilities (-ve)</t>
  </si>
  <si>
    <t>Active Liabilities  (-ve)</t>
  </si>
  <si>
    <t>Deferred Liabilities  (-ve)</t>
  </si>
  <si>
    <t>Pensioner Liabilities  (-ve)</t>
  </si>
  <si>
    <t xml:space="preserve">Total Liabilities </t>
  </si>
  <si>
    <t>Section C - Reconciliation of surplus / deficit</t>
  </si>
  <si>
    <t>Interest on deficit</t>
  </si>
  <si>
    <t>Higher \ Lower than expected investment returns</t>
  </si>
  <si>
    <t>Higher \ Lower than expected salary increases</t>
  </si>
  <si>
    <t>Higher \ Lower than expected pension increases</t>
  </si>
  <si>
    <t>Employer contributions in excess of cost of benefit accrual</t>
  </si>
  <si>
    <t>Membership movements</t>
  </si>
  <si>
    <t>Change in financial assumptions</t>
  </si>
  <si>
    <t>Change in life expectancy assumption</t>
  </si>
  <si>
    <t>Impact of Pension Strain costs</t>
  </si>
  <si>
    <t>Impact of pension increases in excess of minimum increases required under Rules</t>
  </si>
  <si>
    <t>Other adjustment (please specify)</t>
  </si>
  <si>
    <t>Check</t>
  </si>
  <si>
    <t>Section D1 - Scheme liabilities and attribution</t>
  </si>
  <si>
    <t>Scheme</t>
  </si>
  <si>
    <t>+</t>
  </si>
  <si>
    <t>Employer paid value of new benefits accrued during the period by active members</t>
  </si>
  <si>
    <t>Member paid value of new benefits accrued during the period</t>
  </si>
  <si>
    <t>New benefits due to pension strain costs</t>
  </si>
  <si>
    <t>-</t>
  </si>
  <si>
    <t>Liabilities transferred out during the period</t>
  </si>
  <si>
    <t>Benefits paid out during the period</t>
  </si>
  <si>
    <t>New benefits due to incoming transfers</t>
  </si>
  <si>
    <t>Outgoing bulk transfer of liabilities during period</t>
  </si>
  <si>
    <t>Interest earned on liabilities during the period</t>
  </si>
  <si>
    <t>+/-</t>
  </si>
  <si>
    <t>Impact of changes in actuarial assumptions due to changes in market conditions</t>
  </si>
  <si>
    <t>Impact of changes in longevity assumption</t>
  </si>
  <si>
    <t>Higher / Lower than expected investment returns</t>
  </si>
  <si>
    <t>Higher / Lower than expected salary increases</t>
  </si>
  <si>
    <t>Higher / Lower than expected pension increases</t>
  </si>
  <si>
    <t>Impact of changes in other assumptions</t>
  </si>
  <si>
    <t>Section D2 - Attribution of scheme liabilities to pre and post Cut-Off Date Notional Sub-Funds</t>
  </si>
  <si>
    <t>Proportion of liabilities attributable to post cut-off date notional sub fund:</t>
  </si>
  <si>
    <t>- Active liabilities</t>
  </si>
  <si>
    <t>- Deferred liabilities</t>
  </si>
  <si>
    <t>- Pensioner liabilities</t>
  </si>
  <si>
    <t>Liabilities attributable to post cut-off date notional sub fund</t>
  </si>
  <si>
    <t>Liabilities attributable to pre cut-off date notional sub fund</t>
  </si>
  <si>
    <t>Value of liabilities at the current Valuation Date in respect of post Cut-Off Date benefits accrued up to and including the date of the previous Valuation</t>
  </si>
  <si>
    <t>Value of liabilities at the current Valuation Date in respect of post Cut-Off Date benefits accrued since the date of previous valuation</t>
  </si>
  <si>
    <t>Total value of all liabilities in respect of all benefits accrued since post Cut-Off Date</t>
  </si>
  <si>
    <t>Section E - Scheme assets and attribution to pre and post Cut-Off Date Notional Sub-Funds</t>
  </si>
  <si>
    <t>Assets attributable to pre and post cut-off date notional sub fund:</t>
  </si>
  <si>
    <t>Post cut-off date sub-fund</t>
  </si>
  <si>
    <t>Pre cut-off date sub-fund</t>
  </si>
  <si>
    <t>Insert basis of the calculation of attribution to post cut-off date sub-fund, including data and formulae applied</t>
  </si>
  <si>
    <t>b(i). employer contributions paid towards future benefit accrual since last Valuation</t>
  </si>
  <si>
    <t xml:space="preserve">b(ii). The portion of differences between employer contributions paid towards future benefit accrual since last Valuation and the value of future benefit accrual since last Valuation arising because of a surplus attributable to Pre Cut-Off Date pensionable service </t>
  </si>
  <si>
    <t>c. member contributions paid towards future benefit accrual since last Valuation, including any age-related contracting-out rebates</t>
  </si>
  <si>
    <t>d. employer contributions paid since last Valuation towards the deficit attributable to pre / post Cut-Off Date pensionable service</t>
  </si>
  <si>
    <t>e. employer contributions paid since last valuation towards Pension Strain Costs attributable to pre / post Cut-Off Date pensionable service</t>
  </si>
  <si>
    <t>f. employer contributions paid since last valuation towards and other benefit augmentations attributable to pre / post Cut-Off Date pensionable service</t>
  </si>
  <si>
    <t>g. employer contributions to meet pre / post Cut-Off Date scheme administration expenses and PPF Levies since last Valuation</t>
  </si>
  <si>
    <t>h. other employer contributions paid since last Valuation in respect of pre / post Cut-Off Date pensionable pensionable service</t>
  </si>
  <si>
    <t>i. assets paid in as part of a Bulk Transfer and individual transfers-in in respect of pre / post Cut-Off Date pensionable service</t>
  </si>
  <si>
    <t>j. benefits paid or transferred out since last Valuation in respect of pre / post Cut-Off Date pensionable service</t>
  </si>
  <si>
    <t>k. money paid out to meet post Cut-Off Date scheme administration expenses and PPF levies since last Valuation</t>
  </si>
  <si>
    <t>l. assets paid out as part of a Bulk Transfer in respect of pre / post Cut-Off Date pensionable service</t>
  </si>
  <si>
    <t>m. any other payments out of the scheme since last Valuation in respect of pre / post Cut-Off Date pensionable service</t>
  </si>
  <si>
    <t xml:space="preserve">n. actual investment returns achieved by the pension scheme’s assets during the period as applied to pre / post Cut‑Off Date assets and cashflows set out in (a) to (l) </t>
  </si>
  <si>
    <t>=</t>
  </si>
  <si>
    <t>Section F - Calculation of pre and post Cut-Off Date deficits</t>
  </si>
  <si>
    <t>Deficit in the pre Cut-Off Date Notional Sub-Fund</t>
  </si>
  <si>
    <t>Deficit in the post Cut-Off Date Notional Sub-Fund</t>
  </si>
  <si>
    <t>P1.5 - Calculation of Vrr</t>
  </si>
  <si>
    <t>Price Base to be used:</t>
  </si>
  <si>
    <t>GT, GD, ET - 2018-19 prices</t>
  </si>
  <si>
    <t>ED - 2020-21 prices</t>
  </si>
  <si>
    <t>First year post cut-off (pco1)</t>
  </si>
  <si>
    <t>Reasonableness review year (rr)</t>
  </si>
  <si>
    <t>year</t>
  </si>
  <si>
    <t>year_num</t>
  </si>
  <si>
    <t>year rr</t>
  </si>
  <si>
    <t>years pco1 to rr-2</t>
  </si>
  <si>
    <t>years rr-1 to rr</t>
  </si>
  <si>
    <t>years rr+1 onwards</t>
  </si>
  <si>
    <t>Payment and allowance history (ie actuals)</t>
  </si>
  <si>
    <t>historical BAPA (note: last two years define EBAPA)</t>
  </si>
  <si>
    <t>historical PH (assuming PH = PPH at last rr) &amp; LTU allowances</t>
  </si>
  <si>
    <t>Subtotal</t>
  </si>
  <si>
    <t>Of which: attributed to LTU offset, cell C48 (input as positive)</t>
  </si>
  <si>
    <t>Ey</t>
  </si>
  <si>
    <t>Dy (up to valuation date)</t>
  </si>
  <si>
    <t>Blank row</t>
  </si>
  <si>
    <t>Pre-valuation Dy-Ey</t>
  </si>
  <si>
    <t>Corporation tax rates</t>
  </si>
  <si>
    <t>Known CT rates</t>
  </si>
  <si>
    <t>User input</t>
  </si>
  <si>
    <t>Resulting CT rates (CTy)</t>
  </si>
  <si>
    <t>1-CTrr+1</t>
  </si>
  <si>
    <t>Determined discount rates</t>
  </si>
  <si>
    <t>hDR</t>
  </si>
  <si>
    <t>g</t>
  </si>
  <si>
    <r>
      <t>1+g</t>
    </r>
    <r>
      <rPr>
        <sz val="11"/>
        <color theme="1"/>
        <rFont val="Verdana"/>
        <family val="2"/>
      </rPr>
      <t>·</t>
    </r>
    <r>
      <rPr>
        <sz val="11"/>
        <color theme="1"/>
        <rFont val="Calibri"/>
        <family val="2"/>
      </rPr>
      <t>hDR</t>
    </r>
  </si>
  <si>
    <t>Calculation of Vrr term</t>
  </si>
  <si>
    <t>Legacy true-up value as at the end of year rr</t>
  </si>
  <si>
    <t>Legacy true-up value before offset</t>
  </si>
  <si>
    <t>Offset against attributed allowances</t>
  </si>
  <si>
    <t>LTU</t>
  </si>
  <si>
    <t>First term of formula =</t>
  </si>
  <si>
    <t>Second term of formula =</t>
  </si>
  <si>
    <t>Third term term of formula =</t>
  </si>
  <si>
    <t>Result: Vrr =</t>
  </si>
  <si>
    <t>Illustrative test for PPHy</t>
  </si>
  <si>
    <t>Proposed discount rates, PhDRy</t>
  </si>
  <si>
    <t>h</t>
  </si>
  <si>
    <t>Input: Proposed PPHy (balancing figure in last column)</t>
  </si>
  <si>
    <t>Note: this cell may contain a formula to equalise the test. If so, to permit a non-equal outcome, please overwrite the formula with an input value.</t>
  </si>
  <si>
    <t>Discounted PPHy</t>
  </si>
  <si>
    <t>Left hand side of test</t>
  </si>
  <si>
    <t>Note: PBAPA plus PPH</t>
  </si>
  <si>
    <t>Adjustment factors determined by the Authority (if any)</t>
  </si>
  <si>
    <t>Total proposed EDE</t>
  </si>
  <si>
    <t>ABV (from PBAPA sheet)</t>
  </si>
  <si>
    <t>Present value factor</t>
  </si>
  <si>
    <t>PV equivalent ABV at end year rr</t>
  </si>
  <si>
    <t>Input: difference, agreed risk transfer</t>
  </si>
  <si>
    <t>Value of ABC</t>
  </si>
  <si>
    <t>Value of Vrr</t>
  </si>
  <si>
    <t>Right hand side of test</t>
  </si>
  <si>
    <t>Result of test</t>
  </si>
  <si>
    <t>Value for truncated calculation next time</t>
  </si>
  <si>
    <t>1st term in Vrr calculation</t>
  </si>
  <si>
    <t>3rd term in Vrr calculation</t>
  </si>
  <si>
    <t>P1.6 - IBAPA and PBAPA</t>
  </si>
  <si>
    <t>ED - 2020-2021 prices</t>
  </si>
  <si>
    <t>cell name</t>
  </si>
  <si>
    <t>cell values</t>
  </si>
  <si>
    <t>formula description</t>
  </si>
  <si>
    <t>Year</t>
  </si>
  <si>
    <t>rr-1</t>
  </si>
  <si>
    <t>rr</t>
  </si>
  <si>
    <t>rr+1</t>
  </si>
  <si>
    <t>rr+2</t>
  </si>
  <si>
    <t>rr+3</t>
  </si>
  <si>
    <t>rr+4</t>
  </si>
  <si>
    <t>rr+5</t>
  </si>
  <si>
    <t>rr+6</t>
  </si>
  <si>
    <t>rr+7</t>
  </si>
  <si>
    <t>rr+8</t>
  </si>
  <si>
    <t>rr+9</t>
  </si>
  <si>
    <t>rr+10</t>
  </si>
  <si>
    <t>rr+11</t>
  </si>
  <si>
    <t>rr+12</t>
  </si>
  <si>
    <t>rr+13</t>
  </si>
  <si>
    <t>rr+14</t>
  </si>
  <si>
    <t>rr+15</t>
  </si>
  <si>
    <t>rr+16</t>
  </si>
  <si>
    <t>rr+17</t>
  </si>
  <si>
    <t>rr+18</t>
  </si>
  <si>
    <t>rr+19</t>
  </si>
  <si>
    <t>rr+20</t>
  </si>
  <si>
    <t>rr+21</t>
  </si>
  <si>
    <t>rr+22</t>
  </si>
  <si>
    <t>rr+23</t>
  </si>
  <si>
    <t>rr+24</t>
  </si>
  <si>
    <t>rr+25</t>
  </si>
  <si>
    <t>rr+26</t>
  </si>
  <si>
    <t>rr+27</t>
  </si>
  <si>
    <t>rr+28</t>
  </si>
  <si>
    <t>Flat profile IBAPA to equal PSED</t>
  </si>
  <si>
    <t>Flat profile PBAPA to equal PSED - ABV</t>
  </si>
  <si>
    <r>
      <t xml:space="preserve">Note: PSED at the date of the last triennial valuation is the starting point for proposals for BAPA allowances. The Financial Handbook provides for BAPA proposals to take account of any asset </t>
    </r>
    <r>
      <rPr>
        <u/>
        <sz val="9"/>
        <color theme="1"/>
        <rFont val="Calibri"/>
        <family val="2"/>
        <scheme val="minor"/>
      </rPr>
      <t>included</t>
    </r>
    <r>
      <rPr>
        <sz val="9"/>
        <color theme="1"/>
        <rFont val="Calibri"/>
        <family val="2"/>
        <scheme val="minor"/>
      </rPr>
      <t xml:space="preserve"> in PSED which really represents a commitment from the licensee to future funding (LO) and to take account of any asset </t>
    </r>
    <r>
      <rPr>
        <u/>
        <sz val="9"/>
        <color theme="1"/>
        <rFont val="Calibri"/>
        <family val="2"/>
        <scheme val="minor"/>
      </rPr>
      <t>outside</t>
    </r>
    <r>
      <rPr>
        <sz val="9"/>
        <color theme="1"/>
        <rFont val="Calibri"/>
        <family val="2"/>
        <scheme val="minor"/>
      </rPr>
      <t xml:space="preserve"> the PSED which really represents past funding by consumers towards the deficit (ABV).</t>
    </r>
  </si>
  <si>
    <t>User input proposed (PBAPA)</t>
  </si>
  <si>
    <t>note: PBAPA =BAPA for rr-1 and rr, from P1.5 sheet</t>
  </si>
  <si>
    <t>note: if total discounted PBAPA for years rr-1 and rr exceed PSED - ABV then PBAPA for years rr+1 onward may be set at NIL.</t>
  </si>
  <si>
    <r>
      <t xml:space="preserve">PSED (+LO) </t>
    </r>
    <r>
      <rPr>
        <sz val="11"/>
        <color rgb="FFFF0000"/>
        <rFont val="Calibri"/>
        <family val="2"/>
        <scheme val="minor"/>
      </rPr>
      <t>(set -ve value if surplus)</t>
    </r>
  </si>
  <si>
    <t>ABV (input as positive)</t>
  </si>
  <si>
    <t>Discount factor</t>
  </si>
  <si>
    <t>PSED (+LO) - ABV</t>
  </si>
  <si>
    <t>Discounted values</t>
  </si>
  <si>
    <t>EBAPA</t>
  </si>
  <si>
    <t>DR</t>
  </si>
  <si>
    <t>irp value</t>
  </si>
  <si>
    <t>Sum</t>
  </si>
  <si>
    <t>indicative repair period (min irp,15)</t>
  </si>
  <si>
    <t>Error</t>
  </si>
  <si>
    <t>note: this entry may be a +ve value in the case that total discounted PBAPA for years rr-1 and rr exceed PSED - ABV.  Do not adjust formula in cell.</t>
  </si>
  <si>
    <t>flatBAPA (IBAPA for PSED)</t>
  </si>
  <si>
    <t>Minimum of rpa and 15</t>
  </si>
  <si>
    <t>Use whole number to test integrity of discounting</t>
  </si>
  <si>
    <t>equiv repair period with ABV</t>
  </si>
  <si>
    <t>preferred repair period</t>
  </si>
  <si>
    <t>BAPA = PSED x LN(1+DR) / (1-(1+DR)^ -y)</t>
  </si>
  <si>
    <t>flatPBAPA (possible PBAPA for PSED - ABV)</t>
  </si>
  <si>
    <t>f</t>
  </si>
  <si>
    <t xml:space="preserve">f = 1/LN(1+DR)-1/DR </t>
  </si>
  <si>
    <t>discount factor = (1+DR*f)/(1+DR)^year</t>
  </si>
  <si>
    <t>Note: PCFM discounting method implies f = 1/(2 + DR)</t>
  </si>
  <si>
    <t xml:space="preserve">CAA/ORR/Ureg methods use f = 1/2 </t>
  </si>
  <si>
    <t>yearQ</t>
  </si>
  <si>
    <t>pco1Q</t>
  </si>
  <si>
    <t>rrQ</t>
  </si>
  <si>
    <t>CT</t>
  </si>
  <si>
    <t>DP5TUV_year</t>
  </si>
  <si>
    <t>2009-10</t>
  </si>
  <si>
    <t>2010-11</t>
  </si>
  <si>
    <t>2017-18</t>
  </si>
  <si>
    <t>2020-21</t>
  </si>
  <si>
    <t>2011-12</t>
  </si>
  <si>
    <t>2013-14</t>
  </si>
  <si>
    <t>2023-24</t>
  </si>
  <si>
    <t>2026-27</t>
  </si>
  <si>
    <t>2014-15</t>
  </si>
  <si>
    <t>2015-16</t>
  </si>
  <si>
    <t>2016-17</t>
  </si>
  <si>
    <t>2018-19</t>
  </si>
  <si>
    <t>2019-20</t>
  </si>
  <si>
    <t>2021-22</t>
  </si>
  <si>
    <t>2022-23</t>
  </si>
  <si>
    <t>2024-25</t>
  </si>
  <si>
    <t>2025-26</t>
  </si>
  <si>
    <t>2027-28</t>
  </si>
  <si>
    <t>2028-29</t>
  </si>
  <si>
    <t>2029-30</t>
  </si>
  <si>
    <t>2030-31</t>
  </si>
  <si>
    <t>2031-32</t>
  </si>
  <si>
    <t>2032-33</t>
  </si>
  <si>
    <t>pco1A</t>
  </si>
  <si>
    <t>rrA</t>
  </si>
  <si>
    <t>pco1_num</t>
  </si>
  <si>
    <t>rr_num</t>
  </si>
  <si>
    <t>rr2_num</t>
  </si>
  <si>
    <t>rr3_num</t>
  </si>
  <si>
    <t>P2.1 - PDAM information completed by licensee - secondary scheme</t>
  </si>
  <si>
    <t>P2.2: Pensions Deficit Allocation Methodology</t>
  </si>
  <si>
    <t>P2.2 - PDAM information completed and signed off by actuarial advisers - secondary scheme</t>
  </si>
  <si>
    <t>P2.5 - Calculation of Vrr</t>
  </si>
  <si>
    <t>P2.6 - IBAPA and PBAPA</t>
  </si>
  <si>
    <t>PSED (+LO)</t>
  </si>
  <si>
    <t>Paragraph 6.20 adjustments</t>
  </si>
  <si>
    <t>Adjustment to investment returns due to paragraph 5.9</t>
  </si>
  <si>
    <t>Inputs for calculating pre and post discount rates and investment returns to sub-funds</t>
  </si>
  <si>
    <t>Pre-retirement discount rate at previous valuation</t>
  </si>
  <si>
    <t>Post-retirement discount rate at previous valuation</t>
  </si>
  <si>
    <t>Proportion of Pre Cut-Off Date liabilities at the previous valuation in respect of actives and deferred pensioners</t>
  </si>
  <si>
    <t>Proportion of Pre Cut-Off Date liabilities at the previous valuation in respect of pensioners and dependants</t>
  </si>
  <si>
    <t>Proportion of Post Cut-Off Date liabilities at the previous valuation in respect of actives and deferred pensioners</t>
  </si>
  <si>
    <t>Proportion of Post Cut-Off Date liabilities at the previous valuation in respect of pensioners and dependants</t>
  </si>
  <si>
    <t>Proportion of liabilities in respect of the Pre Cut-Off Date sub-fund at the previous valuation</t>
  </si>
  <si>
    <t>Proportion of liabilities in respect of the Post Cut-Off Date sub-fund at the previous valuation</t>
  </si>
  <si>
    <t>Year ended 31 March</t>
  </si>
  <si>
    <t>Annual investment return in each year</t>
  </si>
  <si>
    <t>Formulae set out in paragraph 6.20 of Chapter 6</t>
  </si>
  <si>
    <t>(a) The weighted average discount rate in respect of Pre Cut-Off Date liabilities at the previous valuation:</t>
  </si>
  <si>
    <t>(b) The weighted average discount rate in respect of Post Cut-Off Date liabilities at the previous valuation:</t>
  </si>
  <si>
    <t>(c) The weighted average discount rate at the previous valuation:</t>
  </si>
  <si>
    <t>(d) The adjusted annual actual investment return for the Pre Cut-off Date sub-fund:</t>
  </si>
  <si>
    <t>(e) The adjusted annual actual investment return for the Post Cut-off Date sub-fund:</t>
  </si>
  <si>
    <t>(version 4.1)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</si>
</sst>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4" formatCode="_-&quot;£&quot;* #,##0.00_-;\-&quot;£&quot;* #,##0.00_-;_-&quot;£&quot;* &quot;-&quot;??_-;_-@_-"/>
    <numFmt numFmtId="164" formatCode="_(&quot;£&quot;* #,##0.00_);_(&quot;£&quot;* \(#,##0.00\);_(&quot;£&quot;* &quot;-&quot;??_);_(@_)"/>
    <numFmt numFmtId="165" formatCode="_(* #,##0.00_);_(* \(#,##0.00\);_(* &quot;-&quot;??_);_(@_)"/>
    <numFmt numFmtId="166" formatCode="0.0"/>
    <numFmt numFmtId="167" formatCode="0.0%"/>
    <numFmt numFmtId="168" formatCode="#,##0.0;[Red]\(#,##0.0\)"/>
    <numFmt numFmtId="169" formatCode="#,##0.00;[Red]\-#,##0.00;\-"/>
    <numFmt numFmtId="170" formatCode="#,##0.00;[Red]#,##0.00;\-"/>
    <numFmt numFmtId="171" formatCode="0.000000"/>
    <numFmt numFmtId="172" formatCode="[$-F800]dddd\,\ mmmm\ dd\,\ yyyy"/>
    <numFmt numFmtId="173" formatCode="0.0;[Red]\(0.0\)"/>
    <numFmt numFmtId="174" formatCode="0.000%"/>
    <numFmt numFmtId="175" formatCode="#,##0.0_);[Red]\(#,##0.0\)"/>
    <numFmt numFmtId="176" formatCode="_(* #,##0.0_);_(* \(#,##0.0\);_(* &quot;-&quot;?_);_(@_)"/>
    <numFmt numFmtId="177" formatCode="0.0\ &quot;&lt;=&quot;"/>
    <numFmt numFmtId="178" formatCode="0.000"/>
    <numFmt numFmtId="179" formatCode="0.0;\-0.0;0.0"/>
    <numFmt numFmtId="180" formatCode="0.0000000000000"/>
    <numFmt numFmtId="181" formatCode="0.0000"/>
    <numFmt numFmtId="182" formatCode="0.00000"/>
  </numFmts>
  <fonts count="64">
    <font>
      <sz val="11"/>
      <color theme="1"/>
      <name val="Calibri"/>
      <family val="2"/>
      <scheme val="minor"/>
    </font>
    <font>
      <sz val="10"/>
      <color theme="1"/>
      <name val="Verdana"/>
      <family val="2"/>
    </font>
    <font>
      <sz val="10"/>
      <color theme="1"/>
      <name val="Verdana"/>
      <family val="2"/>
    </font>
    <font>
      <sz val="10"/>
      <color indexed="8"/>
      <name val="Verdana"/>
      <family val="2"/>
    </font>
    <font>
      <sz val="10"/>
      <color indexed="8"/>
      <name val="Verdana"/>
      <family val="2"/>
    </font>
    <font>
      <sz val="10"/>
      <color indexed="8"/>
      <name val="Verdana"/>
      <family val="2"/>
    </font>
    <font>
      <sz val="11"/>
      <color indexed="8"/>
      <name val="Calibri"/>
      <family val="2"/>
    </font>
    <font>
      <sz val="11"/>
      <name val="CG Omega"/>
    </font>
    <font>
      <sz val="10"/>
      <color indexed="8"/>
      <name val="Verdana"/>
      <family val="2"/>
    </font>
    <font>
      <sz val="10"/>
      <name val="Verdana"/>
      <family val="2"/>
    </font>
    <font>
      <sz val="11"/>
      <name val="CG Omega"/>
      <family val="2"/>
    </font>
    <font>
      <sz val="10"/>
      <name val="Arial"/>
      <family val="2"/>
    </font>
    <font>
      <b/>
      <sz val="10"/>
      <name val="Verdana"/>
      <family val="2"/>
    </font>
    <font>
      <b/>
      <sz val="11"/>
      <name val="CG Omega"/>
    </font>
    <font>
      <b/>
      <sz val="10"/>
      <color indexed="8"/>
      <name val="Verdana"/>
      <family val="2"/>
    </font>
    <font>
      <b/>
      <sz val="12"/>
      <color indexed="8"/>
      <name val="Verdana"/>
      <family val="2"/>
    </font>
    <font>
      <sz val="12"/>
      <color indexed="8"/>
      <name val="Verdana"/>
      <family val="2"/>
    </font>
    <font>
      <b/>
      <sz val="11"/>
      <color indexed="8"/>
      <name val="Verdana"/>
      <family val="2"/>
    </font>
    <font>
      <b/>
      <sz val="20"/>
      <name val="CG Omega"/>
    </font>
    <font>
      <sz val="11"/>
      <color indexed="8"/>
      <name val="Verdana"/>
      <family val="2"/>
    </font>
    <font>
      <sz val="9"/>
      <color indexed="8"/>
      <name val="Verdana"/>
      <family val="2"/>
    </font>
    <font>
      <sz val="8"/>
      <name val="Calibri"/>
      <family val="2"/>
    </font>
    <font>
      <sz val="11"/>
      <color indexed="8"/>
      <name val="Calibri"/>
      <family val="2"/>
    </font>
    <font>
      <sz val="10"/>
      <color indexed="56"/>
      <name val="Verdana"/>
      <family val="2"/>
    </font>
    <font>
      <sz val="12"/>
      <color indexed="8"/>
      <name val="Verdana"/>
      <family val="2"/>
    </font>
    <font>
      <sz val="10"/>
      <color indexed="12"/>
      <name val="Verdana"/>
      <family val="2"/>
    </font>
    <font>
      <sz val="11"/>
      <color indexed="8"/>
      <name val="Verdana"/>
      <family val="2"/>
    </font>
    <font>
      <b/>
      <sz val="10"/>
      <name val="CG Omega"/>
      <family val="2"/>
    </font>
    <font>
      <sz val="12"/>
      <color indexed="8"/>
      <name val="Arial"/>
      <family val="2"/>
    </font>
    <font>
      <b/>
      <sz val="16"/>
      <name val="Verdana"/>
      <family val="2"/>
    </font>
    <font>
      <b/>
      <sz val="16"/>
      <color indexed="8"/>
      <name val="Verdana"/>
      <family val="2"/>
    </font>
    <font>
      <b/>
      <sz val="11"/>
      <color indexed="10"/>
      <name val="CG Omega"/>
    </font>
    <font>
      <b/>
      <sz val="14"/>
      <color indexed="8"/>
      <name val="Verdana"/>
      <family val="2"/>
    </font>
    <font>
      <b/>
      <sz val="11"/>
      <name val="Verdana"/>
      <family val="2"/>
    </font>
    <font>
      <b/>
      <sz val="16"/>
      <name val="CG Omega"/>
      <family val="2"/>
    </font>
    <font>
      <sz val="16"/>
      <color indexed="8"/>
      <name val="Verdana"/>
      <family val="2"/>
    </font>
    <font>
      <b/>
      <sz val="11"/>
      <color indexed="8"/>
      <name val="Calibri"/>
      <family val="2"/>
    </font>
    <font>
      <sz val="10"/>
      <color indexed="21"/>
      <name val="Verdana"/>
      <family val="2"/>
    </font>
    <font>
      <b/>
      <sz val="14"/>
      <name val="Verdana"/>
      <family val="2"/>
    </font>
    <font>
      <sz val="10"/>
      <color indexed="30"/>
      <name val="Verdana"/>
      <family val="2"/>
    </font>
    <font>
      <u/>
      <sz val="11"/>
      <color theme="10"/>
      <name val="Calibri"/>
      <family val="2"/>
    </font>
    <font>
      <sz val="10"/>
      <color theme="1"/>
      <name val="Verdana"/>
      <family val="2"/>
    </font>
    <font>
      <sz val="11"/>
      <color theme="1"/>
      <name val="Calibri"/>
      <family val="2"/>
      <scheme val="minor"/>
    </font>
    <font>
      <sz val="11"/>
      <color theme="1"/>
      <name val="Calibri"/>
      <family val="2"/>
    </font>
    <font>
      <sz val="16"/>
      <color theme="1"/>
      <name val="Calibri"/>
      <family val="2"/>
      <scheme val="minor"/>
    </font>
    <font>
      <b/>
      <sz val="16"/>
      <color theme="1"/>
      <name val="Calibri"/>
      <family val="2"/>
      <scheme val="minor"/>
    </font>
    <font>
      <b/>
      <sz val="14"/>
      <color theme="1"/>
      <name val="Calibri"/>
      <family val="2"/>
      <scheme val="minor"/>
    </font>
    <font>
      <b/>
      <sz val="11"/>
      <color theme="1"/>
      <name val="Calibri"/>
      <family val="2"/>
      <scheme val="minor"/>
    </font>
    <font>
      <sz val="11"/>
      <color theme="1"/>
      <name val="Verdana"/>
      <family val="2"/>
    </font>
    <font>
      <u val="singleAccounting"/>
      <sz val="11"/>
      <color theme="1"/>
      <name val="Calibri"/>
      <family val="2"/>
      <scheme val="minor"/>
    </font>
    <font>
      <b/>
      <sz val="9"/>
      <color indexed="81"/>
      <name val="Tahoma"/>
      <family val="2"/>
    </font>
    <font>
      <sz val="9"/>
      <color indexed="81"/>
      <name val="Tahoma"/>
      <family val="2"/>
    </font>
    <font>
      <sz val="11"/>
      <color rgb="FF7030A0"/>
      <name val="Calibri"/>
      <family val="2"/>
      <scheme val="minor"/>
    </font>
    <font>
      <sz val="11"/>
      <color theme="0" tint="-0.499984740745262"/>
      <name val="Calibri"/>
      <family val="2"/>
      <scheme val="minor"/>
    </font>
    <font>
      <sz val="9"/>
      <color theme="0" tint="-0.499984740745262"/>
      <name val="Calibri"/>
      <family val="2"/>
      <scheme val="minor"/>
    </font>
    <font>
      <sz val="9"/>
      <color theme="1"/>
      <name val="Calibri"/>
      <family val="2"/>
      <scheme val="minor"/>
    </font>
    <font>
      <u/>
      <sz val="9"/>
      <color theme="1"/>
      <name val="Calibri"/>
      <family val="2"/>
      <scheme val="minor"/>
    </font>
    <font>
      <sz val="11"/>
      <color theme="1"/>
      <name val="Arial"/>
      <family val="2"/>
    </font>
    <font>
      <i/>
      <sz val="11"/>
      <color theme="1"/>
      <name val="Calibri"/>
      <family val="2"/>
      <scheme val="minor"/>
    </font>
    <font>
      <sz val="11"/>
      <name val="Calibri"/>
      <family val="2"/>
      <scheme val="minor"/>
    </font>
    <font>
      <sz val="11"/>
      <color rgb="FFFF0000"/>
      <name val="Calibri"/>
      <family val="2"/>
      <scheme val="minor"/>
    </font>
    <font>
      <sz val="11"/>
      <name val="Verdana"/>
      <family val="2"/>
    </font>
    <font>
      <sz val="9"/>
      <color theme="1" tint="0.34998626667073579"/>
      <name val="Calibri"/>
      <family val="2"/>
      <scheme val="minor"/>
    </font>
    <font>
      <sz val="8"/>
      <color theme="1"/>
      <name val="Calibri"/>
      <family val="2"/>
      <scheme val="minor"/>
    </font>
  </fonts>
  <fills count="22">
    <fill>
      <patternFill patternType="none"/>
    </fill>
    <fill>
      <patternFill patternType="gray125"/>
    </fill>
    <fill>
      <patternFill patternType="solid">
        <fgColor indexed="26"/>
        <bgColor indexed="64"/>
      </patternFill>
    </fill>
    <fill>
      <patternFill patternType="solid">
        <fgColor indexed="42"/>
        <bgColor indexed="64"/>
      </patternFill>
    </fill>
    <fill>
      <patternFill patternType="solid">
        <fgColor indexed="27"/>
        <bgColor indexed="64"/>
      </patternFill>
    </fill>
    <fill>
      <patternFill patternType="solid">
        <fgColor indexed="9"/>
        <bgColor indexed="64"/>
      </patternFill>
    </fill>
    <fill>
      <patternFill patternType="solid">
        <fgColor indexed="22"/>
        <bgColor indexed="64"/>
      </patternFill>
    </fill>
    <fill>
      <patternFill patternType="solid">
        <fgColor indexed="53"/>
        <bgColor indexed="64"/>
      </patternFill>
    </fill>
    <fill>
      <patternFill patternType="solid">
        <fgColor indexed="47"/>
        <bgColor indexed="64"/>
      </patternFill>
    </fill>
    <fill>
      <patternFill patternType="darkUp">
        <fgColor indexed="22"/>
      </patternFill>
    </fill>
    <fill>
      <patternFill patternType="solid">
        <fgColor rgb="FFFFC000"/>
        <bgColor indexed="64"/>
      </patternFill>
    </fill>
    <fill>
      <patternFill patternType="solid">
        <fgColor rgb="FFFFFFCC"/>
        <bgColor indexed="64"/>
      </patternFill>
    </fill>
    <fill>
      <patternFill patternType="solid">
        <fgColor rgb="FFD1FFD1"/>
        <bgColor indexed="64"/>
      </patternFill>
    </fill>
    <fill>
      <patternFill patternType="solid">
        <fgColor rgb="FFD4FAFC"/>
        <bgColor indexed="64"/>
      </patternFill>
    </fill>
    <fill>
      <patternFill patternType="solid">
        <fgColor theme="6"/>
        <bgColor indexed="64"/>
      </patternFill>
    </fill>
    <fill>
      <patternFill patternType="solid">
        <fgColor rgb="FFFFFF99"/>
        <bgColor indexed="64"/>
      </patternFill>
    </fill>
    <fill>
      <patternFill patternType="solid">
        <fgColor theme="0" tint="-4.9989318521683403E-2"/>
        <bgColor indexed="64"/>
      </patternFill>
    </fill>
    <fill>
      <patternFill patternType="solid">
        <fgColor rgb="FFCCFFCC"/>
        <bgColor indexed="64"/>
      </patternFill>
    </fill>
    <fill>
      <patternFill patternType="solid">
        <fgColor rgb="FFCCFFFF"/>
        <bgColor indexed="64"/>
      </patternFill>
    </fill>
    <fill>
      <patternFill patternType="solid">
        <fgColor theme="0"/>
        <bgColor indexed="64"/>
      </patternFill>
    </fill>
    <fill>
      <patternFill patternType="solid">
        <fgColor rgb="FFFFFF00"/>
        <bgColor indexed="64"/>
      </patternFill>
    </fill>
    <fill>
      <patternFill patternType="solid">
        <fgColor theme="0" tint="-0.249977111117893"/>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indexed="64"/>
      </left>
      <right style="thin">
        <color indexed="64"/>
      </right>
      <top/>
      <bottom/>
      <diagonal/>
    </border>
    <border>
      <left/>
      <right/>
      <top/>
      <bottom style="thin">
        <color indexed="64"/>
      </bottom>
      <diagonal/>
    </border>
    <border>
      <left/>
      <right style="thin">
        <color indexed="64"/>
      </right>
      <top/>
      <bottom/>
      <diagonal/>
    </border>
    <border>
      <left/>
      <right/>
      <top/>
      <bottom style="medium">
        <color indexed="64"/>
      </bottom>
      <diagonal/>
    </border>
    <border>
      <left/>
      <right/>
      <top style="thin">
        <color indexed="64"/>
      </top>
      <bottom style="medium">
        <color indexed="64"/>
      </bottom>
      <diagonal/>
    </border>
    <border>
      <left/>
      <right/>
      <top style="thin">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s>
  <cellStyleXfs count="59">
    <xf numFmtId="0" fontId="0" fillId="0" borderId="0"/>
    <xf numFmtId="0" fontId="11" fillId="0" borderId="0" applyFont="0" applyFill="0" applyBorder="0" applyAlignment="0" applyProtection="0"/>
    <xf numFmtId="0" fontId="7" fillId="0" borderId="0"/>
    <xf numFmtId="0" fontId="7" fillId="0" borderId="0"/>
    <xf numFmtId="0" fontId="10" fillId="0" borderId="0"/>
    <xf numFmtId="0" fontId="10" fillId="0" borderId="0"/>
    <xf numFmtId="0" fontId="10" fillId="0" borderId="0"/>
    <xf numFmtId="0" fontId="10" fillId="0" borderId="0"/>
    <xf numFmtId="0" fontId="7" fillId="0" borderId="0"/>
    <xf numFmtId="0" fontId="10" fillId="0" borderId="0"/>
    <xf numFmtId="165" fontId="10" fillId="0" borderId="0" applyFont="0" applyFill="0" applyBorder="0" applyAlignment="0" applyProtection="0"/>
    <xf numFmtId="164" fontId="22" fillId="0" borderId="0" applyFont="0" applyFill="0" applyBorder="0" applyAlignment="0" applyProtection="0"/>
    <xf numFmtId="0" fontId="40" fillId="0" borderId="0" applyNumberFormat="0" applyFill="0" applyBorder="0" applyAlignment="0" applyProtection="0">
      <alignment vertical="top"/>
      <protection locked="0"/>
    </xf>
    <xf numFmtId="0" fontId="41" fillId="0" borderId="0"/>
    <xf numFmtId="0" fontId="41" fillId="0" borderId="0"/>
    <xf numFmtId="0" fontId="10" fillId="0" borderId="0"/>
    <xf numFmtId="0" fontId="41" fillId="0" borderId="0"/>
    <xf numFmtId="0" fontId="41" fillId="0" borderId="0"/>
    <xf numFmtId="0" fontId="41" fillId="0" borderId="0"/>
    <xf numFmtId="0" fontId="11" fillId="0" borderId="0"/>
    <xf numFmtId="0" fontId="41" fillId="0" borderId="0"/>
    <xf numFmtId="0" fontId="7" fillId="0" borderId="0"/>
    <xf numFmtId="0" fontId="7" fillId="0" borderId="0"/>
    <xf numFmtId="0" fontId="41" fillId="0" borderId="0"/>
    <xf numFmtId="0" fontId="41" fillId="0" borderId="0"/>
    <xf numFmtId="0" fontId="7" fillId="0" borderId="0"/>
    <xf numFmtId="0" fontId="10" fillId="0" borderId="0"/>
    <xf numFmtId="9" fontId="6" fillId="0" borderId="0" applyFont="0" applyFill="0" applyBorder="0" applyAlignment="0" applyProtection="0"/>
    <xf numFmtId="9" fontId="8" fillId="0" borderId="0" applyFont="0" applyFill="0" applyBorder="0" applyAlignment="0" applyProtection="0"/>
    <xf numFmtId="9" fontId="4" fillId="0" borderId="0" applyFont="0" applyFill="0" applyBorder="0" applyAlignment="0" applyProtection="0"/>
    <xf numFmtId="169" fontId="41" fillId="10" borderId="1">
      <alignment vertical="center"/>
    </xf>
    <xf numFmtId="171" fontId="41" fillId="10" borderId="1">
      <alignment vertical="center"/>
    </xf>
    <xf numFmtId="0" fontId="41" fillId="10" borderId="1">
      <alignment vertical="center"/>
    </xf>
    <xf numFmtId="170" fontId="41" fillId="0" borderId="0">
      <protection locked="0"/>
    </xf>
    <xf numFmtId="169" fontId="41" fillId="11" borderId="1">
      <alignment vertical="center"/>
      <protection locked="0"/>
    </xf>
    <xf numFmtId="169" fontId="41" fillId="12" borderId="1">
      <alignment vertical="center"/>
    </xf>
    <xf numFmtId="169" fontId="41" fillId="13" borderId="1">
      <alignment horizontal="right" vertical="center"/>
      <protection locked="0"/>
    </xf>
    <xf numFmtId="9" fontId="42" fillId="0" borderId="0" applyFont="0" applyFill="0" applyBorder="0" applyAlignment="0" applyProtection="0"/>
    <xf numFmtId="0" fontId="2" fillId="0" borderId="0"/>
    <xf numFmtId="44" fontId="6"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xf numFmtId="9" fontId="3" fillId="0" borderId="0" applyFont="0" applyFill="0" applyBorder="0" applyAlignment="0" applyProtection="0"/>
    <xf numFmtId="169" fontId="1" fillId="10" borderId="1">
      <alignment vertical="center"/>
    </xf>
    <xf numFmtId="171" fontId="1" fillId="10" borderId="1">
      <alignment vertical="center"/>
    </xf>
    <xf numFmtId="0" fontId="1" fillId="10" borderId="1">
      <alignment vertical="center"/>
    </xf>
    <xf numFmtId="170" fontId="1" fillId="0" borderId="0">
      <protection locked="0"/>
    </xf>
    <xf numFmtId="169" fontId="1" fillId="11" borderId="1">
      <alignment vertical="center"/>
      <protection locked="0"/>
    </xf>
    <xf numFmtId="169" fontId="1" fillId="12" borderId="1">
      <alignment vertical="center"/>
    </xf>
    <xf numFmtId="169" fontId="1" fillId="13" borderId="1">
      <alignment horizontal="right" vertical="center"/>
      <protection locked="0"/>
    </xf>
    <xf numFmtId="0" fontId="1" fillId="0" borderId="0"/>
    <xf numFmtId="44" fontId="6" fillId="0" borderId="0" applyFont="0" applyFill="0" applyBorder="0" applyAlignment="0" applyProtection="0"/>
  </cellStyleXfs>
  <cellXfs count="371">
    <xf numFmtId="0" fontId="0" fillId="0" borderId="0" xfId="0"/>
    <xf numFmtId="0" fontId="7" fillId="0" borderId="0" xfId="21"/>
    <xf numFmtId="0" fontId="16" fillId="5" borderId="0" xfId="16" applyFont="1" applyFill="1"/>
    <xf numFmtId="0" fontId="16" fillId="5" borderId="0" xfId="16" applyFont="1" applyFill="1" applyAlignment="1">
      <alignment horizontal="center"/>
    </xf>
    <xf numFmtId="0" fontId="17" fillId="5" borderId="0" xfId="26" applyFont="1" applyFill="1"/>
    <xf numFmtId="0" fontId="0" fillId="0" borderId="0" xfId="0" applyAlignment="1">
      <alignment horizontal="left" vertical="top"/>
    </xf>
    <xf numFmtId="0" fontId="15" fillId="5" borderId="0" xfId="19" applyFont="1" applyFill="1"/>
    <xf numFmtId="0" fontId="14" fillId="0" borderId="1" xfId="0" applyFont="1" applyBorder="1" applyAlignment="1">
      <alignment vertical="top" wrapText="1"/>
    </xf>
    <xf numFmtId="0" fontId="14" fillId="5" borderId="1" xfId="16" applyFont="1" applyFill="1" applyBorder="1" applyAlignment="1">
      <alignment wrapText="1"/>
    </xf>
    <xf numFmtId="0" fontId="17" fillId="5" borderId="0" xfId="26" applyFont="1" applyFill="1" applyAlignment="1">
      <alignment wrapText="1"/>
    </xf>
    <xf numFmtId="0" fontId="19" fillId="0" borderId="0" xfId="0" applyFont="1"/>
    <xf numFmtId="0" fontId="19" fillId="0" borderId="0" xfId="0" applyFont="1" applyAlignment="1">
      <alignment wrapText="1"/>
    </xf>
    <xf numFmtId="0" fontId="19" fillId="0" borderId="1" xfId="0" applyFont="1" applyBorder="1" applyAlignment="1">
      <alignment horizontal="left" vertical="top" wrapText="1" indent="1"/>
    </xf>
    <xf numFmtId="0" fontId="12" fillId="5" borderId="1" xfId="0" applyFont="1" applyFill="1" applyBorder="1" applyAlignment="1">
      <alignment horizontal="center" vertical="center" wrapText="1"/>
    </xf>
    <xf numFmtId="0" fontId="17" fillId="5" borderId="0" xfId="26" applyFont="1" applyFill="1" applyAlignment="1">
      <alignment horizontal="left" vertical="center"/>
    </xf>
    <xf numFmtId="0" fontId="0" fillId="0" borderId="1" xfId="0" applyBorder="1"/>
    <xf numFmtId="0" fontId="20" fillId="0" borderId="0" xfId="0" applyFont="1" applyAlignment="1">
      <alignment vertical="top"/>
    </xf>
    <xf numFmtId="0" fontId="0" fillId="0" borderId="1" xfId="0" applyBorder="1" applyAlignment="1">
      <alignment vertical="center" wrapText="1"/>
    </xf>
    <xf numFmtId="0" fontId="0" fillId="0" borderId="0" xfId="0" applyAlignment="1">
      <alignment wrapText="1"/>
    </xf>
    <xf numFmtId="0" fontId="5" fillId="0" borderId="0" xfId="0" applyFont="1"/>
    <xf numFmtId="0" fontId="14" fillId="0" borderId="0" xfId="0" applyFont="1"/>
    <xf numFmtId="0" fontId="18" fillId="7" borderId="0" xfId="21" applyFont="1" applyFill="1"/>
    <xf numFmtId="0" fontId="13" fillId="7" borderId="0" xfId="21" applyFont="1" applyFill="1"/>
    <xf numFmtId="169" fontId="41" fillId="10" borderId="1" xfId="30" applyAlignment="1">
      <alignment horizontal="center" vertical="center"/>
    </xf>
    <xf numFmtId="0" fontId="19" fillId="0" borderId="6" xfId="0" applyFont="1" applyBorder="1" applyAlignment="1">
      <alignment horizontal="centerContinuous" wrapText="1"/>
    </xf>
    <xf numFmtId="0" fontId="19" fillId="0" borderId="3" xfId="0" applyFont="1" applyBorder="1" applyAlignment="1">
      <alignment horizontal="centerContinuous" wrapText="1"/>
    </xf>
    <xf numFmtId="174" fontId="9" fillId="5" borderId="1" xfId="27" applyNumberFormat="1" applyFont="1" applyFill="1" applyBorder="1" applyAlignment="1">
      <alignment horizontal="center" vertical="center"/>
    </xf>
    <xf numFmtId="0" fontId="14" fillId="0" borderId="1" xfId="0" applyFont="1" applyBorder="1"/>
    <xf numFmtId="0" fontId="14" fillId="5" borderId="0" xfId="26" applyFont="1" applyFill="1"/>
    <xf numFmtId="0" fontId="0" fillId="0" borderId="1" xfId="0" applyBorder="1" applyAlignment="1">
      <alignment wrapText="1"/>
    </xf>
    <xf numFmtId="0" fontId="28" fillId="5" borderId="0" xfId="16" applyFont="1" applyFill="1"/>
    <xf numFmtId="0" fontId="14" fillId="5" borderId="0" xfId="16" applyFont="1" applyFill="1" applyAlignment="1">
      <alignment horizontal="left" vertical="top"/>
    </xf>
    <xf numFmtId="0" fontId="14" fillId="5" borderId="0" xfId="16" quotePrefix="1" applyFont="1" applyFill="1" applyAlignment="1">
      <alignment horizontal="left" vertical="top"/>
    </xf>
    <xf numFmtId="0" fontId="7" fillId="0" borderId="0" xfId="20" applyFont="1"/>
    <xf numFmtId="0" fontId="7" fillId="0" borderId="0" xfId="20" applyFont="1" applyProtection="1">
      <protection locked="0"/>
    </xf>
    <xf numFmtId="0" fontId="27" fillId="0" borderId="0" xfId="8" applyFont="1" applyProtection="1">
      <protection locked="0"/>
    </xf>
    <xf numFmtId="0" fontId="29" fillId="0" borderId="0" xfId="8" applyFont="1" applyAlignment="1">
      <alignment horizontal="center"/>
    </xf>
    <xf numFmtId="176" fontId="31" fillId="0" borderId="0" xfId="20" applyNumberFormat="1" applyFont="1" applyAlignment="1">
      <alignment horizontal="left"/>
    </xf>
    <xf numFmtId="0" fontId="4" fillId="0" borderId="0" xfId="20" applyFont="1"/>
    <xf numFmtId="0" fontId="41" fillId="0" borderId="0" xfId="20"/>
    <xf numFmtId="3" fontId="9" fillId="0" borderId="1" xfId="19" applyNumberFormat="1" applyFont="1" applyBorder="1"/>
    <xf numFmtId="0" fontId="7" fillId="2" borderId="1" xfId="20" applyFont="1" applyFill="1" applyBorder="1"/>
    <xf numFmtId="0" fontId="7" fillId="3" borderId="1" xfId="20" applyFont="1" applyFill="1" applyBorder="1"/>
    <xf numFmtId="0" fontId="7" fillId="4" borderId="1" xfId="20" applyFont="1" applyFill="1" applyBorder="1"/>
    <xf numFmtId="0" fontId="7" fillId="8" borderId="1" xfId="20" applyFont="1" applyFill="1" applyBorder="1"/>
    <xf numFmtId="0" fontId="7" fillId="9" borderId="1" xfId="20" applyFont="1" applyFill="1" applyBorder="1"/>
    <xf numFmtId="0" fontId="7" fillId="0" borderId="1" xfId="20" applyFont="1" applyBorder="1"/>
    <xf numFmtId="0" fontId="7" fillId="0" borderId="0" xfId="20" quotePrefix="1" applyFont="1"/>
    <xf numFmtId="0" fontId="12" fillId="0" borderId="4" xfId="20" applyFont="1" applyBorder="1" applyAlignment="1">
      <alignment horizontal="center"/>
    </xf>
    <xf numFmtId="0" fontId="12" fillId="0" borderId="17" xfId="20" applyFont="1" applyBorder="1" applyAlignment="1">
      <alignment horizontal="center"/>
    </xf>
    <xf numFmtId="0" fontId="9" fillId="0" borderId="1" xfId="20" applyFont="1" applyBorder="1" applyAlignment="1">
      <alignment horizontal="center"/>
    </xf>
    <xf numFmtId="0" fontId="24" fillId="5" borderId="0" xfId="19" applyFont="1" applyFill="1"/>
    <xf numFmtId="0" fontId="24" fillId="5" borderId="18" xfId="19" applyFont="1" applyFill="1" applyBorder="1"/>
    <xf numFmtId="169" fontId="41" fillId="11" borderId="1" xfId="34">
      <alignment vertical="center"/>
      <protection locked="0"/>
    </xf>
    <xf numFmtId="0" fontId="24" fillId="5" borderId="0" xfId="25" applyFont="1" applyFill="1"/>
    <xf numFmtId="0" fontId="0" fillId="0" borderId="0" xfId="25" applyFont="1" applyAlignment="1">
      <alignment horizontal="left"/>
    </xf>
    <xf numFmtId="0" fontId="4" fillId="0" borderId="0" xfId="25" applyFont="1" applyAlignment="1">
      <alignment horizontal="center"/>
    </xf>
    <xf numFmtId="0" fontId="4" fillId="0" borderId="0" xfId="25" applyFont="1"/>
    <xf numFmtId="0" fontId="41" fillId="2" borderId="1" xfId="20" applyFill="1" applyBorder="1" applyAlignment="1">
      <alignment vertical="top" wrapText="1"/>
    </xf>
    <xf numFmtId="0" fontId="9" fillId="2" borderId="1" xfId="20" applyFont="1" applyFill="1" applyBorder="1" applyAlignment="1">
      <alignment vertical="top" wrapText="1"/>
    </xf>
    <xf numFmtId="0" fontId="32" fillId="0" borderId="0" xfId="0" applyFont="1" applyAlignment="1">
      <alignment horizontal="center"/>
    </xf>
    <xf numFmtId="167" fontId="9" fillId="5" borderId="1" xfId="10" applyNumberFormat="1" applyFont="1" applyFill="1" applyBorder="1" applyAlignment="1">
      <alignment horizontal="center" vertical="center"/>
    </xf>
    <xf numFmtId="167" fontId="9" fillId="5" borderId="1" xfId="10" applyNumberFormat="1" applyFont="1" applyFill="1" applyBorder="1" applyAlignment="1">
      <alignment horizontal="left" vertical="center"/>
    </xf>
    <xf numFmtId="3" fontId="9" fillId="0" borderId="0" xfId="19" applyNumberFormat="1" applyFont="1"/>
    <xf numFmtId="0" fontId="33" fillId="5" borderId="0" xfId="26" applyFont="1" applyFill="1"/>
    <xf numFmtId="0" fontId="9" fillId="0" borderId="0" xfId="0" applyFont="1"/>
    <xf numFmtId="0" fontId="9" fillId="0" borderId="0" xfId="0" applyFont="1" applyAlignment="1">
      <alignment horizontal="right"/>
    </xf>
    <xf numFmtId="0" fontId="33" fillId="5" borderId="19" xfId="26" applyFont="1" applyFill="1" applyBorder="1"/>
    <xf numFmtId="0" fontId="10" fillId="0" borderId="0" xfId="20" applyFont="1"/>
    <xf numFmtId="0" fontId="40" fillId="0" borderId="0" xfId="12" applyAlignment="1" applyProtection="1"/>
    <xf numFmtId="0" fontId="34" fillId="7" borderId="0" xfId="21" applyFont="1" applyFill="1" applyAlignment="1">
      <alignment horizontal="left"/>
    </xf>
    <xf numFmtId="0" fontId="30" fillId="5" borderId="0" xfId="20" applyFont="1" applyFill="1"/>
    <xf numFmtId="0" fontId="35" fillId="5" borderId="0" xfId="20" applyFont="1" applyFill="1"/>
    <xf numFmtId="0" fontId="35" fillId="5" borderId="18" xfId="20" applyFont="1" applyFill="1" applyBorder="1"/>
    <xf numFmtId="0" fontId="34" fillId="7" borderId="0" xfId="21" applyFont="1" applyFill="1"/>
    <xf numFmtId="0" fontId="16" fillId="5" borderId="6" xfId="16" applyFont="1" applyFill="1" applyBorder="1" applyAlignment="1">
      <alignment horizontal="center"/>
    </xf>
    <xf numFmtId="0" fontId="19" fillId="0" borderId="6" xfId="0" applyFont="1" applyBorder="1" applyAlignment="1">
      <alignment horizontal="center"/>
    </xf>
    <xf numFmtId="0" fontId="19" fillId="0" borderId="3" xfId="0" applyFont="1" applyBorder="1" applyAlignment="1">
      <alignment horizontal="center"/>
    </xf>
    <xf numFmtId="0" fontId="34" fillId="5" borderId="0" xfId="21" applyFont="1" applyFill="1" applyAlignment="1">
      <alignment horizontal="left"/>
    </xf>
    <xf numFmtId="0" fontId="29" fillId="7" borderId="0" xfId="21" applyFont="1" applyFill="1"/>
    <xf numFmtId="172" fontId="9" fillId="5" borderId="0" xfId="10" quotePrefix="1" applyNumberFormat="1" applyFont="1" applyFill="1" applyBorder="1" applyAlignment="1">
      <alignment horizontal="centerContinuous" vertical="center"/>
    </xf>
    <xf numFmtId="0" fontId="14" fillId="0" borderId="0" xfId="13" applyFont="1" applyAlignment="1">
      <alignment vertical="top"/>
    </xf>
    <xf numFmtId="0" fontId="40" fillId="0" borderId="0" xfId="12" quotePrefix="1" applyAlignment="1" applyProtection="1"/>
    <xf numFmtId="0" fontId="37" fillId="0" borderId="0" xfId="0" applyFont="1" applyAlignment="1">
      <alignment horizontal="left" indent="4"/>
    </xf>
    <xf numFmtId="0" fontId="38" fillId="5" borderId="0" xfId="21" applyFont="1" applyFill="1"/>
    <xf numFmtId="0" fontId="26" fillId="0" borderId="0" xfId="0" applyFont="1"/>
    <xf numFmtId="167" fontId="39" fillId="2" borderId="1" xfId="27" applyNumberFormat="1" applyFont="1" applyFill="1" applyBorder="1" applyAlignment="1" applyProtection="1">
      <alignment vertical="center"/>
      <protection locked="0"/>
    </xf>
    <xf numFmtId="0" fontId="3" fillId="0" borderId="1" xfId="0" applyFont="1" applyBorder="1" applyAlignment="1">
      <alignment wrapText="1"/>
    </xf>
    <xf numFmtId="0" fontId="3" fillId="0" borderId="2" xfId="0" applyFont="1" applyBorder="1" applyAlignment="1">
      <alignment wrapText="1"/>
    </xf>
    <xf numFmtId="0" fontId="3" fillId="0" borderId="0" xfId="8" applyFont="1" applyAlignment="1">
      <alignment horizontal="center"/>
    </xf>
    <xf numFmtId="0" fontId="3" fillId="5" borderId="4" xfId="17" applyFont="1" applyFill="1" applyBorder="1"/>
    <xf numFmtId="0" fontId="0" fillId="0" borderId="20" xfId="0" applyBorder="1"/>
    <xf numFmtId="166" fontId="0" fillId="0" borderId="0" xfId="0" applyNumberFormat="1"/>
    <xf numFmtId="0" fontId="0" fillId="14" borderId="0" xfId="0" applyFill="1"/>
    <xf numFmtId="0" fontId="44" fillId="14" borderId="0" xfId="0" applyFont="1" applyFill="1"/>
    <xf numFmtId="166" fontId="45" fillId="0" borderId="20" xfId="0" applyNumberFormat="1" applyFont="1" applyBorder="1" applyAlignment="1">
      <alignment horizontal="left"/>
    </xf>
    <xf numFmtId="177" fontId="46" fillId="0" borderId="20" xfId="0" quotePrefix="1" applyNumberFormat="1" applyFont="1" applyBorder="1" applyAlignment="1">
      <alignment horizontal="right"/>
    </xf>
    <xf numFmtId="0" fontId="47" fillId="0" borderId="0" xfId="0" applyFont="1"/>
    <xf numFmtId="0" fontId="47" fillId="0" borderId="21" xfId="0" applyFont="1" applyBorder="1"/>
    <xf numFmtId="166" fontId="0" fillId="0" borderId="0" xfId="0" applyNumberFormat="1" applyAlignment="1">
      <alignment horizontal="center"/>
    </xf>
    <xf numFmtId="0" fontId="0" fillId="0" borderId="0" xfId="0" applyAlignment="1">
      <alignment horizontal="center"/>
    </xf>
    <xf numFmtId="0" fontId="47" fillId="0" borderId="0" xfId="0" applyFont="1" applyAlignment="1">
      <alignment horizontal="center"/>
    </xf>
    <xf numFmtId="166" fontId="47" fillId="15" borderId="0" xfId="0" applyNumberFormat="1" applyFont="1" applyFill="1" applyAlignment="1" applyProtection="1">
      <alignment vertical="center"/>
      <protection locked="0"/>
    </xf>
    <xf numFmtId="0" fontId="0" fillId="0" borderId="21" xfId="0" applyBorder="1"/>
    <xf numFmtId="166" fontId="0" fillId="0" borderId="21" xfId="0" applyNumberFormat="1" applyBorder="1"/>
    <xf numFmtId="0" fontId="0" fillId="0" borderId="0" xfId="0" applyAlignment="1">
      <alignment vertical="center"/>
    </xf>
    <xf numFmtId="166" fontId="0" fillId="15" borderId="0" xfId="0" applyNumberFormat="1" applyFill="1" applyAlignment="1" applyProtection="1">
      <alignment vertical="center"/>
      <protection locked="0"/>
    </xf>
    <xf numFmtId="178" fontId="0" fillId="0" borderId="0" xfId="0" applyNumberFormat="1"/>
    <xf numFmtId="10" fontId="0" fillId="15" borderId="0" xfId="0" applyNumberFormat="1" applyFill="1" applyProtection="1">
      <protection locked="0"/>
    </xf>
    <xf numFmtId="0" fontId="46" fillId="0" borderId="20" xfId="0" quotePrefix="1" applyFont="1" applyBorder="1" applyAlignment="1">
      <alignment horizontal="right"/>
    </xf>
    <xf numFmtId="179" fontId="45" fillId="0" borderId="0" xfId="0" applyNumberFormat="1" applyFont="1" applyAlignment="1">
      <alignment horizontal="left"/>
    </xf>
    <xf numFmtId="0" fontId="46" fillId="0" borderId="0" xfId="0" quotePrefix="1" applyFont="1" applyAlignment="1">
      <alignment horizontal="right"/>
    </xf>
    <xf numFmtId="166" fontId="0" fillId="0" borderId="0" xfId="0" applyNumberFormat="1" applyAlignment="1">
      <alignment vertical="center"/>
    </xf>
    <xf numFmtId="0" fontId="0" fillId="0" borderId="0" xfId="0" applyAlignment="1">
      <alignment horizontal="right" vertical="center"/>
    </xf>
    <xf numFmtId="178" fontId="0" fillId="0" borderId="0" xfId="0" applyNumberFormat="1" applyAlignment="1">
      <alignment horizontal="right" vertical="center"/>
    </xf>
    <xf numFmtId="167" fontId="0" fillId="15" borderId="0" xfId="0" applyNumberFormat="1" applyFill="1" applyProtection="1">
      <protection locked="0"/>
    </xf>
    <xf numFmtId="9" fontId="0" fillId="15" borderId="0" xfId="0" applyNumberFormat="1" applyFill="1" applyProtection="1">
      <protection locked="0"/>
    </xf>
    <xf numFmtId="166" fontId="0" fillId="15" borderId="0" xfId="0" applyNumberFormat="1" applyFill="1" applyProtection="1">
      <protection locked="0"/>
    </xf>
    <xf numFmtId="0" fontId="0" fillId="0" borderId="22" xfId="0" applyBorder="1"/>
    <xf numFmtId="0" fontId="49" fillId="0" borderId="0" xfId="0" applyFont="1" applyAlignment="1">
      <alignment horizontal="right"/>
    </xf>
    <xf numFmtId="0" fontId="16" fillId="5" borderId="0" xfId="38" applyFont="1" applyFill="1"/>
    <xf numFmtId="180" fontId="0" fillId="0" borderId="0" xfId="0" applyNumberFormat="1"/>
    <xf numFmtId="0" fontId="52" fillId="0" borderId="0" xfId="0" applyFont="1"/>
    <xf numFmtId="0" fontId="47" fillId="0" borderId="24" xfId="0" applyFont="1" applyBorder="1"/>
    <xf numFmtId="0" fontId="0" fillId="0" borderId="26" xfId="0" applyBorder="1"/>
    <xf numFmtId="181" fontId="0" fillId="0" borderId="0" xfId="0" applyNumberFormat="1"/>
    <xf numFmtId="9" fontId="0" fillId="0" borderId="0" xfId="0" applyNumberFormat="1"/>
    <xf numFmtId="0" fontId="53" fillId="0" borderId="0" xfId="0" applyFont="1" applyAlignment="1">
      <alignment horizontal="centerContinuous" vertical="top"/>
    </xf>
    <xf numFmtId="0" fontId="54" fillId="0" borderId="0" xfId="0" applyFont="1" applyAlignment="1">
      <alignment horizontal="centerContinuous" vertical="top"/>
    </xf>
    <xf numFmtId="0" fontId="49" fillId="0" borderId="0" xfId="0" applyFont="1" applyAlignment="1">
      <alignment horizontal="left"/>
    </xf>
    <xf numFmtId="0" fontId="49" fillId="0" borderId="0" xfId="0" applyFont="1"/>
    <xf numFmtId="9" fontId="0" fillId="0" borderId="0" xfId="37" applyFont="1"/>
    <xf numFmtId="9" fontId="57" fillId="0" borderId="0" xfId="0" applyNumberFormat="1" applyFont="1" applyAlignment="1">
      <alignment horizontal="center" vertical="center" wrapText="1"/>
    </xf>
    <xf numFmtId="0" fontId="57" fillId="0" borderId="0" xfId="0" applyFont="1" applyAlignment="1">
      <alignment horizontal="center" vertical="center" wrapText="1"/>
    </xf>
    <xf numFmtId="3" fontId="57" fillId="0" borderId="0" xfId="0" applyNumberFormat="1" applyFont="1" applyAlignment="1">
      <alignment horizontal="center" vertical="center" wrapText="1"/>
    </xf>
    <xf numFmtId="0" fontId="29" fillId="7" borderId="0" xfId="21" applyFont="1" applyFill="1" applyAlignment="1">
      <alignment horizontal="left"/>
    </xf>
    <xf numFmtId="0" fontId="3" fillId="0" borderId="1" xfId="0" applyFont="1" applyBorder="1" applyAlignment="1">
      <alignment vertical="top" wrapText="1"/>
    </xf>
    <xf numFmtId="0" fontId="27" fillId="7" borderId="0" xfId="21" applyFont="1" applyFill="1"/>
    <xf numFmtId="0" fontId="3" fillId="0" borderId="1" xfId="0" quotePrefix="1" applyFont="1" applyBorder="1" applyAlignment="1">
      <alignment horizontal="left" vertical="top" wrapText="1"/>
    </xf>
    <xf numFmtId="9" fontId="0" fillId="11" borderId="0" xfId="0" applyNumberFormat="1" applyFill="1" applyProtection="1">
      <protection locked="0"/>
    </xf>
    <xf numFmtId="167" fontId="0" fillId="11" borderId="0" xfId="0" applyNumberFormat="1" applyFill="1" applyProtection="1">
      <protection locked="0"/>
    </xf>
    <xf numFmtId="166" fontId="0" fillId="11" borderId="0" xfId="0" applyNumberFormat="1" applyFill="1" applyAlignment="1" applyProtection="1">
      <alignment horizontal="center" vertical="center"/>
      <protection locked="0"/>
    </xf>
    <xf numFmtId="166" fontId="0" fillId="11" borderId="0" xfId="0" applyNumberFormat="1" applyFill="1" applyProtection="1">
      <protection locked="0"/>
    </xf>
    <xf numFmtId="178" fontId="0" fillId="11" borderId="0" xfId="0" applyNumberFormat="1" applyFill="1" applyProtection="1">
      <protection locked="0"/>
    </xf>
    <xf numFmtId="174" fontId="0" fillId="11" borderId="0" xfId="0" applyNumberFormat="1" applyFill="1" applyProtection="1">
      <protection locked="0"/>
    </xf>
    <xf numFmtId="0" fontId="0" fillId="17" borderId="0" xfId="0" applyFill="1"/>
    <xf numFmtId="166" fontId="0" fillId="17" borderId="22" xfId="0" applyNumberFormat="1" applyFill="1" applyBorder="1"/>
    <xf numFmtId="166" fontId="0" fillId="17" borderId="21" xfId="0" applyNumberFormat="1" applyFill="1" applyBorder="1"/>
    <xf numFmtId="9" fontId="0" fillId="17" borderId="21" xfId="37" applyFont="1" applyFill="1" applyBorder="1"/>
    <xf numFmtId="178" fontId="0" fillId="17" borderId="0" xfId="0" applyNumberFormat="1" applyFill="1"/>
    <xf numFmtId="178" fontId="0" fillId="17" borderId="21" xfId="0" applyNumberFormat="1" applyFill="1" applyBorder="1" applyAlignment="1">
      <alignment horizontal="right" vertical="center"/>
    </xf>
    <xf numFmtId="166" fontId="0" fillId="17" borderId="0" xfId="0" applyNumberFormat="1" applyFill="1" applyAlignment="1">
      <alignment vertical="center"/>
    </xf>
    <xf numFmtId="179" fontId="45" fillId="17" borderId="0" xfId="0" applyNumberFormat="1" applyFont="1" applyFill="1" applyAlignment="1">
      <alignment horizontal="left"/>
    </xf>
    <xf numFmtId="166" fontId="45" fillId="17" borderId="20" xfId="0" applyNumberFormat="1" applyFont="1" applyFill="1" applyBorder="1" applyAlignment="1">
      <alignment horizontal="left"/>
    </xf>
    <xf numFmtId="178" fontId="0" fillId="17" borderId="0" xfId="0" applyNumberFormat="1" applyFill="1" applyAlignment="1">
      <alignment vertical="center"/>
    </xf>
    <xf numFmtId="166" fontId="0" fillId="17" borderId="22" xfId="0" applyNumberFormat="1" applyFill="1" applyBorder="1" applyAlignment="1">
      <alignment horizontal="center"/>
    </xf>
    <xf numFmtId="166" fontId="0" fillId="17" borderId="0" xfId="0" applyNumberFormat="1" applyFill="1" applyAlignment="1">
      <alignment horizontal="center"/>
    </xf>
    <xf numFmtId="166" fontId="0" fillId="17" borderId="21" xfId="0" applyNumberFormat="1" applyFill="1" applyBorder="1" applyAlignment="1">
      <alignment horizontal="center"/>
    </xf>
    <xf numFmtId="166" fontId="0" fillId="17" borderId="0" xfId="0" applyNumberFormat="1" applyFill="1"/>
    <xf numFmtId="166" fontId="0" fillId="17" borderId="20" xfId="0" applyNumberFormat="1" applyFill="1" applyBorder="1"/>
    <xf numFmtId="10" fontId="0" fillId="11" borderId="0" xfId="0" applyNumberFormat="1" applyFill="1" applyProtection="1">
      <protection locked="0"/>
    </xf>
    <xf numFmtId="166" fontId="0" fillId="11" borderId="0" xfId="0" applyNumberFormat="1" applyFill="1" applyAlignment="1" applyProtection="1">
      <alignment vertical="center"/>
      <protection locked="0"/>
    </xf>
    <xf numFmtId="178" fontId="0" fillId="17" borderId="25" xfId="0" applyNumberFormat="1" applyFill="1" applyBorder="1"/>
    <xf numFmtId="182" fontId="47" fillId="17" borderId="23" xfId="0" applyNumberFormat="1" applyFont="1" applyFill="1" applyBorder="1"/>
    <xf numFmtId="0" fontId="0" fillId="18" borderId="0" xfId="0" applyFill="1"/>
    <xf numFmtId="166" fontId="0" fillId="17" borderId="21" xfId="0" applyNumberFormat="1" applyFill="1" applyBorder="1" applyAlignment="1">
      <alignment horizontal="center" vertical="center"/>
    </xf>
    <xf numFmtId="166" fontId="47" fillId="17" borderId="21" xfId="0" applyNumberFormat="1" applyFont="1" applyFill="1" applyBorder="1" applyAlignment="1">
      <alignment vertical="center"/>
    </xf>
    <xf numFmtId="9" fontId="0" fillId="18" borderId="0" xfId="0" applyNumberFormat="1" applyFill="1"/>
    <xf numFmtId="178" fontId="0" fillId="18" borderId="0" xfId="0" applyNumberFormat="1" applyFill="1" applyAlignment="1">
      <alignment horizontal="right" vertical="center"/>
    </xf>
    <xf numFmtId="178" fontId="0" fillId="18" borderId="0" xfId="0" applyNumberFormat="1" applyFill="1" applyAlignment="1">
      <alignment horizontal="center"/>
    </xf>
    <xf numFmtId="166" fontId="47" fillId="18" borderId="0" xfId="0" applyNumberFormat="1" applyFont="1" applyFill="1" applyAlignment="1">
      <alignment vertical="center"/>
    </xf>
    <xf numFmtId="178" fontId="0" fillId="18" borderId="0" xfId="0" applyNumberFormat="1" applyFill="1" applyAlignment="1">
      <alignment vertical="center"/>
    </xf>
    <xf numFmtId="9" fontId="0" fillId="17" borderId="0" xfId="37" applyFont="1" applyFill="1"/>
    <xf numFmtId="9" fontId="47" fillId="17" borderId="0" xfId="37" applyFont="1" applyFill="1" applyAlignment="1">
      <alignment horizontal="center"/>
    </xf>
    <xf numFmtId="178" fontId="0" fillId="18" borderId="0" xfId="0" applyNumberFormat="1" applyFill="1"/>
    <xf numFmtId="181" fontId="0" fillId="18" borderId="21" xfId="0" applyNumberFormat="1" applyFill="1" applyBorder="1"/>
    <xf numFmtId="178" fontId="0" fillId="17" borderId="21" xfId="0" applyNumberFormat="1" applyFill="1" applyBorder="1"/>
    <xf numFmtId="0" fontId="7" fillId="19" borderId="0" xfId="20" applyFont="1" applyFill="1"/>
    <xf numFmtId="0" fontId="0" fillId="19" borderId="0" xfId="0" applyFill="1"/>
    <xf numFmtId="0" fontId="3" fillId="0" borderId="0" xfId="13" applyFont="1" applyAlignment="1">
      <alignment vertical="top"/>
    </xf>
    <xf numFmtId="0" fontId="3" fillId="2" borderId="1" xfId="20" applyFont="1" applyFill="1" applyBorder="1" applyAlignment="1">
      <alignment vertical="top" wrapText="1"/>
    </xf>
    <xf numFmtId="0" fontId="1" fillId="2" borderId="1" xfId="20" applyFont="1" applyFill="1" applyBorder="1" applyAlignment="1">
      <alignment vertical="top" wrapText="1"/>
    </xf>
    <xf numFmtId="0" fontId="3" fillId="5" borderId="0" xfId="17" applyFont="1" applyFill="1"/>
    <xf numFmtId="0" fontId="3" fillId="0" borderId="9" xfId="8" applyFont="1" applyBorder="1"/>
    <xf numFmtId="0" fontId="3" fillId="0" borderId="10" xfId="8" applyFont="1" applyBorder="1"/>
    <xf numFmtId="0" fontId="3" fillId="0" borderId="11" xfId="8" applyFont="1" applyBorder="1"/>
    <xf numFmtId="0" fontId="3" fillId="0" borderId="12" xfId="8" applyFont="1" applyBorder="1"/>
    <xf numFmtId="0" fontId="3" fillId="0" borderId="0" xfId="8" applyFont="1"/>
    <xf numFmtId="0" fontId="3" fillId="0" borderId="13" xfId="8" applyFont="1" applyBorder="1"/>
    <xf numFmtId="0" fontId="3" fillId="0" borderId="0" xfId="8" applyFont="1" applyAlignment="1">
      <alignment horizontal="right"/>
    </xf>
    <xf numFmtId="0" fontId="17" fillId="2" borderId="0" xfId="8" applyFont="1" applyFill="1" applyAlignment="1" applyProtection="1">
      <alignment horizontal="center"/>
      <protection locked="0"/>
    </xf>
    <xf numFmtId="0" fontId="19" fillId="0" borderId="0" xfId="8" applyFont="1"/>
    <xf numFmtId="0" fontId="14" fillId="2" borderId="0" xfId="8" applyFont="1" applyFill="1" applyAlignment="1" applyProtection="1">
      <alignment horizontal="center"/>
      <protection locked="0"/>
    </xf>
    <xf numFmtId="0" fontId="3" fillId="0" borderId="14" xfId="8" applyFont="1" applyBorder="1"/>
    <xf numFmtId="0" fontId="3" fillId="0" borderId="15" xfId="8" applyFont="1" applyBorder="1"/>
    <xf numFmtId="0" fontId="3" fillId="0" borderId="16" xfId="8" applyFont="1" applyBorder="1"/>
    <xf numFmtId="0" fontId="3" fillId="0" borderId="0" xfId="20" applyFont="1"/>
    <xf numFmtId="0" fontId="3" fillId="0" borderId="0" xfId="0" applyFont="1"/>
    <xf numFmtId="0" fontId="14" fillId="0" borderId="0" xfId="20" applyFont="1"/>
    <xf numFmtId="0" fontId="14" fillId="0" borderId="1" xfId="20" applyFont="1" applyBorder="1"/>
    <xf numFmtId="0" fontId="14" fillId="0" borderId="3" xfId="20" applyFont="1" applyBorder="1"/>
    <xf numFmtId="0" fontId="3" fillId="0" borderId="1" xfId="20" applyFont="1" applyBorder="1" applyAlignment="1">
      <alignment horizontal="center"/>
    </xf>
    <xf numFmtId="0" fontId="16" fillId="5" borderId="0" xfId="19" applyFont="1" applyFill="1"/>
    <xf numFmtId="0" fontId="16" fillId="5" borderId="18" xfId="19" applyFont="1" applyFill="1" applyBorder="1"/>
    <xf numFmtId="0" fontId="3" fillId="5" borderId="0" xfId="20" applyFont="1" applyFill="1"/>
    <xf numFmtId="0" fontId="3" fillId="0" borderId="8" xfId="20" applyFont="1" applyBorder="1" applyAlignment="1">
      <alignment horizontal="centerContinuous"/>
    </xf>
    <xf numFmtId="0" fontId="3" fillId="0" borderId="3" xfId="20" applyFont="1" applyBorder="1" applyAlignment="1">
      <alignment horizontal="centerContinuous"/>
    </xf>
    <xf numFmtId="0" fontId="16" fillId="5" borderId="0" xfId="25" applyFont="1" applyFill="1"/>
    <xf numFmtId="0" fontId="3" fillId="0" borderId="0" xfId="25" applyFont="1"/>
    <xf numFmtId="0" fontId="3" fillId="0" borderId="0" xfId="25" applyFont="1" applyAlignment="1">
      <alignment horizontal="center"/>
    </xf>
    <xf numFmtId="0" fontId="14" fillId="6" borderId="1" xfId="25" applyFont="1" applyFill="1" applyBorder="1" applyAlignment="1">
      <alignment horizontal="center" wrapText="1"/>
    </xf>
    <xf numFmtId="0" fontId="14" fillId="0" borderId="0" xfId="9" applyFont="1"/>
    <xf numFmtId="0" fontId="1" fillId="2" borderId="1" xfId="20" quotePrefix="1" applyFont="1" applyFill="1" applyBorder="1" applyAlignment="1">
      <alignment vertical="top" wrapText="1"/>
    </xf>
    <xf numFmtId="0" fontId="6" fillId="0" borderId="0" xfId="0" applyFont="1" applyAlignment="1">
      <alignment horizontal="center"/>
    </xf>
    <xf numFmtId="0" fontId="3" fillId="5" borderId="0" xfId="6" applyFont="1" applyFill="1"/>
    <xf numFmtId="0" fontId="3" fillId="5" borderId="1" xfId="16" applyFont="1" applyFill="1" applyBorder="1"/>
    <xf numFmtId="0" fontId="3" fillId="0" borderId="0" xfId="8" applyFont="1" applyAlignment="1">
      <alignment horizontal="left"/>
    </xf>
    <xf numFmtId="0" fontId="3" fillId="5" borderId="0" xfId="16" applyFont="1" applyFill="1"/>
    <xf numFmtId="0" fontId="3" fillId="5" borderId="1" xfId="0" applyFont="1" applyFill="1" applyBorder="1" applyAlignment="1">
      <alignment horizontal="center" vertical="center" wrapText="1"/>
    </xf>
    <xf numFmtId="0" fontId="3" fillId="0" borderId="1" xfId="0" applyFont="1" applyBorder="1" applyAlignment="1">
      <alignment horizontal="centerContinuous"/>
    </xf>
    <xf numFmtId="0" fontId="3" fillId="0" borderId="1" xfId="0" applyFont="1" applyBorder="1" applyAlignment="1">
      <alignment horizontal="center"/>
    </xf>
    <xf numFmtId="172" fontId="14" fillId="0" borderId="7" xfId="0" applyNumberFormat="1" applyFont="1" applyBorder="1" applyAlignment="1">
      <alignment horizontal="centerContinuous"/>
    </xf>
    <xf numFmtId="0" fontId="14" fillId="0" borderId="6" xfId="0" applyFont="1" applyBorder="1" applyAlignment="1">
      <alignment horizontal="centerContinuous"/>
    </xf>
    <xf numFmtId="0" fontId="14" fillId="0" borderId="3" xfId="0" applyFont="1" applyBorder="1" applyAlignment="1">
      <alignment horizontal="centerContinuous"/>
    </xf>
    <xf numFmtId="0" fontId="3" fillId="0" borderId="0" xfId="0" applyFont="1" applyAlignment="1">
      <alignment horizontal="center"/>
    </xf>
    <xf numFmtId="0" fontId="3" fillId="0" borderId="4" xfId="0" applyFont="1" applyBorder="1" applyAlignment="1">
      <alignment horizontal="center"/>
    </xf>
    <xf numFmtId="0" fontId="3" fillId="0" borderId="0" xfId="0" applyFont="1" applyAlignment="1">
      <alignment horizontal="right"/>
    </xf>
    <xf numFmtId="0" fontId="3" fillId="0" borderId="1" xfId="0" applyFont="1" applyBorder="1"/>
    <xf numFmtId="167" fontId="3" fillId="5" borderId="1" xfId="0" applyNumberFormat="1" applyFont="1" applyFill="1" applyBorder="1" applyAlignment="1">
      <alignment horizontal="centerContinuous" vertical="center" wrapText="1"/>
    </xf>
    <xf numFmtId="0" fontId="3" fillId="0" borderId="1" xfId="0" applyFont="1" applyBorder="1" applyAlignment="1">
      <alignment vertical="center"/>
    </xf>
    <xf numFmtId="0" fontId="3" fillId="0" borderId="0" xfId="0" applyFont="1" applyAlignment="1">
      <alignment horizontal="left" vertical="center"/>
    </xf>
    <xf numFmtId="167" fontId="3" fillId="5" borderId="3" xfId="0" applyNumberFormat="1" applyFont="1" applyFill="1" applyBorder="1" applyAlignment="1">
      <alignment horizontal="center" vertical="center" wrapText="1"/>
    </xf>
    <xf numFmtId="0" fontId="1" fillId="0" borderId="1" xfId="0" applyFont="1" applyBorder="1" applyAlignment="1">
      <alignment wrapText="1"/>
    </xf>
    <xf numFmtId="0" fontId="3" fillId="0" borderId="1" xfId="0" applyFont="1" applyBorder="1" applyAlignment="1">
      <alignment horizontal="left" vertical="top" wrapText="1"/>
    </xf>
    <xf numFmtId="0" fontId="3" fillId="5" borderId="8" xfId="16" applyFont="1" applyFill="1" applyBorder="1" applyAlignment="1">
      <alignment horizontal="center" vertical="center"/>
    </xf>
    <xf numFmtId="0" fontId="3" fillId="0" borderId="1" xfId="0" applyFont="1" applyBorder="1" applyAlignment="1">
      <alignment horizontal="left" vertical="top" wrapText="1" indent="1"/>
    </xf>
    <xf numFmtId="0" fontId="14" fillId="0" borderId="1" xfId="0" applyFont="1" applyBorder="1" applyAlignment="1">
      <alignment vertical="center" wrapText="1"/>
    </xf>
    <xf numFmtId="0" fontId="3" fillId="5" borderId="0" xfId="16" applyFont="1" applyFill="1" applyAlignment="1">
      <alignment horizontal="left" vertical="top"/>
    </xf>
    <xf numFmtId="0" fontId="6" fillId="5" borderId="0" xfId="16" applyFont="1" applyFill="1"/>
    <xf numFmtId="0" fontId="3" fillId="5" borderId="0" xfId="16" quotePrefix="1" applyFont="1" applyFill="1" applyAlignment="1">
      <alignment horizontal="left" vertical="top"/>
    </xf>
    <xf numFmtId="0" fontId="16" fillId="5" borderId="0" xfId="17" applyFont="1" applyFill="1" applyAlignment="1">
      <alignment horizontal="center"/>
    </xf>
    <xf numFmtId="0" fontId="16" fillId="5" borderId="0" xfId="17" applyFont="1" applyFill="1"/>
    <xf numFmtId="169" fontId="3" fillId="5" borderId="0" xfId="6" applyNumberFormat="1" applyFont="1" applyFill="1"/>
    <xf numFmtId="0" fontId="3" fillId="5" borderId="1" xfId="17" applyFont="1" applyFill="1" applyBorder="1"/>
    <xf numFmtId="172" fontId="17" fillId="5" borderId="0" xfId="26" applyNumberFormat="1" applyFont="1" applyFill="1"/>
    <xf numFmtId="0" fontId="15" fillId="5" borderId="0" xfId="17" applyFont="1" applyFill="1"/>
    <xf numFmtId="0" fontId="3" fillId="5" borderId="0" xfId="17" applyFont="1" applyFill="1" applyAlignment="1">
      <alignment horizontal="center"/>
    </xf>
    <xf numFmtId="0" fontId="14" fillId="5" borderId="0" xfId="17" applyFont="1" applyFill="1"/>
    <xf numFmtId="169" fontId="3" fillId="10" borderId="1" xfId="30" applyFont="1" applyAlignment="1">
      <alignment horizontal="center" vertical="center"/>
    </xf>
    <xf numFmtId="169" fontId="3" fillId="5" borderId="1" xfId="6" applyNumberFormat="1" applyFont="1" applyFill="1" applyBorder="1" applyAlignment="1">
      <alignment horizontal="center"/>
    </xf>
    <xf numFmtId="0" fontId="19" fillId="5" borderId="1" xfId="26" applyFont="1" applyFill="1" applyBorder="1" applyAlignment="1">
      <alignment horizontal="center" vertical="center"/>
    </xf>
    <xf numFmtId="0" fontId="3" fillId="0" borderId="1" xfId="0" applyFont="1" applyBorder="1" applyAlignment="1">
      <alignment vertical="center" wrapText="1"/>
    </xf>
    <xf numFmtId="0" fontId="1" fillId="19" borderId="4" xfId="17" applyFont="1" applyFill="1" applyBorder="1"/>
    <xf numFmtId="0" fontId="3" fillId="0" borderId="0" xfId="0" applyFont="1" applyAlignment="1">
      <alignment vertical="top"/>
    </xf>
    <xf numFmtId="0" fontId="3" fillId="5" borderId="1" xfId="17" quotePrefix="1" applyFont="1" applyFill="1" applyBorder="1"/>
    <xf numFmtId="0" fontId="3" fillId="5" borderId="1" xfId="17" applyFont="1" applyFill="1" applyBorder="1" applyAlignment="1">
      <alignment wrapText="1"/>
    </xf>
    <xf numFmtId="0" fontId="3" fillId="5" borderId="1" xfId="17" applyFont="1" applyFill="1" applyBorder="1" applyAlignment="1">
      <alignment horizontal="center" vertical="center" wrapText="1"/>
    </xf>
    <xf numFmtId="169" fontId="3" fillId="5" borderId="1" xfId="6" applyNumberFormat="1" applyFont="1" applyFill="1" applyBorder="1" applyAlignment="1">
      <alignment horizontal="center" vertical="center" wrapText="1"/>
    </xf>
    <xf numFmtId="0" fontId="3" fillId="5" borderId="1" xfId="17" applyFont="1" applyFill="1" applyBorder="1" applyAlignment="1">
      <alignment horizontal="center"/>
    </xf>
    <xf numFmtId="169" fontId="3" fillId="5" borderId="1" xfId="6" applyNumberFormat="1" applyFont="1" applyFill="1" applyBorder="1"/>
    <xf numFmtId="0" fontId="17" fillId="5" borderId="0" xfId="26" applyFont="1" applyFill="1" applyAlignment="1">
      <alignment horizontal="left" vertical="top"/>
    </xf>
    <xf numFmtId="0" fontId="3" fillId="5" borderId="1" xfId="17" quotePrefix="1" applyFont="1" applyFill="1" applyBorder="1" applyAlignment="1">
      <alignment horizontal="left" vertical="top" wrapText="1"/>
    </xf>
    <xf numFmtId="0" fontId="3" fillId="5" borderId="1" xfId="17" quotePrefix="1" applyFont="1" applyFill="1" applyBorder="1" applyAlignment="1">
      <alignment wrapText="1"/>
    </xf>
    <xf numFmtId="0" fontId="3" fillId="0" borderId="1" xfId="0" quotePrefix="1" applyFont="1" applyBorder="1" applyAlignment="1">
      <alignment vertical="top" wrapText="1"/>
    </xf>
    <xf numFmtId="0" fontId="3" fillId="5" borderId="1" xfId="17" applyFont="1" applyFill="1" applyBorder="1" applyAlignment="1">
      <alignment horizontal="center" vertical="center"/>
    </xf>
    <xf numFmtId="0" fontId="17" fillId="0" borderId="0" xfId="0" applyFont="1"/>
    <xf numFmtId="0" fontId="3" fillId="0" borderId="4" xfId="0" applyFont="1" applyBorder="1" applyAlignment="1">
      <alignment wrapText="1"/>
    </xf>
    <xf numFmtId="1" fontId="3" fillId="0" borderId="3" xfId="0" applyNumberFormat="1" applyFont="1" applyBorder="1" applyAlignment="1">
      <alignment horizontal="center"/>
    </xf>
    <xf numFmtId="1" fontId="3" fillId="0" borderId="1" xfId="0" applyNumberFormat="1" applyFont="1" applyBorder="1" applyAlignment="1">
      <alignment horizontal="center"/>
    </xf>
    <xf numFmtId="0" fontId="3" fillId="0" borderId="2" xfId="0" applyFont="1" applyBorder="1" applyAlignment="1">
      <alignment horizontal="center"/>
    </xf>
    <xf numFmtId="0" fontId="14" fillId="0" borderId="0" xfId="25" applyFont="1"/>
    <xf numFmtId="0" fontId="3" fillId="2" borderId="1" xfId="25" applyFont="1" applyFill="1" applyBorder="1" applyAlignment="1">
      <alignment horizontal="center" vertical="top"/>
    </xf>
    <xf numFmtId="0" fontId="0" fillId="2" borderId="1" xfId="25" applyFont="1" applyFill="1" applyBorder="1" applyAlignment="1">
      <alignment horizontal="left" vertical="top" wrapText="1"/>
    </xf>
    <xf numFmtId="0" fontId="3" fillId="2" borderId="1" xfId="25" applyFont="1" applyFill="1" applyBorder="1" applyAlignment="1">
      <alignment vertical="top"/>
    </xf>
    <xf numFmtId="181" fontId="0" fillId="20" borderId="0" xfId="0" applyNumberFormat="1" applyFill="1"/>
    <xf numFmtId="0" fontId="53" fillId="20" borderId="0" xfId="0" applyFont="1" applyFill="1" applyAlignment="1">
      <alignment horizontal="centerContinuous" vertical="top"/>
    </xf>
    <xf numFmtId="0" fontId="0" fillId="20" borderId="0" xfId="0" applyFill="1"/>
    <xf numFmtId="0" fontId="61" fillId="0" borderId="0" xfId="0" applyFont="1"/>
    <xf numFmtId="0" fontId="9" fillId="0" borderId="0" xfId="8" applyFont="1" applyAlignment="1">
      <alignment horizontal="left"/>
    </xf>
    <xf numFmtId="172" fontId="9" fillId="0" borderId="0" xfId="10" quotePrefix="1" applyNumberFormat="1" applyFont="1" applyFill="1" applyBorder="1" applyAlignment="1">
      <alignment horizontal="centerContinuous" vertical="center"/>
    </xf>
    <xf numFmtId="0" fontId="3" fillId="11" borderId="1" xfId="20" applyFont="1" applyFill="1" applyBorder="1" applyAlignment="1" applyProtection="1">
      <alignment horizontal="center"/>
      <protection locked="0"/>
    </xf>
    <xf numFmtId="0" fontId="3" fillId="11" borderId="1" xfId="20" applyFont="1" applyFill="1" applyBorder="1" applyAlignment="1" applyProtection="1">
      <alignment horizontal="left" vertical="center"/>
      <protection locked="0"/>
    </xf>
    <xf numFmtId="0" fontId="3" fillId="11" borderId="1" xfId="25" applyFont="1" applyFill="1" applyBorder="1" applyAlignment="1">
      <alignment horizontal="center" vertical="top"/>
    </xf>
    <xf numFmtId="0" fontId="3" fillId="11" borderId="1" xfId="20" applyFont="1" applyFill="1" applyBorder="1" applyAlignment="1">
      <alignment vertical="top" wrapText="1"/>
    </xf>
    <xf numFmtId="0" fontId="9" fillId="11" borderId="1" xfId="20" applyFont="1" applyFill="1" applyBorder="1" applyAlignment="1">
      <alignment vertical="top" wrapText="1"/>
    </xf>
    <xf numFmtId="0" fontId="1" fillId="11" borderId="1" xfId="20" applyFont="1" applyFill="1" applyBorder="1" applyAlignment="1">
      <alignment vertical="top" wrapText="1"/>
    </xf>
    <xf numFmtId="0" fontId="3" fillId="11" borderId="1" xfId="25" applyFont="1" applyFill="1" applyBorder="1" applyAlignment="1">
      <alignment horizontal="center"/>
    </xf>
    <xf numFmtId="0" fontId="41" fillId="11" borderId="1" xfId="20" applyFill="1" applyBorder="1" applyAlignment="1">
      <alignment vertical="top" wrapText="1"/>
    </xf>
    <xf numFmtId="167" fontId="9" fillId="11" borderId="1" xfId="10" applyNumberFormat="1" applyFont="1" applyFill="1" applyBorder="1" applyAlignment="1">
      <alignment horizontal="center" vertical="center"/>
    </xf>
    <xf numFmtId="166" fontId="23" fillId="11" borderId="1" xfId="0" applyNumberFormat="1" applyFont="1" applyFill="1" applyBorder="1" applyAlignment="1">
      <alignment horizontal="right"/>
    </xf>
    <xf numFmtId="0" fontId="23" fillId="11" borderId="5" xfId="0" applyFont="1" applyFill="1" applyBorder="1" applyAlignment="1">
      <alignment horizontal="right"/>
    </xf>
    <xf numFmtId="166" fontId="23" fillId="11" borderId="5" xfId="0" applyNumberFormat="1" applyFont="1" applyFill="1" applyBorder="1" applyAlignment="1">
      <alignment horizontal="right"/>
    </xf>
    <xf numFmtId="166" fontId="9" fillId="21" borderId="5" xfId="0" applyNumberFormat="1" applyFont="1" applyFill="1" applyBorder="1" applyAlignment="1">
      <alignment horizontal="right"/>
    </xf>
    <xf numFmtId="166" fontId="9" fillId="21" borderId="1" xfId="0" applyNumberFormat="1" applyFont="1" applyFill="1" applyBorder="1" applyAlignment="1">
      <alignment horizontal="right"/>
    </xf>
    <xf numFmtId="167" fontId="3" fillId="21" borderId="4" xfId="27" applyNumberFormat="1" applyFont="1" applyFill="1" applyBorder="1" applyAlignment="1">
      <alignment horizontal="right"/>
    </xf>
    <xf numFmtId="167" fontId="9" fillId="21" borderId="2" xfId="27" applyNumberFormat="1" applyFont="1" applyFill="1" applyBorder="1" applyAlignment="1">
      <alignment horizontal="right"/>
    </xf>
    <xf numFmtId="167" fontId="9" fillId="21" borderId="4" xfId="27" applyNumberFormat="1" applyFont="1" applyFill="1" applyBorder="1" applyAlignment="1">
      <alignment horizontal="right"/>
    </xf>
    <xf numFmtId="167" fontId="3" fillId="21" borderId="2" xfId="27" applyNumberFormat="1" applyFont="1" applyFill="1" applyBorder="1" applyAlignment="1">
      <alignment horizontal="right"/>
    </xf>
    <xf numFmtId="167" fontId="23" fillId="11" borderId="1" xfId="27" applyNumberFormat="1" applyFont="1" applyFill="1" applyBorder="1" applyAlignment="1">
      <alignment horizontal="right"/>
    </xf>
    <xf numFmtId="168" fontId="9" fillId="11" borderId="1" xfId="10" applyNumberFormat="1" applyFont="1" applyFill="1" applyBorder="1"/>
    <xf numFmtId="168" fontId="25" fillId="11" borderId="1" xfId="10" applyNumberFormat="1" applyFont="1" applyFill="1" applyBorder="1"/>
    <xf numFmtId="167" fontId="9" fillId="11" borderId="1" xfId="10" applyNumberFormat="1" applyFont="1" applyFill="1" applyBorder="1"/>
    <xf numFmtId="168" fontId="9" fillId="11" borderId="1" xfId="10" applyNumberFormat="1" applyFont="1" applyFill="1" applyBorder="1" applyAlignment="1">
      <alignment vertical="center"/>
    </xf>
    <xf numFmtId="168" fontId="9" fillId="11" borderId="1" xfId="10" applyNumberFormat="1" applyFont="1" applyFill="1" applyBorder="1" applyAlignment="1">
      <alignment horizontal="center"/>
    </xf>
    <xf numFmtId="168" fontId="9" fillId="11" borderId="2" xfId="10" applyNumberFormat="1" applyFont="1" applyFill="1" applyBorder="1"/>
    <xf numFmtId="0" fontId="19" fillId="11" borderId="1" xfId="26" applyFont="1" applyFill="1" applyBorder="1" applyAlignment="1">
      <alignment horizontal="center" vertical="center"/>
    </xf>
    <xf numFmtId="166" fontId="9" fillId="11" borderId="8" xfId="10" applyNumberFormat="1" applyFont="1" applyFill="1" applyBorder="1" applyAlignment="1">
      <alignment horizontal="center" vertical="center"/>
    </xf>
    <xf numFmtId="166" fontId="9" fillId="11" borderId="6" xfId="10" applyNumberFormat="1" applyFont="1" applyFill="1" applyBorder="1" applyAlignment="1">
      <alignment horizontal="center" vertical="center"/>
    </xf>
    <xf numFmtId="166" fontId="9" fillId="11" borderId="3" xfId="10" applyNumberFormat="1" applyFont="1" applyFill="1" applyBorder="1" applyAlignment="1">
      <alignment horizontal="center" vertical="center"/>
    </xf>
    <xf numFmtId="166" fontId="9" fillId="11" borderId="1" xfId="10" applyNumberFormat="1" applyFont="1" applyFill="1" applyBorder="1" applyAlignment="1">
      <alignment horizontal="center" vertical="center"/>
    </xf>
    <xf numFmtId="1" fontId="9" fillId="11" borderId="1" xfId="11" applyNumberFormat="1" applyFont="1" applyFill="1" applyBorder="1" applyAlignment="1">
      <alignment horizontal="center" vertical="center"/>
    </xf>
    <xf numFmtId="174" fontId="9" fillId="11" borderId="1" xfId="27" applyNumberFormat="1" applyFont="1" applyFill="1" applyBorder="1" applyAlignment="1">
      <alignment horizontal="center" vertical="center"/>
    </xf>
    <xf numFmtId="174" fontId="3" fillId="21" borderId="1" xfId="0" applyNumberFormat="1" applyFont="1" applyFill="1" applyBorder="1"/>
    <xf numFmtId="0" fontId="3" fillId="21" borderId="1" xfId="0" applyFont="1" applyFill="1" applyBorder="1"/>
    <xf numFmtId="167" fontId="9" fillId="17" borderId="1" xfId="22" applyNumberFormat="1" applyFont="1" applyFill="1" applyBorder="1" applyAlignment="1">
      <alignment horizontal="center" vertical="center"/>
    </xf>
    <xf numFmtId="175" fontId="3" fillId="17" borderId="1" xfId="0" applyNumberFormat="1" applyFont="1" applyFill="1" applyBorder="1" applyAlignment="1">
      <alignment horizontal="right" vertical="center"/>
    </xf>
    <xf numFmtId="167" fontId="3" fillId="17" borderId="1" xfId="27" applyNumberFormat="1" applyFont="1" applyFill="1" applyBorder="1" applyAlignment="1">
      <alignment horizontal="right" vertical="center"/>
    </xf>
    <xf numFmtId="167" fontId="3" fillId="17" borderId="1" xfId="27" applyNumberFormat="1" applyFont="1" applyFill="1" applyBorder="1" applyAlignment="1">
      <alignment horizontal="right"/>
    </xf>
    <xf numFmtId="166" fontId="9" fillId="17" borderId="5" xfId="0" applyNumberFormat="1" applyFont="1" applyFill="1" applyBorder="1" applyAlignment="1">
      <alignment horizontal="right"/>
    </xf>
    <xf numFmtId="166" fontId="9" fillId="17" borderId="1" xfId="0" applyNumberFormat="1" applyFont="1" applyFill="1" applyBorder="1" applyAlignment="1">
      <alignment horizontal="right"/>
    </xf>
    <xf numFmtId="167" fontId="3" fillId="17" borderId="4" xfId="27" applyNumberFormat="1" applyFont="1" applyFill="1" applyBorder="1" applyAlignment="1">
      <alignment horizontal="right"/>
    </xf>
    <xf numFmtId="167" fontId="9" fillId="17" borderId="2" xfId="27" applyNumberFormat="1" applyFont="1" applyFill="1" applyBorder="1" applyAlignment="1">
      <alignment horizontal="right"/>
    </xf>
    <xf numFmtId="167" fontId="9" fillId="17" borderId="4" xfId="27" applyNumberFormat="1" applyFont="1" applyFill="1" applyBorder="1" applyAlignment="1">
      <alignment horizontal="right"/>
    </xf>
    <xf numFmtId="167" fontId="3" fillId="17" borderId="2" xfId="27" applyNumberFormat="1" applyFont="1" applyFill="1" applyBorder="1" applyAlignment="1">
      <alignment horizontal="right"/>
    </xf>
    <xf numFmtId="167" fontId="9" fillId="17" borderId="1" xfId="27" applyNumberFormat="1" applyFont="1" applyFill="1" applyBorder="1" applyAlignment="1">
      <alignment horizontal="right"/>
    </xf>
    <xf numFmtId="166" fontId="3" fillId="17" borderId="1" xfId="0" applyNumberFormat="1" applyFont="1" applyFill="1" applyBorder="1" applyAlignment="1">
      <alignment horizontal="right"/>
    </xf>
    <xf numFmtId="167" fontId="3" fillId="17" borderId="1" xfId="0" applyNumberFormat="1" applyFont="1" applyFill="1" applyBorder="1" applyAlignment="1">
      <alignment horizontal="right"/>
    </xf>
    <xf numFmtId="10" fontId="3" fillId="17" borderId="1" xfId="0" applyNumberFormat="1" applyFont="1" applyFill="1" applyBorder="1" applyAlignment="1">
      <alignment horizontal="right"/>
    </xf>
    <xf numFmtId="1" fontId="9" fillId="17" borderId="1" xfId="11" applyNumberFormat="1" applyFont="1" applyFill="1" applyBorder="1" applyAlignment="1">
      <alignment horizontal="center" vertical="center"/>
    </xf>
    <xf numFmtId="174" fontId="9" fillId="17" borderId="1" xfId="27" applyNumberFormat="1" applyFont="1" applyFill="1" applyBorder="1" applyAlignment="1">
      <alignment horizontal="center" vertical="center"/>
    </xf>
    <xf numFmtId="166" fontId="3" fillId="17" borderId="1" xfId="0" applyNumberFormat="1" applyFont="1" applyFill="1" applyBorder="1" applyAlignment="1">
      <alignment horizontal="center"/>
    </xf>
    <xf numFmtId="173" fontId="3" fillId="17" borderId="1" xfId="0" applyNumberFormat="1" applyFont="1" applyFill="1" applyBorder="1" applyAlignment="1">
      <alignment horizontal="center"/>
    </xf>
    <xf numFmtId="167" fontId="3" fillId="17" borderId="1" xfId="27" applyNumberFormat="1" applyFont="1" applyFill="1" applyBorder="1" applyAlignment="1">
      <alignment horizontal="center" vertical="center"/>
    </xf>
    <xf numFmtId="166" fontId="3" fillId="17" borderId="1" xfId="0" applyNumberFormat="1" applyFont="1" applyFill="1" applyBorder="1" applyAlignment="1">
      <alignment horizontal="center" vertical="center"/>
    </xf>
    <xf numFmtId="166" fontId="3" fillId="17" borderId="8" xfId="0" applyNumberFormat="1" applyFont="1" applyFill="1" applyBorder="1" applyAlignment="1">
      <alignment horizontal="center" vertical="center"/>
    </xf>
    <xf numFmtId="167" fontId="3" fillId="17" borderId="3" xfId="28" applyNumberFormat="1" applyFont="1" applyFill="1" applyBorder="1" applyAlignment="1">
      <alignment horizontal="center" vertical="center"/>
    </xf>
    <xf numFmtId="168" fontId="9" fillId="17" borderId="1" xfId="22" applyNumberFormat="1" applyFont="1" applyFill="1" applyBorder="1" applyAlignment="1">
      <alignment horizontal="center"/>
    </xf>
    <xf numFmtId="168" fontId="9" fillId="17" borderId="1" xfId="10" applyNumberFormat="1" applyFont="1" applyFill="1" applyBorder="1" applyAlignment="1">
      <alignment horizontal="center"/>
    </xf>
    <xf numFmtId="168" fontId="9" fillId="17" borderId="1" xfId="22" applyNumberFormat="1" applyFont="1" applyFill="1" applyBorder="1"/>
    <xf numFmtId="168" fontId="9" fillId="17" borderId="1" xfId="22" applyNumberFormat="1" applyFont="1" applyFill="1" applyBorder="1" applyAlignment="1">
      <alignment vertical="center"/>
    </xf>
    <xf numFmtId="168" fontId="9" fillId="17" borderId="2" xfId="10" applyNumberFormat="1" applyFont="1" applyFill="1" applyBorder="1"/>
    <xf numFmtId="0" fontId="3" fillId="0" borderId="8" xfId="0" applyFont="1" applyBorder="1" applyAlignment="1">
      <alignment horizontal="right"/>
    </xf>
    <xf numFmtId="0" fontId="0" fillId="0" borderId="3" xfId="0" applyBorder="1" applyAlignment="1">
      <alignment horizontal="right"/>
    </xf>
    <xf numFmtId="0" fontId="62" fillId="0" borderId="0" xfId="0" applyFont="1" applyAlignment="1">
      <alignment horizontal="left" vertical="top"/>
    </xf>
    <xf numFmtId="0" fontId="0" fillId="0" borderId="0" xfId="0" applyAlignment="1">
      <alignment vertical="center" wrapText="1"/>
    </xf>
    <xf numFmtId="0" fontId="63" fillId="0" borderId="0" xfId="0" applyFont="1" applyAlignment="1">
      <alignment vertical="center" wrapText="1"/>
    </xf>
    <xf numFmtId="0" fontId="63" fillId="0" borderId="0" xfId="0" applyFont="1" applyAlignment="1">
      <alignment horizontal="left" vertical="center" wrapText="1"/>
    </xf>
    <xf numFmtId="0" fontId="3" fillId="5" borderId="0" xfId="16" applyFont="1" applyFill="1" applyAlignment="1">
      <alignment horizontal="left" vertical="top" wrapText="1"/>
    </xf>
    <xf numFmtId="0" fontId="3" fillId="5" borderId="0" xfId="16" quotePrefix="1" applyFont="1" applyFill="1" applyAlignment="1">
      <alignment horizontal="left" vertical="top" wrapText="1"/>
    </xf>
    <xf numFmtId="172" fontId="9" fillId="11" borderId="8" xfId="10" quotePrefix="1" applyNumberFormat="1" applyFont="1" applyFill="1" applyBorder="1" applyAlignment="1">
      <alignment horizontal="center" vertical="center"/>
    </xf>
    <xf numFmtId="172" fontId="9" fillId="11" borderId="3" xfId="10" quotePrefix="1" applyNumberFormat="1" applyFont="1" applyFill="1" applyBorder="1" applyAlignment="1">
      <alignment horizontal="center" vertical="center"/>
    </xf>
    <xf numFmtId="0" fontId="17" fillId="5" borderId="0" xfId="26" applyFont="1" applyFill="1" applyAlignment="1">
      <alignment wrapText="1"/>
    </xf>
    <xf numFmtId="0" fontId="14" fillId="0" borderId="8" xfId="0" applyFont="1" applyBorder="1" applyAlignment="1">
      <alignment horizontal="center"/>
    </xf>
    <xf numFmtId="0" fontId="14" fillId="0" borderId="6" xfId="0" applyFont="1" applyBorder="1" applyAlignment="1">
      <alignment horizontal="center"/>
    </xf>
    <xf numFmtId="0" fontId="14" fillId="0" borderId="3" xfId="0" applyFont="1" applyBorder="1" applyAlignment="1">
      <alignment horizontal="center"/>
    </xf>
    <xf numFmtId="168" fontId="12" fillId="5" borderId="8" xfId="10" applyNumberFormat="1" applyFont="1" applyFill="1" applyBorder="1" applyAlignment="1">
      <alignment horizontal="center"/>
    </xf>
    <xf numFmtId="168" fontId="12" fillId="5" borderId="6" xfId="10" applyNumberFormat="1" applyFont="1" applyFill="1" applyBorder="1" applyAlignment="1">
      <alignment horizontal="center"/>
    </xf>
    <xf numFmtId="168" fontId="12" fillId="5" borderId="3" xfId="10" applyNumberFormat="1" applyFont="1" applyFill="1" applyBorder="1" applyAlignment="1">
      <alignment horizontal="center"/>
    </xf>
    <xf numFmtId="0" fontId="19" fillId="0" borderId="0" xfId="0" applyFont="1" applyAlignment="1">
      <alignment wrapText="1"/>
    </xf>
    <xf numFmtId="0" fontId="14" fillId="0" borderId="1" xfId="0" applyFont="1" applyBorder="1" applyAlignment="1">
      <alignment horizontal="center" wrapText="1"/>
    </xf>
    <xf numFmtId="172" fontId="14" fillId="0" borderId="1" xfId="0" quotePrefix="1" applyNumberFormat="1" applyFont="1" applyBorder="1" applyAlignment="1">
      <alignment horizontal="center" wrapText="1"/>
    </xf>
    <xf numFmtId="168" fontId="33" fillId="5" borderId="1" xfId="10" applyNumberFormat="1" applyFont="1" applyFill="1" applyBorder="1" applyAlignment="1">
      <alignment horizontal="center" wrapText="1"/>
    </xf>
    <xf numFmtId="0" fontId="36" fillId="0" borderId="1" xfId="0" applyFont="1" applyBorder="1" applyAlignment="1">
      <alignment horizontal="center" wrapText="1"/>
    </xf>
    <xf numFmtId="0" fontId="0" fillId="0" borderId="0" xfId="0" applyAlignment="1">
      <alignment wrapText="1"/>
    </xf>
    <xf numFmtId="0" fontId="55" fillId="16" borderId="7" xfId="0" applyFont="1" applyFill="1" applyBorder="1" applyAlignment="1">
      <alignment horizontal="left" vertical="top" wrapText="1"/>
    </xf>
    <xf numFmtId="0" fontId="55" fillId="16" borderId="29" xfId="0" applyFont="1" applyFill="1" applyBorder="1" applyAlignment="1">
      <alignment horizontal="left" vertical="top" wrapText="1"/>
    </xf>
    <xf numFmtId="0" fontId="55" fillId="16" borderId="5" xfId="0" applyFont="1" applyFill="1" applyBorder="1" applyAlignment="1">
      <alignment horizontal="left" vertical="top" wrapText="1"/>
    </xf>
    <xf numFmtId="0" fontId="55" fillId="16" borderId="19" xfId="0" applyFont="1" applyFill="1" applyBorder="1" applyAlignment="1">
      <alignment horizontal="left" vertical="top" wrapText="1"/>
    </xf>
    <xf numFmtId="0" fontId="55" fillId="16" borderId="28" xfId="0" applyFont="1" applyFill="1" applyBorder="1" applyAlignment="1">
      <alignment horizontal="left" vertical="top" wrapText="1"/>
    </xf>
    <xf numFmtId="0" fontId="55" fillId="16" borderId="27" xfId="0" applyFont="1" applyFill="1" applyBorder="1" applyAlignment="1">
      <alignment horizontal="left" vertical="top" wrapText="1"/>
    </xf>
    <xf numFmtId="0" fontId="0" fillId="0" borderId="0" xfId="0" applyAlignment="1">
      <alignment horizontal="left" vertical="top" wrapText="1"/>
    </xf>
  </cellXfs>
  <cellStyles count="59">
    <cellStyle name=" 1" xfId="1" xr:uid="{00000000-0005-0000-0000-000000000000}"/>
    <cellStyle name="%_2.4 Exc &amp; Demin " xfId="2" xr:uid="{00000000-0005-0000-0000-000001000000}"/>
    <cellStyle name="%_3.3 Tax_2.4 Exc &amp; Demin " xfId="3" xr:uid="{00000000-0005-0000-0000-000002000000}"/>
    <cellStyle name="%_5.6 Environmental " xfId="4" xr:uid="{00000000-0005-0000-0000-000003000000}"/>
    <cellStyle name="%_5.9 Asset data " xfId="5" xr:uid="{00000000-0005-0000-0000-000004000000}"/>
    <cellStyle name="=C:\WINNT\SYSTEM32\COMMAND.COM 2 2" xfId="6" xr:uid="{00000000-0005-0000-0000-000005000000}"/>
    <cellStyle name="=C:\WINNT\SYSTEM32\COMMAND.COM 2 2 10" xfId="7" xr:uid="{00000000-0005-0000-0000-000006000000}"/>
    <cellStyle name="=C:\WINNT\SYSTEM32\COMMAND.COM 2 2 2" xfId="8" xr:uid="{00000000-0005-0000-0000-000007000000}"/>
    <cellStyle name="=C:\WINNT\SYSTEM32\COMMAND.COM 4" xfId="9" xr:uid="{00000000-0005-0000-0000-000008000000}"/>
    <cellStyle name="Comma_070323 - 5yr opex BPQ (Final)" xfId="10" xr:uid="{00000000-0005-0000-0000-000009000000}"/>
    <cellStyle name="Currency" xfId="11" builtinId="4"/>
    <cellStyle name="Currency 2" xfId="39" xr:uid="{F971C5D2-4F9F-4A95-8CD3-EEFC1EEE6325}"/>
    <cellStyle name="Currency 2 2" xfId="58" xr:uid="{BB6E4549-F2D3-4250-853C-55702AB40993}"/>
    <cellStyle name="Hyperlink" xfId="12" builtinId="8"/>
    <cellStyle name="Normal" xfId="0" builtinId="0"/>
    <cellStyle name="Normal 11" xfId="13" xr:uid="{00000000-0005-0000-0000-00000D000000}"/>
    <cellStyle name="Normal 11 2" xfId="40" xr:uid="{6806BC68-A72A-40F4-B262-F23EA6B04ADC}"/>
    <cellStyle name="Normal 11 7" xfId="14" xr:uid="{00000000-0005-0000-0000-00000E000000}"/>
    <cellStyle name="Normal 11 7 2" xfId="41" xr:uid="{6F602E82-476D-45CC-A3F3-E78676A0B5BA}"/>
    <cellStyle name="Normal 2 10" xfId="15" xr:uid="{00000000-0005-0000-0000-00000F000000}"/>
    <cellStyle name="Normal 2 5" xfId="16" xr:uid="{00000000-0005-0000-0000-000010000000}"/>
    <cellStyle name="Normal 2 5 2" xfId="42" xr:uid="{2D060E1A-B542-4668-8155-2F1F9FEE5C68}"/>
    <cellStyle name="Normal 2 5 8" xfId="17" xr:uid="{00000000-0005-0000-0000-000011000000}"/>
    <cellStyle name="Normal 2 5 8 2" xfId="43" xr:uid="{BC3C2949-2E4E-4D67-A3C5-AF01E4E238FD}"/>
    <cellStyle name="Normal 2 5 8 3" xfId="18" xr:uid="{00000000-0005-0000-0000-000012000000}"/>
    <cellStyle name="Normal 2 5 8 3 2" xfId="44" xr:uid="{F8D96D85-CE8B-4208-AE7E-9ADD72D92EE1}"/>
    <cellStyle name="Normal 3 2" xfId="19" xr:uid="{00000000-0005-0000-0000-000013000000}"/>
    <cellStyle name="Normal 4 2 2" xfId="20" xr:uid="{00000000-0005-0000-0000-000014000000}"/>
    <cellStyle name="Normal 4 2 2 2" xfId="45" xr:uid="{D23E6934-70C6-4D3D-BF5F-E8484D47D9A5}"/>
    <cellStyle name="Normal 61" xfId="21" xr:uid="{00000000-0005-0000-0000-000015000000}"/>
    <cellStyle name="Normal 63" xfId="22" xr:uid="{00000000-0005-0000-0000-000016000000}"/>
    <cellStyle name="Normal 65" xfId="23" xr:uid="{00000000-0005-0000-0000-000017000000}"/>
    <cellStyle name="Normal 65 2" xfId="38" xr:uid="{00000000-0005-0000-0000-000018000000}"/>
    <cellStyle name="Normal 65 2 2" xfId="57" xr:uid="{5F5D33B5-D262-4050-910D-0C0B2C987A6D}"/>
    <cellStyle name="Normal 65 3" xfId="46" xr:uid="{6091FA36-49DF-4B06-ACF2-103A78177E5A}"/>
    <cellStyle name="Normal 66" xfId="24" xr:uid="{00000000-0005-0000-0000-000019000000}"/>
    <cellStyle name="Normal 66 2" xfId="47" xr:uid="{EC8638BA-10A9-4C66-8FDB-142B6D7E49A7}"/>
    <cellStyle name="Normal 7" xfId="25" xr:uid="{00000000-0005-0000-0000-00001A000000}"/>
    <cellStyle name="Normal_NGT HBPQ Final Version 5 " xfId="26" xr:uid="{00000000-0005-0000-0000-00001C000000}"/>
    <cellStyle name="Percent" xfId="27" builtinId="5"/>
    <cellStyle name="Percent 10" xfId="28" xr:uid="{00000000-0005-0000-0000-00001F000000}"/>
    <cellStyle name="Percent 10 2" xfId="48" xr:uid="{299FF3E0-E9AE-4277-87B6-D8368EE9DE9B}"/>
    <cellStyle name="Percent 12" xfId="29" xr:uid="{00000000-0005-0000-0000-000020000000}"/>
    <cellStyle name="Percent 12 2" xfId="49" xr:uid="{C2A9F932-B6CA-4455-8DD8-E21E2A39604E}"/>
    <cellStyle name="Percent 2" xfId="37" xr:uid="{00000000-0005-0000-0000-000021000000}"/>
    <cellStyle name="Pre-inputted cells 14" xfId="30" xr:uid="{00000000-0005-0000-0000-000022000000}"/>
    <cellStyle name="Pre-inputted cells 14 2" xfId="31" xr:uid="{00000000-0005-0000-0000-000023000000}"/>
    <cellStyle name="Pre-inputted cells 14 2 2" xfId="51" xr:uid="{691686F5-EEDC-4972-843D-9BFAC7FEE596}"/>
    <cellStyle name="Pre-inputted cells 14 3" xfId="50" xr:uid="{9E646337-5256-4C01-BC4B-C9B82FCEDB89}"/>
    <cellStyle name="Pre-inputted cells 3 7" xfId="32" xr:uid="{00000000-0005-0000-0000-000024000000}"/>
    <cellStyle name="Pre-inputted cells 3 7 2" xfId="52" xr:uid="{9AFA9405-2D3B-484B-A596-BE1F0CC175D6}"/>
    <cellStyle name="RIGs 6" xfId="33" xr:uid="{00000000-0005-0000-0000-000025000000}"/>
    <cellStyle name="RIGs 6 2" xfId="53" xr:uid="{51535D76-D116-4099-945D-903D5DA97D33}"/>
    <cellStyle name="RIGs input cells 14" xfId="34" xr:uid="{00000000-0005-0000-0000-000026000000}"/>
    <cellStyle name="RIGs input cells 14 2" xfId="54" xr:uid="{04F48268-86F9-4430-83EF-C72B7A913B43}"/>
    <cellStyle name="RIGs input totals 14" xfId="35" xr:uid="{00000000-0005-0000-0000-000027000000}"/>
    <cellStyle name="RIGs input totals 14 2" xfId="55" xr:uid="{B617B024-08CE-4D33-AE90-4A4E9480E843}"/>
    <cellStyle name="RIGs linked cells 13" xfId="36" xr:uid="{00000000-0005-0000-0000-000028000000}"/>
    <cellStyle name="RIGs linked cells 13 2" xfId="56" xr:uid="{6258F61A-94E3-4835-8323-F042F868FEE8}"/>
  </cellStyles>
  <dxfs count="30">
    <dxf>
      <border>
        <top style="thin">
          <color auto="1"/>
        </top>
        <bottom style="thin">
          <color auto="1"/>
        </bottom>
        <vertical/>
        <horizontal/>
      </border>
    </dxf>
    <dxf>
      <border>
        <top style="thin">
          <color auto="1"/>
        </top>
        <bottom style="thin">
          <color auto="1"/>
        </bottom>
        <vertical/>
        <horizontal/>
      </border>
    </dxf>
    <dxf>
      <fill>
        <patternFill>
          <bgColor theme="1"/>
        </patternFill>
      </fill>
    </dxf>
    <dxf>
      <fill>
        <patternFill>
          <bgColor theme="1"/>
        </patternFill>
      </fill>
    </dxf>
    <dxf>
      <fill>
        <patternFill>
          <bgColor theme="1"/>
        </patternFill>
      </fill>
    </dxf>
    <dxf>
      <border>
        <top style="thin">
          <color auto="1"/>
        </top>
        <bottom style="thin">
          <color auto="1"/>
        </bottom>
        <vertical/>
        <horizontal/>
      </border>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7030A0"/>
        </patternFill>
      </fill>
    </dxf>
    <dxf>
      <fill>
        <patternFill>
          <bgColor theme="4" tint="-0.499984740745262"/>
        </patternFill>
      </fill>
    </dxf>
    <dxf>
      <fill>
        <patternFill>
          <bgColor theme="6" tint="-0.499984740745262"/>
        </patternFill>
      </fill>
    </dxf>
    <dxf>
      <fill>
        <patternFill>
          <bgColor theme="9" tint="-0.499984740745262"/>
        </patternFill>
      </fill>
    </dxf>
    <dxf>
      <border>
        <top style="thin">
          <color auto="1"/>
        </top>
        <bottom style="thin">
          <color auto="1"/>
        </bottom>
        <vertical/>
        <horizontal/>
      </border>
    </dxf>
    <dxf>
      <border>
        <top style="thin">
          <color auto="1"/>
        </top>
        <bottom style="thin">
          <color auto="1"/>
        </bottom>
        <vertical/>
        <horizontal/>
      </border>
    </dxf>
    <dxf>
      <fill>
        <patternFill>
          <bgColor theme="1"/>
        </patternFill>
      </fill>
    </dxf>
    <dxf>
      <fill>
        <patternFill>
          <bgColor theme="1"/>
        </patternFill>
      </fill>
    </dxf>
    <dxf>
      <fill>
        <patternFill>
          <bgColor theme="1"/>
        </patternFill>
      </fill>
    </dxf>
    <dxf>
      <border>
        <top style="thin">
          <color auto="1"/>
        </top>
        <bottom style="thin">
          <color auto="1"/>
        </bottom>
        <vertical/>
        <horizontal/>
      </border>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7030A0"/>
        </patternFill>
      </fill>
    </dxf>
    <dxf>
      <fill>
        <patternFill>
          <bgColor theme="4" tint="-0.499984740745262"/>
        </patternFill>
      </fill>
    </dxf>
    <dxf>
      <fill>
        <patternFill>
          <bgColor theme="6" tint="-0.499984740745262"/>
        </patternFill>
      </fill>
    </dxf>
    <dxf>
      <fill>
        <patternFill>
          <bgColor theme="9" tint="-0.499984740745262"/>
        </patternFill>
      </fill>
    </dxf>
  </dxfs>
  <tableStyles count="0" defaultTableStyle="TableStyleMedium9" defaultPivotStyle="PivotStyleLight16"/>
  <colors>
    <mruColors>
      <color rgb="FFCCFFCC"/>
      <color rgb="FFFFFFCC"/>
      <color rgb="FFCC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Drop" dropStyle="combo" dx="32" fmlaLink="pco1A" fmlaRange="pco1Q" noThreeD="1" sel="1" val="0"/>
</file>

<file path=xl/ctrlProps/ctrlProp2.xml><?xml version="1.0" encoding="utf-8"?>
<formControlPr xmlns="http://schemas.microsoft.com/office/spreadsheetml/2009/9/main" objectType="Drop" dropStyle="combo" dx="32" fmlaLink="rrA" fmlaRange="rrQ" noThreeD="1" sel="4" val="0"/>
</file>

<file path=xl/ctrlProps/ctrlProp3.xml><?xml version="1.0" encoding="utf-8"?>
<formControlPr xmlns="http://schemas.microsoft.com/office/spreadsheetml/2009/9/main" objectType="Drop" dropStyle="combo" dx="32" fmlaLink="rrA" fmlaRange="rrQ" noThreeD="1" sel="4" val="0"/>
</file>

<file path=xl/ctrlProps/ctrlProp4.xml><?xml version="1.0" encoding="utf-8"?>
<formControlPr xmlns="http://schemas.microsoft.com/office/spreadsheetml/2009/9/main" objectType="Drop" dropStyle="combo" dx="32" fmlaLink="pco1A" fmlaRange="pco1Q" noThreeD="1" sel="1" val="0"/>
</file>

<file path=xl/ctrlProps/ctrlProp5.xml><?xml version="1.0" encoding="utf-8"?>
<formControlPr xmlns="http://schemas.microsoft.com/office/spreadsheetml/2009/9/main" objectType="Drop" dropStyle="combo" dx="32" fmlaLink="rrA" fmlaRange="rrQ" noThreeD="1" sel="4" val="0"/>
</file>

<file path=xl/ctrlProps/ctrlProp6.xml><?xml version="1.0" encoding="utf-8"?>
<formControlPr xmlns="http://schemas.microsoft.com/office/spreadsheetml/2009/9/main" objectType="Drop" dropStyle="combo" dx="32" fmlaLink="rrA" fmlaRange="rrQ" noThreeD="1" sel="4" val="0"/>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Contents!A1"/></Relationships>
</file>

<file path=xl/drawings/_rels/drawing10.xml.rels><?xml version="1.0" encoding="UTF-8" standalone="yes"?>
<Relationships xmlns="http://schemas.openxmlformats.org/package/2006/relationships"><Relationship Id="rId1" Type="http://schemas.openxmlformats.org/officeDocument/2006/relationships/hyperlink" Target="#Contents!A1"/></Relationships>
</file>

<file path=xl/drawings/_rels/drawing11.xml.rels><?xml version="1.0" encoding="UTF-8" standalone="yes"?>
<Relationships xmlns="http://schemas.openxmlformats.org/package/2006/relationships"><Relationship Id="rId8" Type="http://schemas.openxmlformats.org/officeDocument/2006/relationships/hyperlink" Target="#Contents!Print_Area"/><Relationship Id="rId3" Type="http://schemas.openxmlformats.org/officeDocument/2006/relationships/image" Target="../media/image4.png"/><Relationship Id="rId7" Type="http://schemas.openxmlformats.org/officeDocument/2006/relationships/image" Target="../media/image8.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12.xml.rels><?xml version="1.0" encoding="UTF-8" standalone="yes"?>
<Relationships xmlns="http://schemas.openxmlformats.org/package/2006/relationships"><Relationship Id="rId2" Type="http://schemas.openxmlformats.org/officeDocument/2006/relationships/hyperlink" Target="#Contents!Print_Area"/><Relationship Id="rId1" Type="http://schemas.openxmlformats.org/officeDocument/2006/relationships/image" Target="../media/image9.png"/></Relationships>
</file>

<file path=xl/drawings/_rels/drawing13.xml.rels><?xml version="1.0" encoding="UTF-8" standalone="yes"?>
<Relationships xmlns="http://schemas.openxmlformats.org/package/2006/relationships"><Relationship Id="rId1" Type="http://schemas.openxmlformats.org/officeDocument/2006/relationships/hyperlink" Target="#Contents!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s!A1"/></Relationships>
</file>

<file path=xl/drawings/_rels/drawing3.xml.rels><?xml version="1.0" encoding="UTF-8" standalone="yes"?>
<Relationships xmlns="http://schemas.openxmlformats.org/package/2006/relationships"><Relationship Id="rId1" Type="http://schemas.openxmlformats.org/officeDocument/2006/relationships/hyperlink" Target="#Contents!A1"/></Relationships>
</file>

<file path=xl/drawings/_rels/drawing4.xml.rels><?xml version="1.0" encoding="UTF-8" standalone="yes"?>
<Relationships xmlns="http://schemas.openxmlformats.org/package/2006/relationships"><Relationship Id="rId1" Type="http://schemas.openxmlformats.org/officeDocument/2006/relationships/hyperlink" Target="#Contents!A1"/></Relationships>
</file>

<file path=xl/drawings/_rels/drawing5.xml.rels><?xml version="1.0" encoding="UTF-8" standalone="yes"?>
<Relationships xmlns="http://schemas.openxmlformats.org/package/2006/relationships"><Relationship Id="rId1" Type="http://schemas.openxmlformats.org/officeDocument/2006/relationships/hyperlink" Target="#Contents!A1"/></Relationships>
</file>

<file path=xl/drawings/_rels/drawing6.xml.rels><?xml version="1.0" encoding="UTF-8" standalone="yes"?>
<Relationships xmlns="http://schemas.openxmlformats.org/package/2006/relationships"><Relationship Id="rId1" Type="http://schemas.openxmlformats.org/officeDocument/2006/relationships/hyperlink" Target="#Contents!A1"/></Relationships>
</file>

<file path=xl/drawings/_rels/drawing7.xml.rels><?xml version="1.0" encoding="UTF-8" standalone="yes"?>
<Relationships xmlns="http://schemas.openxmlformats.org/package/2006/relationships"><Relationship Id="rId8" Type="http://schemas.openxmlformats.org/officeDocument/2006/relationships/hyperlink" Target="#Contents!A1"/><Relationship Id="rId3" Type="http://schemas.openxmlformats.org/officeDocument/2006/relationships/image" Target="../media/image4.png"/><Relationship Id="rId7" Type="http://schemas.openxmlformats.org/officeDocument/2006/relationships/image" Target="../media/image8.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8.xml.rels><?xml version="1.0" encoding="UTF-8" standalone="yes"?>
<Relationships xmlns="http://schemas.openxmlformats.org/package/2006/relationships"><Relationship Id="rId2" Type="http://schemas.openxmlformats.org/officeDocument/2006/relationships/hyperlink" Target="#Contents!A1"/><Relationship Id="rId1" Type="http://schemas.openxmlformats.org/officeDocument/2006/relationships/image" Target="../media/image9.png"/></Relationships>
</file>

<file path=xl/drawings/_rels/drawing9.xml.rels><?xml version="1.0" encoding="UTF-8" standalone="yes"?>
<Relationships xmlns="http://schemas.openxmlformats.org/package/2006/relationships"><Relationship Id="rId1" Type="http://schemas.openxmlformats.org/officeDocument/2006/relationships/hyperlink" Target="#Contents!A1"/></Relationships>
</file>

<file path=xl/drawings/drawing1.xml><?xml version="1.0" encoding="utf-8"?>
<xdr:wsDr xmlns:xdr="http://schemas.openxmlformats.org/drawingml/2006/spreadsheetDrawing" xmlns:a="http://schemas.openxmlformats.org/drawingml/2006/main">
  <xdr:twoCellAnchor>
    <xdr:from>
      <xdr:col>3</xdr:col>
      <xdr:colOff>0</xdr:colOff>
      <xdr:row>29</xdr:row>
      <xdr:rowOff>0</xdr:rowOff>
    </xdr:from>
    <xdr:to>
      <xdr:col>4</xdr:col>
      <xdr:colOff>9525</xdr:colOff>
      <xdr:row>30</xdr:row>
      <xdr:rowOff>78160</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2886075" y="4010025"/>
          <a:ext cx="1466850" cy="259135"/>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marL="0" indent="0" algn="ctr"/>
          <a:r>
            <a:rPr lang="en-GB" sz="1100">
              <a:solidFill>
                <a:schemeClr val="dk1"/>
              </a:solidFill>
              <a:latin typeface="+mn-lt"/>
              <a:ea typeface="+mn-ea"/>
              <a:cs typeface="+mn-cs"/>
            </a:rPr>
            <a:t>Navigation </a:t>
          </a:r>
        </a:p>
      </xdr:txBody>
    </xdr:sp>
    <xdr:clientData/>
  </xdr:twoCellAnchor>
  <xdr:twoCellAnchor editAs="oneCell">
    <xdr:from>
      <xdr:col>0</xdr:col>
      <xdr:colOff>0</xdr:colOff>
      <xdr:row>0</xdr:row>
      <xdr:rowOff>0</xdr:rowOff>
    </xdr:from>
    <xdr:to>
      <xdr:col>2</xdr:col>
      <xdr:colOff>952500</xdr:colOff>
      <xdr:row>3</xdr:row>
      <xdr:rowOff>14288</xdr:rowOff>
    </xdr:to>
    <xdr:pic>
      <xdr:nvPicPr>
        <xdr:cNvPr id="4" name="Picture 3" descr="image of the Ofgem logo" title="Ofgem logo">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2795588" cy="52863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4</xdr:col>
      <xdr:colOff>0</xdr:colOff>
      <xdr:row>1</xdr:row>
      <xdr:rowOff>0</xdr:rowOff>
    </xdr:from>
    <xdr:to>
      <xdr:col>5</xdr:col>
      <xdr:colOff>473849</xdr:colOff>
      <xdr:row>1</xdr:row>
      <xdr:rowOff>326572</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C00-000002000000}"/>
            </a:ext>
          </a:extLst>
        </xdr:cNvPr>
        <xdr:cNvSpPr/>
      </xdr:nvSpPr>
      <xdr:spPr>
        <a:xfrm>
          <a:off x="7200900" y="333375"/>
          <a:ext cx="1226324" cy="326572"/>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oneCellAnchor>
    <xdr:from>
      <xdr:col>1</xdr:col>
      <xdr:colOff>33337</xdr:colOff>
      <xdr:row>43</xdr:row>
      <xdr:rowOff>19050</xdr:rowOff>
    </xdr:from>
    <xdr:ext cx="962025" cy="519113"/>
    <xdr:pic>
      <xdr:nvPicPr>
        <xdr:cNvPr id="2" name="Picture 1" descr="algebra for Vrr term">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7650" y="7600950"/>
          <a:ext cx="962025" cy="519113"/>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mc:AlternateContent xmlns:mc="http://schemas.openxmlformats.org/markup-compatibility/2006">
    <mc:Choice xmlns:a14="http://schemas.microsoft.com/office/drawing/2010/main" Requires="a14">
      <xdr:twoCellAnchor editAs="oneCell">
        <xdr:from>
          <xdr:col>2</xdr:col>
          <xdr:colOff>0</xdr:colOff>
          <xdr:row>3</xdr:row>
          <xdr:rowOff>184150</xdr:rowOff>
        </xdr:from>
        <xdr:to>
          <xdr:col>3</xdr:col>
          <xdr:colOff>0</xdr:colOff>
          <xdr:row>4</xdr:row>
          <xdr:rowOff>203200</xdr:rowOff>
        </xdr:to>
        <xdr:sp macro="" textlink="">
          <xdr:nvSpPr>
            <xdr:cNvPr id="22529" name="Drop Down 1" descr="drop down for 1st year cut-off selection" hidden="1">
              <a:extLst>
                <a:ext uri="{63B3BB69-23CF-44E3-9099-C40C66FF867C}">
                  <a14:compatExt spid="_x0000_s22529"/>
                </a:ext>
                <a:ext uri="{FF2B5EF4-FFF2-40B4-BE49-F238E27FC236}">
                  <a16:creationId xmlns:a16="http://schemas.microsoft.com/office/drawing/2014/main" id="{00000000-0008-0000-0B00-0000015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xdr:row>
          <xdr:rowOff>203200</xdr:rowOff>
        </xdr:from>
        <xdr:to>
          <xdr:col>3</xdr:col>
          <xdr:colOff>0</xdr:colOff>
          <xdr:row>5</xdr:row>
          <xdr:rowOff>190500</xdr:rowOff>
        </xdr:to>
        <xdr:sp macro="" textlink="">
          <xdr:nvSpPr>
            <xdr:cNvPr id="22530" name="Drop Down 2" descr="drop dpwm for reasonableness review year selection" hidden="1">
              <a:extLst>
                <a:ext uri="{63B3BB69-23CF-44E3-9099-C40C66FF867C}">
                  <a14:compatExt spid="_x0000_s22530"/>
                </a:ext>
                <a:ext uri="{FF2B5EF4-FFF2-40B4-BE49-F238E27FC236}">
                  <a16:creationId xmlns:a16="http://schemas.microsoft.com/office/drawing/2014/main" id="{00000000-0008-0000-0B00-0000025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1</xdr:col>
      <xdr:colOff>0</xdr:colOff>
      <xdr:row>70</xdr:row>
      <xdr:rowOff>0</xdr:rowOff>
    </xdr:from>
    <xdr:ext cx="1266825" cy="514350"/>
    <xdr:pic>
      <xdr:nvPicPr>
        <xdr:cNvPr id="5" name="Picture 4" descr="algebra for PPHy term">
          <a:extLst>
            <a:ext uri="{FF2B5EF4-FFF2-40B4-BE49-F238E27FC236}">
              <a16:creationId xmlns:a16="http://schemas.microsoft.com/office/drawing/2014/main" id="{00000000-0008-0000-0F00-000005000000}"/>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14313" y="14673263"/>
          <a:ext cx="1266825" cy="5143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52</xdr:row>
      <xdr:rowOff>0</xdr:rowOff>
    </xdr:from>
    <xdr:ext cx="1857375" cy="447675"/>
    <xdr:pic>
      <xdr:nvPicPr>
        <xdr:cNvPr id="6" name="Picture 5" descr="algebra for legacy true-up value (year1)">
          <a:extLst>
            <a:ext uri="{FF2B5EF4-FFF2-40B4-BE49-F238E27FC236}">
              <a16:creationId xmlns:a16="http://schemas.microsoft.com/office/drawing/2014/main" id="{00000000-0008-0000-0F00-000006000000}"/>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14313" y="9658350"/>
          <a:ext cx="1857375" cy="447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53</xdr:row>
      <xdr:rowOff>0</xdr:rowOff>
    </xdr:from>
    <xdr:ext cx="3476625" cy="590550"/>
    <xdr:pic>
      <xdr:nvPicPr>
        <xdr:cNvPr id="7" name="Picture 6" descr="algebra for legacy true-up term (year 1)">
          <a:extLst>
            <a:ext uri="{FF2B5EF4-FFF2-40B4-BE49-F238E27FC236}">
              <a16:creationId xmlns:a16="http://schemas.microsoft.com/office/drawing/2014/main" id="{00000000-0008-0000-0F00-000007000000}"/>
            </a:ext>
          </a:extLst>
        </xdr:cNvPr>
        <xdr:cNvPicPr>
          <a:picLocks noChangeAspect="1" noChangeArrowheads="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14313" y="10120313"/>
          <a:ext cx="3476625" cy="5905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57</xdr:row>
      <xdr:rowOff>0</xdr:rowOff>
    </xdr:from>
    <xdr:ext cx="1857375" cy="447676"/>
    <xdr:pic>
      <xdr:nvPicPr>
        <xdr:cNvPr id="8" name="Picture 7" descr="algebra for legacy true-up term (year 2)">
          <a:extLst>
            <a:ext uri="{FF2B5EF4-FFF2-40B4-BE49-F238E27FC236}">
              <a16:creationId xmlns:a16="http://schemas.microsoft.com/office/drawing/2014/main" id="{00000000-0008-0000-0F00-000008000000}"/>
            </a:ext>
          </a:extLst>
        </xdr:cNvPr>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14313" y="11363325"/>
          <a:ext cx="1857375" cy="44767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58</xdr:row>
      <xdr:rowOff>0</xdr:rowOff>
    </xdr:from>
    <xdr:ext cx="3629025" cy="590550"/>
    <xdr:pic>
      <xdr:nvPicPr>
        <xdr:cNvPr id="9" name="Picture 8" descr="algebra for legacy true-up term (year 2)">
          <a:extLst>
            <a:ext uri="{FF2B5EF4-FFF2-40B4-BE49-F238E27FC236}">
              <a16:creationId xmlns:a16="http://schemas.microsoft.com/office/drawing/2014/main" id="{00000000-0008-0000-0F00-000009000000}"/>
            </a:ext>
          </a:extLst>
        </xdr:cNvPr>
        <xdr:cNvPicPr>
          <a:picLocks noChangeAspect="1" noChangeArrowheads="1"/>
        </xdr:cNvPicPr>
      </xdr:nvPicPr>
      <xdr:blipFill>
        <a:blip xmlns:r="http://schemas.openxmlformats.org/officeDocument/2006/relationships" r:embed="rId6">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14313" y="11806238"/>
          <a:ext cx="3629025" cy="5905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71</xdr:row>
      <xdr:rowOff>0</xdr:rowOff>
    </xdr:from>
    <xdr:ext cx="2419350" cy="519113"/>
    <xdr:pic>
      <xdr:nvPicPr>
        <xdr:cNvPr id="10" name="Picture 9" descr="algebra for PPHy term)">
          <a:extLst>
            <a:ext uri="{FF2B5EF4-FFF2-40B4-BE49-F238E27FC236}">
              <a16:creationId xmlns:a16="http://schemas.microsoft.com/office/drawing/2014/main" id="{00000000-0008-0000-0F00-00000A000000}"/>
            </a:ext>
          </a:extLst>
        </xdr:cNvPr>
        <xdr:cNvPicPr>
          <a:picLocks noChangeAspect="1" noChangeArrowheads="1"/>
        </xdr:cNvPicPr>
      </xdr:nvPicPr>
      <xdr:blipFill>
        <a:blip xmlns:r="http://schemas.openxmlformats.org/officeDocument/2006/relationships" r:embed="rId7">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14313" y="15216188"/>
          <a:ext cx="2419350" cy="519113"/>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8</xdr:col>
      <xdr:colOff>496482</xdr:colOff>
      <xdr:row>0</xdr:row>
      <xdr:rowOff>246062</xdr:rowOff>
    </xdr:from>
    <xdr:to>
      <xdr:col>12</xdr:col>
      <xdr:colOff>158601</xdr:colOff>
      <xdr:row>1</xdr:row>
      <xdr:rowOff>236463</xdr:rowOff>
    </xdr:to>
    <xdr:sp macro="" textlink="">
      <xdr:nvSpPr>
        <xdr:cNvPr id="11" name="Rounded Rectangle 10">
          <a:hlinkClick xmlns:r="http://schemas.openxmlformats.org/officeDocument/2006/relationships" r:id="rId8"/>
          <a:extLst>
            <a:ext uri="{FF2B5EF4-FFF2-40B4-BE49-F238E27FC236}">
              <a16:creationId xmlns:a16="http://schemas.microsoft.com/office/drawing/2014/main" id="{00000000-0008-0000-0F00-00000B000000}"/>
            </a:ext>
          </a:extLst>
        </xdr:cNvPr>
        <xdr:cNvSpPr/>
      </xdr:nvSpPr>
      <xdr:spPr>
        <a:xfrm>
          <a:off x="7678332" y="246062"/>
          <a:ext cx="2267207" cy="252339"/>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marL="0" indent="0" algn="ctr"/>
          <a:r>
            <a:rPr lang="en-GB" sz="1100">
              <a:solidFill>
                <a:schemeClr val="dk1"/>
              </a:solidFill>
              <a:latin typeface="+mn-lt"/>
              <a:ea typeface="+mn-ea"/>
              <a:cs typeface="+mn-cs"/>
            </a:rPr>
            <a:t>Navigation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5</xdr:col>
      <xdr:colOff>257175</xdr:colOff>
      <xdr:row>15</xdr:row>
      <xdr:rowOff>85725</xdr:rowOff>
    </xdr:from>
    <xdr:to>
      <xdr:col>6</xdr:col>
      <xdr:colOff>542925</xdr:colOff>
      <xdr:row>31</xdr:row>
      <xdr:rowOff>123825</xdr:rowOff>
    </xdr:to>
    <xdr:sp macro="" textlink="">
      <xdr:nvSpPr>
        <xdr:cNvPr id="2" name="Freeform 1" descr="algebra for rpa term)">
          <a:extLst>
            <a:ext uri="{FF2B5EF4-FFF2-40B4-BE49-F238E27FC236}">
              <a16:creationId xmlns:a16="http://schemas.microsoft.com/office/drawing/2014/main" id="{00000000-0008-0000-1000-000002000000}"/>
            </a:ext>
          </a:extLst>
        </xdr:cNvPr>
        <xdr:cNvSpPr/>
      </xdr:nvSpPr>
      <xdr:spPr>
        <a:xfrm>
          <a:off x="6405563" y="2976563"/>
          <a:ext cx="933450" cy="2957512"/>
        </a:xfrm>
        <a:custGeom>
          <a:avLst/>
          <a:gdLst>
            <a:gd name="connsiteX0" fmla="*/ 0 w 895350"/>
            <a:gd name="connsiteY0" fmla="*/ 1371600 h 1371600"/>
            <a:gd name="connsiteX1" fmla="*/ 533400 w 895350"/>
            <a:gd name="connsiteY1" fmla="*/ 1371600 h 1371600"/>
            <a:gd name="connsiteX2" fmla="*/ 542925 w 895350"/>
            <a:gd name="connsiteY2" fmla="*/ 0 h 1371600"/>
            <a:gd name="connsiteX3" fmla="*/ 895350 w 895350"/>
            <a:gd name="connsiteY3" fmla="*/ 0 h 1371600"/>
            <a:gd name="connsiteX4" fmla="*/ 895350 w 895350"/>
            <a:gd name="connsiteY4" fmla="*/ 0 h 1371600"/>
            <a:gd name="connsiteX5" fmla="*/ 895350 w 895350"/>
            <a:gd name="connsiteY5" fmla="*/ 0 h 13716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895350" h="1371600">
              <a:moveTo>
                <a:pt x="0" y="1371600"/>
              </a:moveTo>
              <a:lnTo>
                <a:pt x="533400" y="1371600"/>
              </a:lnTo>
              <a:lnTo>
                <a:pt x="542925" y="0"/>
              </a:lnTo>
              <a:lnTo>
                <a:pt x="895350" y="0"/>
              </a:lnTo>
              <a:lnTo>
                <a:pt x="895350" y="0"/>
              </a:lnTo>
              <a:lnTo>
                <a:pt x="895350" y="0"/>
              </a:lnTo>
            </a:path>
          </a:pathLst>
        </a:custGeom>
        <a:noFill/>
        <a:ln w="9525">
          <a:solidFill>
            <a:schemeClr val="accent4"/>
          </a:solidFill>
          <a:tailEnd type="stealth"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oneCellAnchor>
    <xdr:from>
      <xdr:col>4</xdr:col>
      <xdr:colOff>38102</xdr:colOff>
      <xdr:row>19</xdr:row>
      <xdr:rowOff>76200</xdr:rowOff>
    </xdr:from>
    <xdr:ext cx="2847641" cy="461900"/>
    <xdr:pic>
      <xdr:nvPicPr>
        <xdr:cNvPr id="3" name="Picture 2" descr="algebra for rpa term">
          <a:extLst>
            <a:ext uri="{FF2B5EF4-FFF2-40B4-BE49-F238E27FC236}">
              <a16:creationId xmlns:a16="http://schemas.microsoft.com/office/drawing/2014/main" id="{00000000-0008-0000-1000-000003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643315" y="3695700"/>
          <a:ext cx="2847641" cy="4619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mc:AlternateContent xmlns:mc="http://schemas.openxmlformats.org/markup-compatibility/2006">
    <mc:Choice xmlns:a14="http://schemas.microsoft.com/office/drawing/2010/main" Requires="a14">
      <xdr:twoCellAnchor editAs="oneCell">
        <xdr:from>
          <xdr:col>2</xdr:col>
          <xdr:colOff>0</xdr:colOff>
          <xdr:row>5</xdr:row>
          <xdr:rowOff>0</xdr:rowOff>
        </xdr:from>
        <xdr:to>
          <xdr:col>3</xdr:col>
          <xdr:colOff>393700</xdr:colOff>
          <xdr:row>6</xdr:row>
          <xdr:rowOff>152400</xdr:rowOff>
        </xdr:to>
        <xdr:sp macro="" textlink="">
          <xdr:nvSpPr>
            <xdr:cNvPr id="23553" name="Drop Down 1" descr="drop down for Reasonableness review year" hidden="1">
              <a:extLst>
                <a:ext uri="{63B3BB69-23CF-44E3-9099-C40C66FF867C}">
                  <a14:compatExt spid="_x0000_s23553"/>
                </a:ext>
                <a:ext uri="{FF2B5EF4-FFF2-40B4-BE49-F238E27FC236}">
                  <a16:creationId xmlns:a16="http://schemas.microsoft.com/office/drawing/2014/main" id="{00000000-0008-0000-0C00-0000015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4</xdr:col>
      <xdr:colOff>2387194</xdr:colOff>
      <xdr:row>1</xdr:row>
      <xdr:rowOff>17462</xdr:rowOff>
    </xdr:from>
    <xdr:to>
      <xdr:col>6</xdr:col>
      <xdr:colOff>587227</xdr:colOff>
      <xdr:row>2</xdr:row>
      <xdr:rowOff>7864</xdr:rowOff>
    </xdr:to>
    <xdr:sp macro="" textlink="">
      <xdr:nvSpPr>
        <xdr:cNvPr id="5" name="Rounded Rectangle 4">
          <a:hlinkClick xmlns:r="http://schemas.openxmlformats.org/officeDocument/2006/relationships" r:id="rId2"/>
          <a:extLst>
            <a:ext uri="{FF2B5EF4-FFF2-40B4-BE49-F238E27FC236}">
              <a16:creationId xmlns:a16="http://schemas.microsoft.com/office/drawing/2014/main" id="{00000000-0008-0000-1000-000005000000}"/>
            </a:ext>
          </a:extLst>
        </xdr:cNvPr>
        <xdr:cNvSpPr/>
      </xdr:nvSpPr>
      <xdr:spPr>
        <a:xfrm>
          <a:off x="5992407" y="279400"/>
          <a:ext cx="1390908" cy="252339"/>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marL="0" indent="0" algn="ctr"/>
          <a:r>
            <a:rPr lang="en-GB" sz="1100">
              <a:solidFill>
                <a:schemeClr val="dk1"/>
              </a:solidFill>
              <a:latin typeface="+mn-lt"/>
              <a:ea typeface="+mn-ea"/>
              <a:cs typeface="+mn-cs"/>
            </a:rPr>
            <a:t>Navigation </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5</xdr:col>
      <xdr:colOff>205045</xdr:colOff>
      <xdr:row>1</xdr:row>
      <xdr:rowOff>247576</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1100-000002000000}"/>
            </a:ext>
          </a:extLst>
        </xdr:cNvPr>
        <xdr:cNvSpPr/>
      </xdr:nvSpPr>
      <xdr:spPr>
        <a:xfrm>
          <a:off x="4848225" y="247650"/>
          <a:ext cx="1424245" cy="24757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marL="0" indent="0" algn="ctr"/>
          <a:r>
            <a:rPr lang="en-GB" sz="1100">
              <a:solidFill>
                <a:schemeClr val="dk1"/>
              </a:solidFill>
              <a:latin typeface="+mn-lt"/>
              <a:ea typeface="+mn-ea"/>
              <a:cs typeface="+mn-cs"/>
            </a:rPr>
            <a:t>Navigation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-1</xdr:rowOff>
    </xdr:from>
    <xdr:to>
      <xdr:col>3</xdr:col>
      <xdr:colOff>1224643</xdr:colOff>
      <xdr:row>2</xdr:row>
      <xdr:rowOff>136071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a:xfrm>
          <a:off x="5114925" y="190499"/>
          <a:ext cx="1224643" cy="326572"/>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1</xdr:row>
      <xdr:rowOff>0</xdr:rowOff>
    </xdr:from>
    <xdr:to>
      <xdr:col>2</xdr:col>
      <xdr:colOff>510268</xdr:colOff>
      <xdr:row>2</xdr:row>
      <xdr:rowOff>164647</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4191000" y="228600"/>
          <a:ext cx="1224643" cy="393247"/>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1224643</xdr:colOff>
      <xdr:row>2</xdr:row>
      <xdr:rowOff>136072</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300-000002000000}"/>
            </a:ext>
          </a:extLst>
        </xdr:cNvPr>
        <xdr:cNvSpPr/>
      </xdr:nvSpPr>
      <xdr:spPr>
        <a:xfrm>
          <a:off x="3019425" y="257175"/>
          <a:ext cx="1224643" cy="393247"/>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0</xdr:colOff>
      <xdr:row>1</xdr:row>
      <xdr:rowOff>0</xdr:rowOff>
    </xdr:from>
    <xdr:to>
      <xdr:col>7</xdr:col>
      <xdr:colOff>476250</xdr:colOff>
      <xdr:row>1</xdr:row>
      <xdr:rowOff>326572</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7946571" y="340179"/>
          <a:ext cx="1224643" cy="326572"/>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0</xdr:colOff>
      <xdr:row>1</xdr:row>
      <xdr:rowOff>0</xdr:rowOff>
    </xdr:from>
    <xdr:to>
      <xdr:col>5</xdr:col>
      <xdr:colOff>473849</xdr:colOff>
      <xdr:row>1</xdr:row>
      <xdr:rowOff>326572</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500-000002000000}"/>
            </a:ext>
          </a:extLst>
        </xdr:cNvPr>
        <xdr:cNvSpPr/>
      </xdr:nvSpPr>
      <xdr:spPr>
        <a:xfrm>
          <a:off x="6566647" y="336176"/>
          <a:ext cx="1224643" cy="326572"/>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1</xdr:col>
      <xdr:colOff>33337</xdr:colOff>
      <xdr:row>43</xdr:row>
      <xdr:rowOff>19050</xdr:rowOff>
    </xdr:from>
    <xdr:ext cx="962025" cy="519113"/>
    <xdr:pic>
      <xdr:nvPicPr>
        <xdr:cNvPr id="2" name="Picture 1" descr="Algebra for calculation of Vrr term">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81037" y="7800975"/>
          <a:ext cx="962025" cy="519113"/>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mc:AlternateContent xmlns:mc="http://schemas.openxmlformats.org/markup-compatibility/2006">
    <mc:Choice xmlns:a14="http://schemas.microsoft.com/office/drawing/2010/main" Requires="a14">
      <xdr:twoCellAnchor editAs="oneCell">
        <xdr:from>
          <xdr:col>2</xdr:col>
          <xdr:colOff>0</xdr:colOff>
          <xdr:row>3</xdr:row>
          <xdr:rowOff>184150</xdr:rowOff>
        </xdr:from>
        <xdr:to>
          <xdr:col>3</xdr:col>
          <xdr:colOff>0</xdr:colOff>
          <xdr:row>4</xdr:row>
          <xdr:rowOff>203200</xdr:rowOff>
        </xdr:to>
        <xdr:sp macro="" textlink="">
          <xdr:nvSpPr>
            <xdr:cNvPr id="14338" name="Drop Down 2" descr="Drop down for selection of first post cut-off year"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xdr:row>
          <xdr:rowOff>203200</xdr:rowOff>
        </xdr:from>
        <xdr:to>
          <xdr:col>3</xdr:col>
          <xdr:colOff>0</xdr:colOff>
          <xdr:row>5</xdr:row>
          <xdr:rowOff>190500</xdr:rowOff>
        </xdr:to>
        <xdr:sp macro="" textlink="">
          <xdr:nvSpPr>
            <xdr:cNvPr id="14339" name="Drop Down 3" descr="Drop down for selection of Reasonableness review year"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1</xdr:col>
      <xdr:colOff>0</xdr:colOff>
      <xdr:row>70</xdr:row>
      <xdr:rowOff>0</xdr:rowOff>
    </xdr:from>
    <xdr:ext cx="1266825" cy="514350"/>
    <xdr:pic>
      <xdr:nvPicPr>
        <xdr:cNvPr id="5" name="Picture 4" descr="Algebra for firts term of legacy true-up value">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47700" y="12668250"/>
          <a:ext cx="1266825" cy="5143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52</xdr:row>
      <xdr:rowOff>0</xdr:rowOff>
    </xdr:from>
    <xdr:ext cx="1857375" cy="447675"/>
    <xdr:pic>
      <xdr:nvPicPr>
        <xdr:cNvPr id="6" name="Picture 5" descr="Algebra for 1st year of legacy true-up value">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47700" y="9410700"/>
          <a:ext cx="1857375" cy="447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53</xdr:row>
      <xdr:rowOff>0</xdr:rowOff>
    </xdr:from>
    <xdr:ext cx="3476625" cy="590550"/>
    <xdr:pic>
      <xdr:nvPicPr>
        <xdr:cNvPr id="7" name="Picture 6" descr="Algebra for legacy true-up value (1st Year)">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47700" y="9591675"/>
          <a:ext cx="3476625" cy="5905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57</xdr:row>
      <xdr:rowOff>0</xdr:rowOff>
    </xdr:from>
    <xdr:ext cx="1857375" cy="447676"/>
    <xdr:pic>
      <xdr:nvPicPr>
        <xdr:cNvPr id="8" name="Picture 7" descr="Algebra for 2nd year of legacy true-up value">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47700" y="10315575"/>
          <a:ext cx="1857375" cy="44767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58</xdr:row>
      <xdr:rowOff>0</xdr:rowOff>
    </xdr:from>
    <xdr:ext cx="3629025" cy="590550"/>
    <xdr:pic>
      <xdr:nvPicPr>
        <xdr:cNvPr id="9" name="Picture 8" descr="Algebra for 2nd year of legacy true-up value">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6">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47700" y="10496550"/>
          <a:ext cx="3629025" cy="5905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71</xdr:row>
      <xdr:rowOff>0</xdr:rowOff>
    </xdr:from>
    <xdr:ext cx="2419350" cy="519113"/>
    <xdr:pic>
      <xdr:nvPicPr>
        <xdr:cNvPr id="10" name="Picture 9" descr="Algebra for PPHy term">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7">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47700" y="12849225"/>
          <a:ext cx="2419350" cy="519113"/>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8</xdr:col>
      <xdr:colOff>496482</xdr:colOff>
      <xdr:row>0</xdr:row>
      <xdr:rowOff>246062</xdr:rowOff>
    </xdr:from>
    <xdr:to>
      <xdr:col>12</xdr:col>
      <xdr:colOff>158601</xdr:colOff>
      <xdr:row>1</xdr:row>
      <xdr:rowOff>236463</xdr:rowOff>
    </xdr:to>
    <xdr:sp macro="" textlink="">
      <xdr:nvSpPr>
        <xdr:cNvPr id="11" name="Rounded Rectangle 10">
          <a:hlinkClick xmlns:r="http://schemas.openxmlformats.org/officeDocument/2006/relationships" r:id="rId8"/>
          <a:extLst>
            <a:ext uri="{FF2B5EF4-FFF2-40B4-BE49-F238E27FC236}">
              <a16:creationId xmlns:a16="http://schemas.microsoft.com/office/drawing/2014/main" id="{00000000-0008-0000-0800-00000B000000}"/>
            </a:ext>
          </a:extLst>
        </xdr:cNvPr>
        <xdr:cNvSpPr/>
      </xdr:nvSpPr>
      <xdr:spPr>
        <a:xfrm>
          <a:off x="5678082" y="179387"/>
          <a:ext cx="2252919" cy="18090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marL="0" indent="0" algn="ctr"/>
          <a:r>
            <a:rPr lang="en-GB" sz="1100">
              <a:solidFill>
                <a:schemeClr val="dk1"/>
              </a:solidFill>
              <a:latin typeface="+mn-lt"/>
              <a:ea typeface="+mn-ea"/>
              <a:cs typeface="+mn-cs"/>
            </a:rPr>
            <a:t>Navigation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257175</xdr:colOff>
      <xdr:row>15</xdr:row>
      <xdr:rowOff>85725</xdr:rowOff>
    </xdr:from>
    <xdr:to>
      <xdr:col>6</xdr:col>
      <xdr:colOff>542925</xdr:colOff>
      <xdr:row>31</xdr:row>
      <xdr:rowOff>123825</xdr:rowOff>
    </xdr:to>
    <xdr:sp macro="" textlink="">
      <xdr:nvSpPr>
        <xdr:cNvPr id="2" name="Freeform 1" descr="Algebra for rpa calculation">
          <a:extLst>
            <a:ext uri="{FF2B5EF4-FFF2-40B4-BE49-F238E27FC236}">
              <a16:creationId xmlns:a16="http://schemas.microsoft.com/office/drawing/2014/main" id="{00000000-0008-0000-0900-000002000000}"/>
            </a:ext>
          </a:extLst>
        </xdr:cNvPr>
        <xdr:cNvSpPr/>
      </xdr:nvSpPr>
      <xdr:spPr>
        <a:xfrm>
          <a:off x="3495675" y="2800350"/>
          <a:ext cx="933450" cy="2933700"/>
        </a:xfrm>
        <a:custGeom>
          <a:avLst/>
          <a:gdLst>
            <a:gd name="connsiteX0" fmla="*/ 0 w 895350"/>
            <a:gd name="connsiteY0" fmla="*/ 1371600 h 1371600"/>
            <a:gd name="connsiteX1" fmla="*/ 533400 w 895350"/>
            <a:gd name="connsiteY1" fmla="*/ 1371600 h 1371600"/>
            <a:gd name="connsiteX2" fmla="*/ 542925 w 895350"/>
            <a:gd name="connsiteY2" fmla="*/ 0 h 1371600"/>
            <a:gd name="connsiteX3" fmla="*/ 895350 w 895350"/>
            <a:gd name="connsiteY3" fmla="*/ 0 h 1371600"/>
            <a:gd name="connsiteX4" fmla="*/ 895350 w 895350"/>
            <a:gd name="connsiteY4" fmla="*/ 0 h 1371600"/>
            <a:gd name="connsiteX5" fmla="*/ 895350 w 895350"/>
            <a:gd name="connsiteY5" fmla="*/ 0 h 13716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895350" h="1371600">
              <a:moveTo>
                <a:pt x="0" y="1371600"/>
              </a:moveTo>
              <a:lnTo>
                <a:pt x="533400" y="1371600"/>
              </a:lnTo>
              <a:lnTo>
                <a:pt x="542925" y="0"/>
              </a:lnTo>
              <a:lnTo>
                <a:pt x="895350" y="0"/>
              </a:lnTo>
              <a:lnTo>
                <a:pt x="895350" y="0"/>
              </a:lnTo>
              <a:lnTo>
                <a:pt x="895350" y="0"/>
              </a:lnTo>
            </a:path>
          </a:pathLst>
        </a:custGeom>
        <a:noFill/>
        <a:ln w="9525">
          <a:solidFill>
            <a:schemeClr val="accent4"/>
          </a:solidFill>
          <a:tailEnd type="stealth"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oneCellAnchor>
    <xdr:from>
      <xdr:col>4</xdr:col>
      <xdr:colOff>38102</xdr:colOff>
      <xdr:row>19</xdr:row>
      <xdr:rowOff>76200</xdr:rowOff>
    </xdr:from>
    <xdr:ext cx="2847641" cy="461900"/>
    <xdr:pic>
      <xdr:nvPicPr>
        <xdr:cNvPr id="3" name="Picture 2" descr="algebra for rpa calculation">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28902" y="3514725"/>
          <a:ext cx="2847641" cy="4619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mc:AlternateContent xmlns:mc="http://schemas.openxmlformats.org/markup-compatibility/2006">
    <mc:Choice xmlns:a14="http://schemas.microsoft.com/office/drawing/2010/main" Requires="a14">
      <xdr:twoCellAnchor editAs="oneCell">
        <xdr:from>
          <xdr:col>2</xdr:col>
          <xdr:colOff>0</xdr:colOff>
          <xdr:row>6</xdr:row>
          <xdr:rowOff>12700</xdr:rowOff>
        </xdr:from>
        <xdr:to>
          <xdr:col>3</xdr:col>
          <xdr:colOff>285750</xdr:colOff>
          <xdr:row>7</xdr:row>
          <xdr:rowOff>0</xdr:rowOff>
        </xdr:to>
        <xdr:sp macro="" textlink="">
          <xdr:nvSpPr>
            <xdr:cNvPr id="15362" name="Drop Down 2" descr="algebra for discount factor" hidden="1">
              <a:extLst>
                <a:ext uri="{63B3BB69-23CF-44E3-9099-C40C66FF867C}">
                  <a14:compatExt spid="_x0000_s15362"/>
                </a:ext>
                <a:ext uri="{FF2B5EF4-FFF2-40B4-BE49-F238E27FC236}">
                  <a16:creationId xmlns:a16="http://schemas.microsoft.com/office/drawing/2014/main" id="{00000000-0008-0000-0700-000002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4</xdr:col>
      <xdr:colOff>1972857</xdr:colOff>
      <xdr:row>1</xdr:row>
      <xdr:rowOff>55562</xdr:rowOff>
    </xdr:from>
    <xdr:to>
      <xdr:col>6</xdr:col>
      <xdr:colOff>172890</xdr:colOff>
      <xdr:row>2</xdr:row>
      <xdr:rowOff>45964</xdr:rowOff>
    </xdr:to>
    <xdr:sp macro="" textlink="">
      <xdr:nvSpPr>
        <xdr:cNvPr id="5" name="Rounded Rectangle 4">
          <a:hlinkClick xmlns:r="http://schemas.openxmlformats.org/officeDocument/2006/relationships" r:id="rId2"/>
          <a:extLst>
            <a:ext uri="{FF2B5EF4-FFF2-40B4-BE49-F238E27FC236}">
              <a16:creationId xmlns:a16="http://schemas.microsoft.com/office/drawing/2014/main" id="{00000000-0008-0000-0900-000005000000}"/>
            </a:ext>
          </a:extLst>
        </xdr:cNvPr>
        <xdr:cNvSpPr/>
      </xdr:nvSpPr>
      <xdr:spPr>
        <a:xfrm>
          <a:off x="5578070" y="317500"/>
          <a:ext cx="1390908" cy="252339"/>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marL="0" indent="0" algn="ctr"/>
          <a:r>
            <a:rPr lang="en-GB" sz="1100">
              <a:solidFill>
                <a:schemeClr val="dk1"/>
              </a:solidFill>
              <a:latin typeface="+mn-lt"/>
              <a:ea typeface="+mn-ea"/>
              <a:cs typeface="+mn-cs"/>
            </a:rPr>
            <a:t>Navigation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6</xdr:col>
      <xdr:colOff>0</xdr:colOff>
      <xdr:row>1</xdr:row>
      <xdr:rowOff>0</xdr:rowOff>
    </xdr:from>
    <xdr:to>
      <xdr:col>7</xdr:col>
      <xdr:colOff>476250</xdr:colOff>
      <xdr:row>1</xdr:row>
      <xdr:rowOff>326572</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B00-000002000000}"/>
            </a:ext>
          </a:extLst>
        </xdr:cNvPr>
        <xdr:cNvSpPr/>
      </xdr:nvSpPr>
      <xdr:spPr>
        <a:xfrm>
          <a:off x="7962900" y="333375"/>
          <a:ext cx="1228725" cy="326572"/>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1.xml"/><Relationship Id="rId1" Type="http://schemas.openxmlformats.org/officeDocument/2006/relationships/printerSettings" Target="../printerSettings/printerSettings12.bin"/><Relationship Id="rId6" Type="http://schemas.openxmlformats.org/officeDocument/2006/relationships/comments" Target="../comments3.xml"/><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2.xml"/><Relationship Id="rId1" Type="http://schemas.openxmlformats.org/officeDocument/2006/relationships/printerSettings" Target="../printerSettings/printerSettings13.bin"/><Relationship Id="rId5" Type="http://schemas.openxmlformats.org/officeDocument/2006/relationships/comments" Target="../comments4.xml"/><Relationship Id="rId4" Type="http://schemas.openxmlformats.org/officeDocument/2006/relationships/ctrlProp" Target="../ctrlProps/ctrlProp6.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openxmlformats.org/officeDocument/2006/relationships/comments" Target="../comments2.xml"/><Relationship Id="rId4" Type="http://schemas.openxmlformats.org/officeDocument/2006/relationships/ctrlProp" Target="../ctrlProps/ctrlProp3.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K159"/>
  <sheetViews>
    <sheetView showGridLines="0" tabSelected="1" zoomScaleNormal="100" workbookViewId="0">
      <selection activeCell="D9" sqref="D9"/>
    </sheetView>
  </sheetViews>
  <sheetFormatPr defaultColWidth="9.1796875" defaultRowHeight="14"/>
  <cols>
    <col min="1" max="1" width="9.1796875" style="33"/>
    <col min="2" max="2" width="16.7265625" style="33" customWidth="1"/>
    <col min="3" max="3" width="16.26953125" style="33" customWidth="1"/>
    <col min="4" max="4" width="32" style="34" customWidth="1"/>
    <col min="5" max="7" width="9.1796875" style="33"/>
    <col min="8" max="16384" width="9.1796875" style="34"/>
  </cols>
  <sheetData>
    <row r="1" spans="2:37">
      <c r="D1" s="33"/>
    </row>
    <row r="2" spans="2:37">
      <c r="D2" s="33"/>
    </row>
    <row r="3" spans="2:37">
      <c r="D3" s="33"/>
    </row>
    <row r="4" spans="2:37" ht="14.5" thickBot="1">
      <c r="D4" s="33"/>
    </row>
    <row r="5" spans="2:37" ht="14.5" thickTop="1">
      <c r="B5" s="183"/>
      <c r="C5" s="184"/>
      <c r="D5" s="184"/>
      <c r="E5" s="184"/>
      <c r="F5" s="184"/>
      <c r="G5" s="185"/>
      <c r="J5" s="41"/>
      <c r="K5" s="33" t="s">
        <v>0</v>
      </c>
    </row>
    <row r="6" spans="2:37">
      <c r="B6" s="186"/>
      <c r="C6" s="187"/>
      <c r="D6" s="187"/>
      <c r="E6" s="187"/>
      <c r="F6" s="187"/>
      <c r="G6" s="188"/>
      <c r="J6" s="42"/>
      <c r="K6" s="33" t="s">
        <v>1</v>
      </c>
      <c r="AK6" s="35"/>
    </row>
    <row r="7" spans="2:37" ht="17.5">
      <c r="B7" s="186"/>
      <c r="C7" s="187"/>
      <c r="D7" s="60" t="s">
        <v>2</v>
      </c>
      <c r="E7" s="187"/>
      <c r="F7" s="187"/>
      <c r="G7" s="188"/>
      <c r="J7" s="43"/>
      <c r="K7" s="33" t="s">
        <v>3</v>
      </c>
    </row>
    <row r="8" spans="2:37">
      <c r="B8" s="186"/>
      <c r="C8" s="187"/>
      <c r="D8" s="33"/>
      <c r="E8" s="187"/>
      <c r="F8" s="187"/>
      <c r="G8" s="188"/>
      <c r="J8" s="44"/>
      <c r="K8" s="33" t="s">
        <v>4</v>
      </c>
    </row>
    <row r="9" spans="2:37">
      <c r="B9" s="186"/>
      <c r="C9" s="187"/>
      <c r="D9" s="89" t="s">
        <v>613</v>
      </c>
      <c r="E9" s="187"/>
      <c r="F9" s="187"/>
      <c r="G9" s="188"/>
      <c r="J9" s="45"/>
      <c r="K9" s="33" t="s">
        <v>5</v>
      </c>
    </row>
    <row r="10" spans="2:37" ht="19.5">
      <c r="B10" s="186"/>
      <c r="C10" s="187"/>
      <c r="D10" s="36"/>
      <c r="E10" s="187"/>
      <c r="F10" s="187"/>
      <c r="G10" s="188"/>
      <c r="J10" s="46"/>
      <c r="K10" s="33" t="s">
        <v>6</v>
      </c>
    </row>
    <row r="11" spans="2:37">
      <c r="B11" s="186"/>
      <c r="C11" s="187"/>
      <c r="D11" s="187"/>
      <c r="E11" s="187"/>
      <c r="F11" s="187"/>
      <c r="G11" s="188"/>
    </row>
    <row r="12" spans="2:37">
      <c r="B12" s="186"/>
      <c r="C12" s="189" t="s">
        <v>7</v>
      </c>
      <c r="D12" s="190" t="s">
        <v>8</v>
      </c>
      <c r="E12" s="187"/>
      <c r="F12" s="187"/>
      <c r="G12" s="188"/>
    </row>
    <row r="13" spans="2:37" ht="7.5" customHeight="1">
      <c r="B13" s="186"/>
      <c r="C13" s="189"/>
      <c r="D13" s="190"/>
      <c r="E13" s="187"/>
      <c r="F13" s="187"/>
      <c r="G13" s="188"/>
    </row>
    <row r="14" spans="2:37">
      <c r="B14" s="186"/>
      <c r="C14" s="189" t="s">
        <v>9</v>
      </c>
      <c r="D14" s="190" t="s">
        <v>9</v>
      </c>
      <c r="E14" s="187"/>
      <c r="F14" s="187"/>
      <c r="G14" s="188"/>
    </row>
    <row r="15" spans="2:37">
      <c r="B15" s="186"/>
      <c r="C15" s="189" t="s">
        <v>10</v>
      </c>
      <c r="D15" s="190" t="s">
        <v>10</v>
      </c>
      <c r="E15" s="187"/>
      <c r="F15" s="187"/>
      <c r="G15" s="188"/>
    </row>
    <row r="16" spans="2:37">
      <c r="B16" s="186"/>
      <c r="C16" s="189" t="s">
        <v>11</v>
      </c>
      <c r="D16" s="190" t="s">
        <v>11</v>
      </c>
      <c r="E16" s="187"/>
      <c r="F16" s="187"/>
      <c r="G16" s="188"/>
    </row>
    <row r="17" spans="2:37">
      <c r="B17" s="186"/>
      <c r="C17" s="189" t="s">
        <v>12</v>
      </c>
      <c r="D17" s="190" t="s">
        <v>12</v>
      </c>
      <c r="E17" s="187"/>
      <c r="F17" s="187"/>
      <c r="G17" s="188"/>
    </row>
    <row r="18" spans="2:37">
      <c r="B18" s="186"/>
      <c r="C18" s="189" t="s">
        <v>13</v>
      </c>
      <c r="D18" s="190" t="s">
        <v>13</v>
      </c>
      <c r="E18" s="187"/>
      <c r="F18" s="187"/>
      <c r="G18" s="188"/>
    </row>
    <row r="19" spans="2:37">
      <c r="B19" s="186"/>
      <c r="C19" s="189" t="s">
        <v>14</v>
      </c>
      <c r="D19" s="190" t="s">
        <v>14</v>
      </c>
      <c r="E19" s="187"/>
      <c r="F19" s="187"/>
      <c r="G19" s="188"/>
    </row>
    <row r="20" spans="2:37" ht="6" customHeight="1">
      <c r="B20" s="186"/>
      <c r="C20" s="189"/>
      <c r="D20" s="191"/>
      <c r="E20" s="187"/>
      <c r="F20" s="187"/>
      <c r="G20" s="188"/>
    </row>
    <row r="21" spans="2:37">
      <c r="B21" s="186"/>
      <c r="C21" s="189" t="s">
        <v>15</v>
      </c>
      <c r="D21" s="190" t="s">
        <v>16</v>
      </c>
      <c r="E21" s="187"/>
      <c r="F21" s="187"/>
      <c r="G21" s="188"/>
    </row>
    <row r="22" spans="2:37">
      <c r="B22" s="186"/>
      <c r="C22" s="189" t="s">
        <v>17</v>
      </c>
      <c r="D22" s="190" t="s">
        <v>18</v>
      </c>
      <c r="E22" s="187"/>
      <c r="F22" s="187"/>
      <c r="G22" s="188"/>
    </row>
    <row r="23" spans="2:37">
      <c r="B23" s="186"/>
      <c r="C23" s="189"/>
      <c r="D23" s="187"/>
      <c r="E23" s="187"/>
      <c r="F23" s="187"/>
      <c r="G23" s="188"/>
    </row>
    <row r="24" spans="2:37">
      <c r="B24" s="186"/>
      <c r="C24" s="189" t="s">
        <v>19</v>
      </c>
      <c r="D24" s="192">
        <v>2026</v>
      </c>
      <c r="E24" s="187"/>
      <c r="F24" s="187"/>
      <c r="G24" s="188"/>
    </row>
    <row r="25" spans="2:37" ht="14.5" thickBot="1">
      <c r="B25" s="193"/>
      <c r="C25" s="194"/>
      <c r="D25" s="194"/>
      <c r="E25" s="194"/>
      <c r="F25" s="194"/>
      <c r="G25" s="195"/>
    </row>
    <row r="26" spans="2:37" s="33" customFormat="1" ht="14.5" thickTop="1">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row>
    <row r="27" spans="2:37" s="33" customFormat="1">
      <c r="C27" s="37"/>
      <c r="H27" s="34"/>
      <c r="I27" s="34"/>
      <c r="J27" s="34"/>
      <c r="K27" s="34"/>
      <c r="L27" s="34"/>
      <c r="M27" s="34"/>
      <c r="N27" s="34"/>
      <c r="O27" s="34"/>
      <c r="P27" s="34"/>
      <c r="Q27" s="34"/>
      <c r="R27" s="34"/>
      <c r="S27" s="34"/>
      <c r="T27" s="34"/>
      <c r="U27" s="34"/>
      <c r="V27" s="34"/>
      <c r="W27" s="34"/>
      <c r="X27" s="34"/>
      <c r="Y27" s="34"/>
      <c r="Z27" s="34"/>
      <c r="AA27" s="34"/>
      <c r="AB27" s="34"/>
      <c r="AC27" s="34"/>
      <c r="AD27" s="34"/>
      <c r="AE27" s="34"/>
      <c r="AF27" s="34"/>
      <c r="AG27" s="34"/>
      <c r="AH27" s="34"/>
      <c r="AI27" s="34"/>
      <c r="AJ27" s="34"/>
      <c r="AK27" s="34"/>
    </row>
    <row r="28" spans="2:37" s="33" customFormat="1">
      <c r="C28" s="37"/>
      <c r="H28" s="34"/>
      <c r="I28" s="34"/>
      <c r="J28" s="34"/>
      <c r="K28" s="34"/>
      <c r="L28" s="34"/>
      <c r="M28" s="34"/>
      <c r="N28" s="34"/>
      <c r="O28" s="34"/>
      <c r="P28" s="34"/>
      <c r="Q28" s="34"/>
      <c r="R28" s="34"/>
      <c r="S28" s="34"/>
      <c r="T28" s="34"/>
      <c r="U28" s="34"/>
      <c r="V28" s="34"/>
      <c r="W28" s="34"/>
      <c r="X28" s="34"/>
      <c r="Y28" s="34"/>
      <c r="Z28" s="34"/>
      <c r="AA28" s="34"/>
      <c r="AB28" s="34"/>
      <c r="AC28" s="34"/>
      <c r="AD28" s="34"/>
      <c r="AE28" s="34"/>
      <c r="AF28" s="34"/>
      <c r="AG28" s="34"/>
      <c r="AH28" s="34"/>
      <c r="AI28" s="34"/>
      <c r="AJ28" s="34"/>
      <c r="AK28" s="34"/>
    </row>
    <row r="29" spans="2:37" s="33" customFormat="1">
      <c r="H29" s="34"/>
      <c r="I29" s="34"/>
      <c r="J29" s="34"/>
      <c r="K29" s="34"/>
      <c r="L29" s="34"/>
      <c r="M29" s="34"/>
      <c r="N29" s="34"/>
      <c r="O29" s="34"/>
      <c r="P29" s="34"/>
      <c r="Q29" s="34"/>
      <c r="R29" s="34"/>
      <c r="S29" s="34"/>
      <c r="T29" s="34"/>
      <c r="U29" s="34"/>
      <c r="V29" s="34"/>
      <c r="W29" s="34"/>
      <c r="X29" s="34"/>
      <c r="Y29" s="34"/>
      <c r="Z29" s="34"/>
      <c r="AA29" s="34"/>
      <c r="AB29" s="34"/>
      <c r="AC29" s="34"/>
      <c r="AD29" s="34"/>
      <c r="AE29" s="34"/>
      <c r="AF29" s="34"/>
      <c r="AG29" s="34"/>
      <c r="AH29" s="34"/>
      <c r="AI29" s="34"/>
      <c r="AJ29" s="34"/>
      <c r="AK29" s="34"/>
    </row>
    <row r="30" spans="2:37" s="33" customFormat="1">
      <c r="H30" s="34"/>
      <c r="I30" s="34"/>
      <c r="J30" s="34"/>
      <c r="K30" s="34"/>
      <c r="L30" s="34"/>
      <c r="M30" s="34"/>
      <c r="N30" s="34"/>
      <c r="O30" s="34"/>
      <c r="P30" s="34"/>
      <c r="Q30" s="34"/>
      <c r="R30" s="34"/>
      <c r="S30" s="34"/>
      <c r="T30" s="34"/>
      <c r="U30" s="34"/>
      <c r="V30" s="34"/>
      <c r="W30" s="34"/>
      <c r="X30" s="34"/>
      <c r="Y30" s="34"/>
      <c r="Z30" s="34"/>
      <c r="AA30" s="34"/>
      <c r="AB30" s="34"/>
      <c r="AC30" s="34"/>
      <c r="AD30" s="34"/>
      <c r="AE30" s="34"/>
      <c r="AF30" s="34"/>
      <c r="AG30" s="34"/>
      <c r="AH30" s="34"/>
      <c r="AI30" s="34"/>
      <c r="AJ30" s="34"/>
      <c r="AK30" s="34"/>
    </row>
    <row r="31" spans="2:37" s="33" customFormat="1">
      <c r="H31" s="34"/>
      <c r="I31" s="34"/>
      <c r="J31" s="34"/>
      <c r="K31" s="34"/>
      <c r="L31" s="34"/>
      <c r="M31" s="34"/>
      <c r="N31" s="34"/>
      <c r="O31" s="34"/>
      <c r="P31" s="34"/>
      <c r="Q31" s="34"/>
      <c r="R31" s="34"/>
      <c r="S31" s="34"/>
      <c r="T31" s="34"/>
      <c r="U31" s="34"/>
      <c r="V31" s="34"/>
      <c r="W31" s="34"/>
      <c r="X31" s="34"/>
      <c r="Y31" s="34"/>
      <c r="Z31" s="34"/>
      <c r="AA31" s="34"/>
      <c r="AB31" s="34"/>
      <c r="AC31" s="34"/>
      <c r="AD31" s="34"/>
      <c r="AE31" s="34"/>
      <c r="AF31" s="34"/>
      <c r="AG31" s="34"/>
      <c r="AH31" s="34"/>
      <c r="AI31" s="34"/>
      <c r="AJ31" s="34"/>
      <c r="AK31" s="34"/>
    </row>
    <row r="32" spans="2:37" s="33" customFormat="1">
      <c r="H32" s="34"/>
      <c r="I32" s="34"/>
      <c r="J32" s="34"/>
      <c r="K32" s="34"/>
      <c r="L32" s="34"/>
      <c r="M32" s="34"/>
      <c r="N32" s="34"/>
      <c r="O32" s="34"/>
      <c r="P32" s="34"/>
      <c r="Q32" s="34"/>
      <c r="R32" s="34"/>
      <c r="S32" s="34"/>
      <c r="T32" s="34"/>
      <c r="U32" s="34"/>
      <c r="V32" s="34"/>
      <c r="W32" s="34"/>
      <c r="X32" s="34"/>
      <c r="Y32" s="34"/>
      <c r="Z32" s="34"/>
      <c r="AA32" s="34"/>
      <c r="AB32" s="34"/>
      <c r="AC32" s="34"/>
      <c r="AD32" s="34"/>
      <c r="AE32" s="34"/>
      <c r="AF32" s="34"/>
      <c r="AG32" s="34"/>
      <c r="AH32" s="34"/>
      <c r="AI32" s="34"/>
      <c r="AJ32" s="34"/>
      <c r="AK32" s="34"/>
    </row>
    <row r="33" spans="2:37" s="33" customFormat="1">
      <c r="B33" s="196">
        <v>0</v>
      </c>
      <c r="C33" s="39" t="s">
        <v>20</v>
      </c>
      <c r="D33" s="68" t="s">
        <v>21</v>
      </c>
      <c r="H33" s="34"/>
      <c r="I33" s="34"/>
      <c r="J33" s="34"/>
      <c r="K33" s="34"/>
      <c r="L33" s="34"/>
      <c r="M33" s="34"/>
      <c r="N33" s="34"/>
      <c r="O33" s="34"/>
      <c r="P33" s="34"/>
      <c r="Q33" s="34"/>
      <c r="R33" s="34"/>
      <c r="S33" s="34"/>
      <c r="T33" s="34"/>
      <c r="U33" s="34"/>
      <c r="V33" s="34"/>
      <c r="W33" s="34"/>
      <c r="X33" s="34"/>
      <c r="Y33" s="34"/>
      <c r="Z33" s="34"/>
      <c r="AA33" s="34"/>
      <c r="AB33" s="34"/>
      <c r="AC33" s="34"/>
      <c r="AD33" s="34"/>
      <c r="AE33" s="34"/>
      <c r="AF33" s="34"/>
      <c r="AG33" s="34"/>
      <c r="AH33" s="34"/>
      <c r="AI33" s="34"/>
      <c r="AJ33" s="34"/>
      <c r="AK33" s="34"/>
    </row>
    <row r="34" spans="2:37" s="33" customFormat="1">
      <c r="B34" s="196">
        <v>1</v>
      </c>
      <c r="C34" s="40" t="s">
        <v>22</v>
      </c>
      <c r="D34" s="40" t="s">
        <v>8</v>
      </c>
      <c r="H34" s="34"/>
      <c r="I34" s="189"/>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row>
    <row r="35" spans="2:37" s="33" customFormat="1">
      <c r="B35" s="196">
        <v>2</v>
      </c>
      <c r="C35" s="40" t="s">
        <v>23</v>
      </c>
      <c r="D35" s="40" t="s">
        <v>24</v>
      </c>
      <c r="H35" s="34"/>
      <c r="I35" s="189"/>
      <c r="J35" s="34"/>
      <c r="K35" s="34"/>
      <c r="L35" s="34"/>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row>
    <row r="36" spans="2:37" s="33" customFormat="1">
      <c r="B36" s="196">
        <v>3</v>
      </c>
      <c r="C36" s="40" t="s">
        <v>24</v>
      </c>
      <c r="D36" s="40" t="s">
        <v>25</v>
      </c>
      <c r="H36" s="34"/>
      <c r="I36" s="189"/>
      <c r="J36" s="34"/>
      <c r="K36" s="34"/>
      <c r="L36" s="34"/>
      <c r="M36" s="34"/>
      <c r="N36" s="34"/>
      <c r="O36" s="34"/>
      <c r="P36" s="34"/>
      <c r="Q36" s="34"/>
      <c r="R36" s="34"/>
      <c r="S36" s="34"/>
      <c r="T36" s="34"/>
      <c r="U36" s="34"/>
      <c r="V36" s="34"/>
      <c r="W36" s="34"/>
      <c r="X36" s="34"/>
      <c r="Y36" s="34"/>
      <c r="Z36" s="34"/>
      <c r="AA36" s="34"/>
      <c r="AB36" s="34"/>
      <c r="AC36" s="34"/>
      <c r="AD36" s="34"/>
      <c r="AE36" s="34"/>
      <c r="AF36" s="34"/>
      <c r="AG36" s="34"/>
      <c r="AH36" s="34"/>
      <c r="AI36" s="34"/>
      <c r="AJ36" s="34"/>
      <c r="AK36" s="34"/>
    </row>
    <row r="37" spans="2:37" s="33" customFormat="1">
      <c r="B37" s="196">
        <v>4</v>
      </c>
      <c r="C37" s="40" t="s">
        <v>26</v>
      </c>
      <c r="D37" s="40" t="s">
        <v>27</v>
      </c>
      <c r="H37" s="34"/>
      <c r="I37" s="189"/>
      <c r="J37" s="34"/>
      <c r="K37" s="34"/>
      <c r="L37" s="34"/>
      <c r="M37" s="34"/>
      <c r="N37" s="34"/>
      <c r="O37" s="34"/>
      <c r="P37" s="34"/>
      <c r="Q37" s="34"/>
      <c r="R37" s="34"/>
      <c r="S37" s="34"/>
      <c r="T37" s="34"/>
      <c r="U37" s="34"/>
      <c r="V37" s="34"/>
      <c r="W37" s="34"/>
      <c r="X37" s="34"/>
      <c r="Y37" s="34"/>
      <c r="Z37" s="34"/>
      <c r="AA37" s="34"/>
      <c r="AB37" s="34"/>
      <c r="AC37" s="34"/>
      <c r="AD37" s="34"/>
      <c r="AE37" s="34"/>
      <c r="AF37" s="34"/>
      <c r="AG37" s="34"/>
      <c r="AH37" s="34"/>
      <c r="AI37" s="34"/>
      <c r="AJ37" s="34"/>
      <c r="AK37" s="34"/>
    </row>
    <row r="38" spans="2:37" s="33" customFormat="1">
      <c r="B38" s="196">
        <v>5</v>
      </c>
      <c r="C38" s="40" t="s">
        <v>28</v>
      </c>
      <c r="D38" s="40" t="s">
        <v>29</v>
      </c>
      <c r="H38" s="34"/>
      <c r="I38" s="189"/>
      <c r="J38" s="34"/>
      <c r="K38" s="34"/>
      <c r="L38" s="34"/>
      <c r="M38" s="34"/>
      <c r="N38" s="34"/>
      <c r="O38" s="34"/>
      <c r="P38" s="34"/>
      <c r="Q38" s="34"/>
      <c r="R38" s="34"/>
      <c r="S38" s="34"/>
      <c r="T38" s="34"/>
      <c r="U38" s="34"/>
      <c r="V38" s="34"/>
      <c r="W38" s="34"/>
      <c r="X38" s="34"/>
      <c r="Y38" s="34"/>
      <c r="Z38" s="34"/>
      <c r="AA38" s="34"/>
      <c r="AB38" s="34"/>
      <c r="AC38" s="34"/>
      <c r="AD38" s="34"/>
      <c r="AE38" s="34"/>
      <c r="AF38" s="34"/>
      <c r="AG38" s="34"/>
      <c r="AH38" s="34"/>
      <c r="AI38" s="34"/>
      <c r="AJ38" s="34"/>
      <c r="AK38" s="34"/>
    </row>
    <row r="39" spans="2:37" s="33" customFormat="1">
      <c r="B39" s="196">
        <v>6</v>
      </c>
      <c r="C39" s="40" t="s">
        <v>30</v>
      </c>
      <c r="D39" s="40" t="s">
        <v>31</v>
      </c>
      <c r="H39" s="34"/>
      <c r="I39" s="189"/>
      <c r="J39" s="34"/>
      <c r="K39" s="34"/>
      <c r="L39" s="34"/>
      <c r="M39" s="34"/>
      <c r="N39" s="34"/>
      <c r="O39" s="34"/>
      <c r="P39" s="34"/>
      <c r="Q39" s="34"/>
      <c r="R39" s="34"/>
      <c r="S39" s="34"/>
      <c r="T39" s="34"/>
      <c r="U39" s="34"/>
      <c r="V39" s="34"/>
      <c r="W39" s="34"/>
      <c r="X39" s="34"/>
      <c r="Y39" s="34"/>
      <c r="Z39" s="34"/>
      <c r="AA39" s="34"/>
      <c r="AB39" s="34"/>
      <c r="AC39" s="34"/>
      <c r="AD39" s="34"/>
      <c r="AE39" s="34"/>
      <c r="AF39" s="34"/>
      <c r="AG39" s="34"/>
      <c r="AH39" s="34"/>
      <c r="AI39" s="34"/>
      <c r="AJ39" s="34"/>
      <c r="AK39" s="34"/>
    </row>
    <row r="40" spans="2:37" s="33" customFormat="1">
      <c r="B40" s="196">
        <v>7</v>
      </c>
      <c r="C40" s="40" t="s">
        <v>32</v>
      </c>
      <c r="D40" s="40" t="s">
        <v>33</v>
      </c>
      <c r="H40" s="34"/>
      <c r="I40" s="189"/>
      <c r="J40" s="34"/>
      <c r="K40" s="34"/>
      <c r="L40" s="34"/>
      <c r="M40" s="34"/>
      <c r="N40" s="34"/>
      <c r="O40" s="34"/>
      <c r="P40" s="34"/>
      <c r="Q40" s="34"/>
      <c r="R40" s="34"/>
      <c r="S40" s="34"/>
      <c r="T40" s="34"/>
      <c r="U40" s="34"/>
      <c r="V40" s="34"/>
      <c r="W40" s="34"/>
      <c r="X40" s="34"/>
      <c r="Y40" s="34"/>
      <c r="Z40" s="34"/>
      <c r="AA40" s="34"/>
      <c r="AB40" s="34"/>
      <c r="AC40" s="34"/>
      <c r="AD40" s="34"/>
      <c r="AE40" s="34"/>
      <c r="AF40" s="34"/>
      <c r="AG40" s="34"/>
      <c r="AH40" s="34"/>
      <c r="AI40" s="34"/>
      <c r="AJ40" s="34"/>
      <c r="AK40" s="34"/>
    </row>
    <row r="41" spans="2:37" s="33" customFormat="1">
      <c r="B41" s="196">
        <v>8</v>
      </c>
      <c r="C41" s="40" t="s">
        <v>34</v>
      </c>
      <c r="D41" s="40" t="s">
        <v>35</v>
      </c>
      <c r="H41" s="34"/>
      <c r="I41" s="189"/>
      <c r="J41" s="34"/>
      <c r="K41" s="34"/>
      <c r="L41" s="34"/>
      <c r="M41" s="34"/>
      <c r="N41" s="34"/>
      <c r="O41" s="34"/>
      <c r="P41" s="34"/>
      <c r="Q41" s="34"/>
      <c r="R41" s="34"/>
      <c r="S41" s="34"/>
      <c r="T41" s="34"/>
      <c r="U41" s="34"/>
      <c r="V41" s="34"/>
      <c r="W41" s="34"/>
      <c r="X41" s="34"/>
      <c r="Y41" s="34"/>
      <c r="Z41" s="34"/>
      <c r="AA41" s="34"/>
      <c r="AB41" s="34"/>
      <c r="AC41" s="34"/>
      <c r="AD41" s="34"/>
      <c r="AE41" s="34"/>
      <c r="AF41" s="34"/>
      <c r="AG41" s="34"/>
      <c r="AH41" s="34"/>
      <c r="AI41" s="34"/>
      <c r="AJ41" s="34"/>
      <c r="AK41" s="34"/>
    </row>
    <row r="42" spans="2:37" s="33" customFormat="1">
      <c r="B42" s="196">
        <v>9</v>
      </c>
      <c r="C42" s="40" t="s">
        <v>36</v>
      </c>
      <c r="D42" s="40" t="s">
        <v>37</v>
      </c>
      <c r="H42" s="34"/>
      <c r="J42" s="34"/>
      <c r="K42" s="34"/>
      <c r="L42" s="34"/>
      <c r="M42" s="34"/>
      <c r="N42" s="34"/>
      <c r="O42" s="34"/>
      <c r="P42" s="34"/>
      <c r="Q42" s="34"/>
      <c r="R42" s="34"/>
      <c r="S42" s="34"/>
      <c r="T42" s="34"/>
      <c r="U42" s="34"/>
      <c r="V42" s="34"/>
      <c r="W42" s="34"/>
      <c r="X42" s="34"/>
      <c r="Y42" s="34"/>
      <c r="Z42" s="34"/>
      <c r="AA42" s="34"/>
      <c r="AB42" s="34"/>
      <c r="AC42" s="34"/>
      <c r="AD42" s="34"/>
      <c r="AE42" s="34"/>
      <c r="AF42" s="34"/>
      <c r="AG42" s="34"/>
      <c r="AH42" s="34"/>
      <c r="AI42" s="34"/>
      <c r="AJ42" s="34"/>
      <c r="AK42" s="34"/>
    </row>
    <row r="43" spans="2:37" s="33" customFormat="1">
      <c r="B43" s="196">
        <v>10</v>
      </c>
      <c r="C43" s="40" t="s">
        <v>38</v>
      </c>
      <c r="D43" s="40" t="s">
        <v>39</v>
      </c>
      <c r="H43" s="34"/>
      <c r="I43" s="34"/>
      <c r="J43" s="34"/>
      <c r="K43" s="34"/>
      <c r="L43" s="34"/>
      <c r="M43" s="34"/>
      <c r="N43" s="34"/>
      <c r="O43" s="34"/>
      <c r="P43" s="34"/>
      <c r="Q43" s="34"/>
      <c r="R43" s="34"/>
      <c r="S43" s="34"/>
      <c r="T43" s="34"/>
      <c r="U43" s="34"/>
      <c r="V43" s="34"/>
      <c r="W43" s="34"/>
      <c r="X43" s="34"/>
      <c r="Y43" s="34"/>
      <c r="Z43" s="34"/>
      <c r="AA43" s="34"/>
      <c r="AB43" s="34"/>
      <c r="AC43" s="34"/>
      <c r="AD43" s="34"/>
      <c r="AE43" s="34"/>
      <c r="AF43" s="34"/>
      <c r="AG43" s="34"/>
      <c r="AH43" s="34"/>
      <c r="AI43" s="34"/>
      <c r="AJ43" s="34"/>
      <c r="AK43" s="34"/>
    </row>
    <row r="44" spans="2:37" s="33" customFormat="1">
      <c r="B44" s="196">
        <v>11</v>
      </c>
      <c r="C44" s="40" t="s">
        <v>40</v>
      </c>
      <c r="D44" s="40" t="s">
        <v>41</v>
      </c>
      <c r="H44" s="34"/>
      <c r="I44" s="34"/>
      <c r="J44" s="34"/>
      <c r="K44" s="34"/>
      <c r="L44" s="34"/>
      <c r="M44" s="34"/>
      <c r="N44" s="34"/>
      <c r="O44" s="34"/>
      <c r="P44" s="34"/>
      <c r="Q44" s="34"/>
      <c r="R44" s="34"/>
      <c r="S44" s="34"/>
      <c r="T44" s="34"/>
      <c r="U44" s="34"/>
      <c r="V44" s="34"/>
      <c r="W44" s="34"/>
      <c r="X44" s="34"/>
      <c r="Y44" s="34"/>
      <c r="Z44" s="34"/>
      <c r="AA44" s="34"/>
      <c r="AB44" s="34"/>
      <c r="AC44" s="34"/>
      <c r="AD44" s="34"/>
      <c r="AE44" s="34"/>
      <c r="AF44" s="34"/>
      <c r="AG44" s="34"/>
      <c r="AH44" s="34"/>
      <c r="AI44" s="34"/>
      <c r="AJ44" s="34"/>
      <c r="AK44" s="34"/>
    </row>
    <row r="45" spans="2:37" s="33" customFormat="1">
      <c r="B45" s="196">
        <v>12</v>
      </c>
      <c r="C45" s="40" t="s">
        <v>42</v>
      </c>
      <c r="D45" s="40" t="s">
        <v>43</v>
      </c>
      <c r="H45" s="34"/>
      <c r="I45" s="34"/>
      <c r="J45" s="34"/>
      <c r="K45" s="34"/>
      <c r="L45" s="34"/>
      <c r="M45" s="34"/>
      <c r="N45" s="34"/>
      <c r="O45" s="34"/>
      <c r="P45" s="34"/>
      <c r="Q45" s="34"/>
      <c r="R45" s="34"/>
      <c r="S45" s="34"/>
      <c r="T45" s="34"/>
      <c r="U45" s="34"/>
      <c r="V45" s="34"/>
      <c r="W45" s="34"/>
      <c r="X45" s="34"/>
      <c r="Y45" s="34"/>
      <c r="Z45" s="34"/>
      <c r="AA45" s="34"/>
      <c r="AB45" s="34"/>
      <c r="AC45" s="34"/>
      <c r="AD45" s="34"/>
      <c r="AE45" s="34"/>
      <c r="AF45" s="34"/>
      <c r="AG45" s="34"/>
      <c r="AH45" s="34"/>
      <c r="AI45" s="34"/>
      <c r="AJ45" s="34"/>
      <c r="AK45" s="34"/>
    </row>
    <row r="46" spans="2:37" s="33" customFormat="1">
      <c r="B46" s="196">
        <v>13</v>
      </c>
      <c r="C46" s="40" t="s">
        <v>44</v>
      </c>
      <c r="D46" s="40" t="s">
        <v>45</v>
      </c>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row>
    <row r="47" spans="2:37" s="33" customFormat="1">
      <c r="B47" s="196">
        <v>14</v>
      </c>
      <c r="C47" s="40" t="s">
        <v>46</v>
      </c>
      <c r="D47" s="40" t="s">
        <v>47</v>
      </c>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c r="AK47" s="34"/>
    </row>
    <row r="48" spans="2:37" s="33" customFormat="1">
      <c r="B48" s="196">
        <v>15</v>
      </c>
      <c r="C48" s="40" t="s">
        <v>48</v>
      </c>
      <c r="D48" s="40" t="s">
        <v>49</v>
      </c>
      <c r="H48" s="34"/>
      <c r="I48" s="34"/>
      <c r="J48" s="34"/>
      <c r="K48" s="34"/>
      <c r="L48" s="34"/>
      <c r="M48" s="34"/>
      <c r="N48" s="34"/>
      <c r="O48" s="34"/>
      <c r="P48" s="34"/>
      <c r="Q48" s="34"/>
      <c r="R48" s="34"/>
      <c r="S48" s="34"/>
      <c r="T48" s="34"/>
      <c r="U48" s="34"/>
      <c r="V48" s="34"/>
      <c r="W48" s="34"/>
      <c r="X48" s="34"/>
      <c r="Y48" s="34"/>
      <c r="Z48" s="34"/>
      <c r="AA48" s="34"/>
      <c r="AB48" s="34"/>
      <c r="AC48" s="34"/>
      <c r="AD48" s="34"/>
      <c r="AE48" s="34"/>
      <c r="AF48" s="34"/>
      <c r="AG48" s="34"/>
      <c r="AH48" s="34"/>
      <c r="AI48" s="34"/>
      <c r="AJ48" s="34"/>
      <c r="AK48" s="34"/>
    </row>
    <row r="49" spans="2:37" s="33" customFormat="1">
      <c r="B49" s="196">
        <v>16</v>
      </c>
      <c r="C49" s="40" t="s">
        <v>50</v>
      </c>
      <c r="D49" s="40" t="s">
        <v>18</v>
      </c>
      <c r="H49" s="34"/>
      <c r="I49" s="34"/>
      <c r="J49" s="34"/>
      <c r="K49" s="34"/>
      <c r="L49" s="34"/>
      <c r="M49" s="34"/>
      <c r="N49" s="34"/>
      <c r="O49" s="34"/>
      <c r="P49" s="34"/>
      <c r="Q49" s="34"/>
      <c r="R49" s="34"/>
      <c r="S49" s="34"/>
      <c r="T49" s="34"/>
      <c r="U49" s="34"/>
      <c r="V49" s="34"/>
      <c r="W49" s="34"/>
      <c r="X49" s="34"/>
      <c r="Y49" s="34"/>
      <c r="Z49" s="34"/>
      <c r="AA49" s="34"/>
      <c r="AB49" s="34"/>
      <c r="AC49" s="34"/>
      <c r="AD49" s="34"/>
      <c r="AE49" s="34"/>
      <c r="AF49" s="34"/>
      <c r="AG49" s="34"/>
      <c r="AH49" s="34"/>
      <c r="AI49" s="34"/>
      <c r="AJ49" s="34"/>
      <c r="AK49" s="34"/>
    </row>
    <row r="50" spans="2:37" s="33" customFormat="1">
      <c r="B50" s="196">
        <v>17</v>
      </c>
      <c r="C50" s="40" t="s">
        <v>51</v>
      </c>
      <c r="D50" s="40" t="s">
        <v>7</v>
      </c>
      <c r="H50" s="34"/>
      <c r="I50" s="34"/>
      <c r="J50" s="34"/>
      <c r="K50" s="34"/>
      <c r="L50" s="34"/>
      <c r="M50" s="34"/>
      <c r="N50" s="34"/>
      <c r="O50" s="34"/>
      <c r="P50" s="34"/>
      <c r="Q50" s="34"/>
      <c r="R50" s="34"/>
      <c r="S50" s="34"/>
      <c r="T50" s="34"/>
      <c r="U50" s="34"/>
      <c r="V50" s="34"/>
      <c r="W50" s="34"/>
      <c r="X50" s="34"/>
      <c r="Y50" s="34"/>
      <c r="Z50" s="34"/>
      <c r="AA50" s="34"/>
      <c r="AB50" s="34"/>
      <c r="AC50" s="34"/>
      <c r="AD50" s="34"/>
      <c r="AE50" s="34"/>
      <c r="AF50" s="34"/>
      <c r="AG50" s="34"/>
      <c r="AH50" s="34"/>
      <c r="AI50" s="34"/>
      <c r="AJ50" s="34"/>
      <c r="AK50" s="34"/>
    </row>
    <row r="51" spans="2:37" s="33" customFormat="1">
      <c r="B51" s="196">
        <v>18</v>
      </c>
      <c r="C51" s="40" t="s">
        <v>52</v>
      </c>
      <c r="H51" s="34"/>
      <c r="I51" s="34"/>
      <c r="J51" s="34"/>
      <c r="K51" s="34"/>
      <c r="L51" s="34"/>
      <c r="M51" s="34"/>
      <c r="N51" s="34"/>
      <c r="O51" s="34"/>
      <c r="P51" s="34"/>
      <c r="Q51" s="34"/>
      <c r="R51" s="34"/>
      <c r="S51" s="34"/>
      <c r="T51" s="34"/>
      <c r="U51" s="34"/>
      <c r="V51" s="34"/>
      <c r="W51" s="34"/>
      <c r="X51" s="34"/>
      <c r="Y51" s="34"/>
      <c r="Z51" s="34"/>
      <c r="AA51" s="34"/>
      <c r="AB51" s="34"/>
      <c r="AC51" s="34"/>
      <c r="AD51" s="34"/>
      <c r="AE51" s="34"/>
      <c r="AF51" s="34"/>
      <c r="AG51" s="34"/>
      <c r="AH51" s="34"/>
      <c r="AI51" s="34"/>
      <c r="AJ51" s="34"/>
      <c r="AK51" s="34"/>
    </row>
    <row r="52" spans="2:37" s="33" customFormat="1">
      <c r="B52" s="196">
        <v>19</v>
      </c>
      <c r="C52" s="40" t="s">
        <v>53</v>
      </c>
      <c r="H52" s="34"/>
      <c r="I52" s="34"/>
      <c r="J52" s="34"/>
      <c r="K52" s="34"/>
      <c r="L52" s="34"/>
      <c r="M52" s="34"/>
      <c r="N52" s="34"/>
      <c r="O52" s="34"/>
      <c r="P52" s="34"/>
      <c r="Q52" s="34"/>
      <c r="R52" s="34"/>
      <c r="S52" s="34"/>
      <c r="T52" s="34"/>
      <c r="U52" s="34"/>
      <c r="V52" s="34"/>
      <c r="W52" s="34"/>
      <c r="X52" s="34"/>
      <c r="Y52" s="34"/>
      <c r="Z52" s="34"/>
      <c r="AA52" s="34"/>
      <c r="AB52" s="34"/>
      <c r="AC52" s="34"/>
      <c r="AD52" s="34"/>
      <c r="AE52" s="34"/>
      <c r="AF52" s="34"/>
      <c r="AG52" s="34"/>
      <c r="AH52" s="34"/>
      <c r="AI52" s="34"/>
      <c r="AJ52" s="34"/>
      <c r="AK52" s="34"/>
    </row>
    <row r="53" spans="2:37" s="33" customFormat="1">
      <c r="B53" s="196">
        <v>20</v>
      </c>
      <c r="C53" s="40" t="s">
        <v>54</v>
      </c>
      <c r="H53" s="34"/>
      <c r="I53" s="34"/>
      <c r="J53" s="34"/>
      <c r="K53" s="34"/>
      <c r="L53" s="34"/>
      <c r="M53" s="34"/>
      <c r="N53" s="34"/>
      <c r="O53" s="34"/>
      <c r="P53" s="34"/>
      <c r="Q53" s="34"/>
      <c r="R53" s="34"/>
      <c r="S53" s="34"/>
      <c r="T53" s="34"/>
      <c r="U53" s="34"/>
      <c r="V53" s="34"/>
      <c r="W53" s="34"/>
      <c r="X53" s="34"/>
      <c r="Y53" s="34"/>
      <c r="Z53" s="34"/>
      <c r="AA53" s="34"/>
      <c r="AB53" s="34"/>
      <c r="AC53" s="34"/>
      <c r="AD53" s="34"/>
      <c r="AE53" s="34"/>
      <c r="AF53" s="34"/>
      <c r="AG53" s="34"/>
      <c r="AH53" s="34"/>
      <c r="AI53" s="34"/>
      <c r="AJ53" s="34"/>
      <c r="AK53" s="34"/>
    </row>
    <row r="54" spans="2:37" s="33" customFormat="1">
      <c r="B54" s="196">
        <v>21</v>
      </c>
      <c r="C54" s="40" t="s">
        <v>55</v>
      </c>
      <c r="H54" s="34"/>
      <c r="I54" s="34"/>
      <c r="J54" s="34"/>
      <c r="K54" s="34"/>
      <c r="L54" s="34"/>
      <c r="M54" s="34"/>
      <c r="N54" s="34"/>
      <c r="O54" s="34"/>
      <c r="P54" s="34"/>
      <c r="Q54" s="34"/>
      <c r="R54" s="34"/>
      <c r="S54" s="34"/>
      <c r="T54" s="34"/>
      <c r="U54" s="34"/>
      <c r="V54" s="34"/>
      <c r="W54" s="34"/>
      <c r="X54" s="34"/>
      <c r="Y54" s="34"/>
      <c r="Z54" s="34"/>
      <c r="AA54" s="34"/>
      <c r="AB54" s="34"/>
      <c r="AC54" s="34"/>
      <c r="AD54" s="34"/>
      <c r="AE54" s="34"/>
      <c r="AF54" s="34"/>
      <c r="AG54" s="34"/>
      <c r="AH54" s="34"/>
      <c r="AI54" s="34"/>
      <c r="AJ54" s="34"/>
      <c r="AK54" s="34"/>
    </row>
    <row r="55" spans="2:37" s="33" customFormat="1">
      <c r="B55" s="196">
        <v>22</v>
      </c>
      <c r="C55" s="40" t="s">
        <v>56</v>
      </c>
      <c r="H55" s="34"/>
      <c r="I55" s="34"/>
      <c r="J55" s="34"/>
      <c r="K55" s="34"/>
      <c r="L55" s="34"/>
      <c r="M55" s="34"/>
      <c r="N55" s="34"/>
      <c r="O55" s="34"/>
      <c r="P55" s="34"/>
      <c r="Q55" s="34"/>
      <c r="R55" s="34"/>
      <c r="S55" s="34"/>
      <c r="T55" s="34"/>
      <c r="U55" s="34"/>
      <c r="V55" s="34"/>
      <c r="W55" s="34"/>
      <c r="X55" s="34"/>
      <c r="Y55" s="34"/>
      <c r="Z55" s="34"/>
      <c r="AA55" s="34"/>
      <c r="AB55" s="34"/>
      <c r="AC55" s="34"/>
      <c r="AD55" s="34"/>
      <c r="AE55" s="34"/>
      <c r="AF55" s="34"/>
      <c r="AG55" s="34"/>
      <c r="AH55" s="34"/>
      <c r="AI55" s="34"/>
      <c r="AJ55" s="34"/>
      <c r="AK55" s="34"/>
    </row>
    <row r="56" spans="2:37" s="33" customFormat="1">
      <c r="B56" s="196">
        <v>23</v>
      </c>
      <c r="C56" s="40" t="s">
        <v>57</v>
      </c>
      <c r="H56" s="34"/>
      <c r="I56" s="34"/>
      <c r="J56" s="34"/>
      <c r="K56" s="34"/>
      <c r="L56" s="34"/>
      <c r="M56" s="34"/>
      <c r="N56" s="34"/>
      <c r="O56" s="34"/>
      <c r="P56" s="34"/>
      <c r="Q56" s="34"/>
      <c r="R56" s="34"/>
      <c r="S56" s="34"/>
      <c r="T56" s="34"/>
      <c r="U56" s="34"/>
      <c r="V56" s="34"/>
      <c r="W56" s="34"/>
      <c r="X56" s="34"/>
      <c r="Y56" s="34"/>
      <c r="Z56" s="34"/>
      <c r="AA56" s="34"/>
      <c r="AB56" s="34"/>
      <c r="AC56" s="34"/>
      <c r="AD56" s="34"/>
      <c r="AE56" s="34"/>
      <c r="AF56" s="34"/>
      <c r="AG56" s="34"/>
      <c r="AH56" s="34"/>
      <c r="AI56" s="34"/>
      <c r="AJ56" s="34"/>
      <c r="AK56" s="34"/>
    </row>
    <row r="57" spans="2:37" s="33" customFormat="1">
      <c r="B57" s="196">
        <v>24</v>
      </c>
      <c r="C57" s="40" t="s">
        <v>58</v>
      </c>
      <c r="H57" s="34"/>
      <c r="I57" s="34"/>
      <c r="J57" s="34"/>
      <c r="K57" s="34"/>
      <c r="L57" s="34"/>
      <c r="M57" s="34"/>
      <c r="N57" s="34"/>
      <c r="O57" s="34"/>
      <c r="P57" s="34"/>
      <c r="Q57" s="34"/>
      <c r="R57" s="34"/>
      <c r="S57" s="34"/>
      <c r="T57" s="34"/>
      <c r="U57" s="34"/>
      <c r="V57" s="34"/>
      <c r="W57" s="34"/>
      <c r="X57" s="34"/>
      <c r="Y57" s="34"/>
      <c r="Z57" s="34"/>
      <c r="AA57" s="34"/>
      <c r="AB57" s="34"/>
      <c r="AC57" s="34"/>
      <c r="AD57" s="34"/>
      <c r="AE57" s="34"/>
      <c r="AF57" s="34"/>
      <c r="AG57" s="34"/>
      <c r="AH57" s="34"/>
      <c r="AI57" s="34"/>
      <c r="AJ57" s="34"/>
      <c r="AK57" s="34"/>
    </row>
    <row r="58" spans="2:37" s="33" customFormat="1">
      <c r="B58" s="196">
        <v>25</v>
      </c>
      <c r="C58" s="40" t="s">
        <v>59</v>
      </c>
      <c r="H58" s="34"/>
      <c r="K58" s="34"/>
      <c r="L58" s="34"/>
      <c r="M58" s="34"/>
      <c r="N58" s="34"/>
      <c r="O58" s="34"/>
      <c r="P58" s="34"/>
      <c r="Q58" s="34"/>
      <c r="R58" s="34"/>
      <c r="S58" s="34"/>
      <c r="T58" s="34"/>
      <c r="U58" s="34"/>
      <c r="V58" s="34"/>
      <c r="W58" s="34"/>
      <c r="X58" s="34"/>
      <c r="Y58" s="34"/>
      <c r="Z58" s="34"/>
      <c r="AA58" s="34"/>
      <c r="AB58" s="34"/>
      <c r="AC58" s="34"/>
      <c r="AD58" s="34"/>
      <c r="AE58" s="34"/>
      <c r="AF58" s="34"/>
      <c r="AG58" s="34"/>
      <c r="AH58" s="34"/>
      <c r="AI58" s="34"/>
      <c r="AJ58" s="34"/>
      <c r="AK58" s="34"/>
    </row>
    <row r="59" spans="2:37" s="33" customFormat="1">
      <c r="B59" s="196">
        <v>26</v>
      </c>
      <c r="C59" s="40" t="s">
        <v>7</v>
      </c>
      <c r="H59" s="34"/>
      <c r="K59" s="34"/>
      <c r="L59" s="34"/>
      <c r="M59" s="34"/>
      <c r="N59" s="34"/>
      <c r="O59" s="34"/>
      <c r="P59" s="34"/>
      <c r="Q59" s="34"/>
      <c r="R59" s="34"/>
      <c r="S59" s="34"/>
      <c r="T59" s="34"/>
      <c r="U59" s="34"/>
      <c r="V59" s="34"/>
      <c r="W59" s="34"/>
      <c r="X59" s="34"/>
      <c r="Y59" s="34"/>
      <c r="Z59" s="34"/>
      <c r="AA59" s="34"/>
      <c r="AB59" s="34"/>
      <c r="AC59" s="34"/>
      <c r="AD59" s="34"/>
      <c r="AE59" s="34"/>
      <c r="AF59" s="34"/>
      <c r="AG59" s="34"/>
      <c r="AH59" s="34"/>
      <c r="AI59" s="34"/>
      <c r="AJ59" s="34"/>
      <c r="AK59" s="34"/>
    </row>
    <row r="60" spans="2:37" s="33" customFormat="1">
      <c r="B60" s="196">
        <v>27</v>
      </c>
      <c r="C60" s="40" t="s">
        <v>9</v>
      </c>
      <c r="H60" s="34"/>
      <c r="K60" s="34"/>
      <c r="L60" s="34"/>
      <c r="M60" s="34"/>
      <c r="N60" s="34"/>
      <c r="O60" s="34"/>
      <c r="P60" s="34"/>
      <c r="Q60" s="34"/>
      <c r="R60" s="34"/>
      <c r="S60" s="34"/>
      <c r="T60" s="34"/>
      <c r="U60" s="34"/>
      <c r="V60" s="34"/>
      <c r="W60" s="34"/>
      <c r="X60" s="34"/>
      <c r="Y60" s="34"/>
      <c r="Z60" s="34"/>
      <c r="AA60" s="34"/>
      <c r="AB60" s="34"/>
      <c r="AC60" s="34"/>
      <c r="AD60" s="34"/>
      <c r="AE60" s="34"/>
      <c r="AF60" s="34"/>
      <c r="AG60" s="34"/>
      <c r="AH60" s="34"/>
      <c r="AI60" s="34"/>
      <c r="AJ60" s="34"/>
      <c r="AK60" s="34"/>
    </row>
    <row r="61" spans="2:37" s="33" customFormat="1">
      <c r="C61" s="40" t="s">
        <v>10</v>
      </c>
      <c r="D61" s="34"/>
      <c r="H61" s="34"/>
      <c r="K61" s="34"/>
      <c r="L61" s="34"/>
      <c r="M61" s="34"/>
      <c r="N61" s="34"/>
      <c r="O61" s="34"/>
      <c r="P61" s="34"/>
      <c r="Q61" s="34"/>
      <c r="R61" s="34"/>
      <c r="S61" s="34"/>
      <c r="T61" s="34"/>
      <c r="U61" s="34"/>
      <c r="V61" s="34"/>
      <c r="W61" s="34"/>
      <c r="X61" s="34"/>
      <c r="Y61" s="34"/>
      <c r="Z61" s="34"/>
      <c r="AA61" s="34"/>
      <c r="AB61" s="34"/>
      <c r="AC61" s="34"/>
      <c r="AD61" s="34"/>
      <c r="AE61" s="34"/>
      <c r="AF61" s="34"/>
      <c r="AG61" s="34"/>
      <c r="AH61" s="34"/>
      <c r="AI61" s="34"/>
      <c r="AJ61" s="34"/>
      <c r="AK61" s="34"/>
    </row>
    <row r="62" spans="2:37" s="33" customFormat="1">
      <c r="C62" s="40" t="s">
        <v>11</v>
      </c>
      <c r="D62" s="34"/>
      <c r="H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c r="AK62" s="34"/>
    </row>
    <row r="63" spans="2:37" s="33" customFormat="1">
      <c r="B63" s="81" t="str">
        <f>CONCATENATE("Liabilities at ",+'P1.1 PDAM Licensee provided'!D9)</f>
        <v>Liabilities at 31 March 2025</v>
      </c>
      <c r="C63" s="40" t="s">
        <v>12</v>
      </c>
      <c r="D63" s="34"/>
      <c r="H63" s="34"/>
      <c r="K63" s="34"/>
      <c r="L63" s="34"/>
      <c r="M63" s="34"/>
      <c r="N63" s="34"/>
      <c r="O63" s="34"/>
      <c r="P63" s="34"/>
      <c r="Q63" s="34"/>
      <c r="R63" s="34"/>
      <c r="S63" s="34"/>
      <c r="T63" s="34"/>
      <c r="U63" s="34"/>
      <c r="V63" s="34"/>
      <c r="W63" s="34"/>
      <c r="X63" s="34"/>
      <c r="Y63" s="34"/>
      <c r="Z63" s="34"/>
      <c r="AA63" s="34"/>
      <c r="AB63" s="34"/>
      <c r="AC63" s="34"/>
      <c r="AD63" s="34"/>
      <c r="AE63" s="34"/>
      <c r="AF63" s="34"/>
      <c r="AG63" s="34"/>
      <c r="AH63" s="34"/>
      <c r="AI63" s="34"/>
      <c r="AJ63" s="34"/>
      <c r="AK63" s="34"/>
    </row>
    <row r="64" spans="2:37" s="33" customFormat="1">
      <c r="C64" s="40" t="s">
        <v>13</v>
      </c>
      <c r="D64" s="34"/>
      <c r="H64" s="34"/>
      <c r="K64" s="34"/>
      <c r="L64" s="34"/>
      <c r="M64" s="34"/>
      <c r="N64" s="34"/>
      <c r="O64" s="34"/>
      <c r="P64" s="34"/>
      <c r="Q64" s="34"/>
      <c r="R64" s="34"/>
      <c r="S64" s="34"/>
      <c r="T64" s="34"/>
      <c r="U64" s="34"/>
      <c r="V64" s="34"/>
      <c r="W64" s="34"/>
      <c r="X64" s="34"/>
      <c r="Y64" s="34"/>
      <c r="Z64" s="34"/>
      <c r="AA64" s="34"/>
      <c r="AB64" s="34"/>
      <c r="AC64" s="34"/>
      <c r="AD64" s="34"/>
      <c r="AE64" s="34"/>
      <c r="AF64" s="34"/>
      <c r="AG64" s="34"/>
      <c r="AH64" s="34"/>
      <c r="AI64" s="34"/>
      <c r="AJ64" s="34"/>
      <c r="AK64" s="34"/>
    </row>
    <row r="65" spans="2:37" s="33" customFormat="1">
      <c r="C65" s="40" t="s">
        <v>14</v>
      </c>
      <c r="D65" s="34"/>
      <c r="H65" s="34"/>
      <c r="I65" s="10"/>
      <c r="J65" s="34"/>
      <c r="K65" s="34"/>
      <c r="L65" s="34"/>
      <c r="M65" s="34"/>
      <c r="N65" s="34"/>
      <c r="O65" s="34"/>
      <c r="P65" s="34"/>
      <c r="Q65" s="34"/>
      <c r="R65" s="34"/>
      <c r="S65" s="34"/>
      <c r="T65" s="34"/>
      <c r="U65" s="34"/>
      <c r="V65" s="34"/>
      <c r="W65" s="34"/>
      <c r="X65" s="34"/>
      <c r="Y65" s="34"/>
      <c r="Z65" s="34"/>
      <c r="AA65" s="34"/>
      <c r="AB65" s="34"/>
      <c r="AC65" s="34"/>
      <c r="AD65" s="34"/>
      <c r="AE65" s="34"/>
      <c r="AF65" s="34"/>
      <c r="AG65" s="34"/>
      <c r="AH65" s="34"/>
      <c r="AI65" s="34"/>
      <c r="AJ65" s="34"/>
      <c r="AK65" s="34"/>
    </row>
    <row r="66" spans="2:37" s="33" customFormat="1">
      <c r="D66" s="34"/>
      <c r="H66" s="34"/>
      <c r="I66" s="10"/>
      <c r="J66" s="34"/>
      <c r="K66" s="34"/>
      <c r="L66" s="34"/>
      <c r="M66" s="34"/>
      <c r="N66" s="34"/>
      <c r="O66" s="34"/>
      <c r="P66" s="34"/>
      <c r="Q66" s="34"/>
      <c r="R66" s="34"/>
      <c r="S66" s="34"/>
      <c r="T66" s="34"/>
      <c r="U66" s="34"/>
      <c r="V66" s="34"/>
      <c r="W66" s="34"/>
      <c r="X66" s="34"/>
      <c r="Y66" s="34"/>
      <c r="Z66" s="34"/>
      <c r="AA66" s="34"/>
      <c r="AB66" s="34"/>
      <c r="AC66" s="34"/>
      <c r="AD66" s="34"/>
      <c r="AE66" s="34"/>
      <c r="AF66" s="34"/>
      <c r="AG66" s="34"/>
      <c r="AH66" s="34"/>
      <c r="AI66" s="34"/>
      <c r="AJ66" s="34"/>
      <c r="AK66" s="34"/>
    </row>
    <row r="67" spans="2:37" s="33" customFormat="1">
      <c r="D67" s="34"/>
      <c r="H67" s="34"/>
      <c r="I67" s="10"/>
      <c r="J67" s="34"/>
      <c r="K67" s="34"/>
      <c r="L67" s="34"/>
      <c r="M67" s="34"/>
      <c r="N67" s="34"/>
      <c r="O67" s="34"/>
      <c r="P67" s="34"/>
      <c r="Q67" s="34"/>
      <c r="R67" s="34"/>
      <c r="S67" s="34"/>
      <c r="T67" s="34"/>
      <c r="U67" s="34"/>
      <c r="V67" s="34"/>
      <c r="W67" s="34"/>
      <c r="X67" s="34"/>
      <c r="Y67" s="34"/>
      <c r="Z67" s="34"/>
      <c r="AA67" s="34"/>
      <c r="AB67" s="34"/>
      <c r="AC67" s="34"/>
      <c r="AD67" s="34"/>
      <c r="AE67" s="34"/>
      <c r="AF67" s="34"/>
      <c r="AG67" s="34"/>
      <c r="AH67" s="34"/>
      <c r="AI67" s="34"/>
      <c r="AJ67" s="34"/>
      <c r="AK67" s="34"/>
    </row>
    <row r="68" spans="2:37" s="33" customFormat="1">
      <c r="C68" s="47"/>
      <c r="H68" s="34"/>
      <c r="I68" s="10"/>
      <c r="J68" s="34"/>
      <c r="K68" s="34"/>
      <c r="L68" s="34"/>
      <c r="M68" s="34"/>
      <c r="N68" s="34"/>
      <c r="O68" s="34"/>
      <c r="P68" s="34"/>
      <c r="Q68" s="34"/>
      <c r="R68" s="34"/>
      <c r="S68" s="34"/>
      <c r="T68" s="34"/>
      <c r="U68" s="34"/>
      <c r="V68" s="34"/>
      <c r="W68" s="34"/>
      <c r="X68" s="34"/>
      <c r="Y68" s="34"/>
      <c r="Z68" s="34"/>
      <c r="AA68" s="34"/>
      <c r="AB68" s="34"/>
      <c r="AC68" s="34"/>
      <c r="AD68" s="34"/>
      <c r="AE68" s="34"/>
      <c r="AF68" s="34"/>
      <c r="AG68" s="34"/>
      <c r="AH68" s="34"/>
      <c r="AI68" s="34"/>
      <c r="AJ68" s="34"/>
      <c r="AK68" s="34"/>
    </row>
    <row r="69" spans="2:37" s="33" customFormat="1">
      <c r="C69" s="47"/>
      <c r="H69" s="34"/>
      <c r="I69" s="10"/>
      <c r="J69" s="34"/>
      <c r="K69" s="34"/>
      <c r="L69" s="34"/>
      <c r="M69" s="34"/>
      <c r="N69" s="34"/>
      <c r="O69" s="34"/>
      <c r="P69" s="34"/>
      <c r="Q69" s="34"/>
      <c r="R69" s="34"/>
      <c r="S69" s="34"/>
      <c r="T69" s="34"/>
      <c r="U69" s="34"/>
      <c r="V69" s="34"/>
      <c r="W69" s="34"/>
      <c r="X69" s="34"/>
      <c r="Y69" s="34"/>
      <c r="Z69" s="34"/>
      <c r="AA69" s="34"/>
      <c r="AB69" s="34"/>
      <c r="AC69" s="34"/>
      <c r="AD69" s="34"/>
      <c r="AE69" s="34"/>
      <c r="AF69" s="34"/>
      <c r="AG69" s="34"/>
      <c r="AH69" s="34"/>
      <c r="AI69" s="34"/>
      <c r="AJ69" s="34"/>
      <c r="AK69" s="34"/>
    </row>
    <row r="70" spans="2:37" s="33" customFormat="1">
      <c r="C70" s="47"/>
      <c r="D70" s="34"/>
      <c r="E70" s="34"/>
      <c r="F70" s="34"/>
      <c r="G70" s="34"/>
      <c r="H70" s="34"/>
      <c r="I70" s="10"/>
      <c r="J70" s="34"/>
      <c r="K70" s="34"/>
      <c r="L70" s="34"/>
      <c r="M70" s="34"/>
      <c r="N70" s="34"/>
      <c r="O70" s="34"/>
      <c r="P70" s="34"/>
      <c r="Q70" s="34"/>
      <c r="R70" s="34"/>
      <c r="S70" s="34"/>
      <c r="T70" s="34"/>
      <c r="U70" s="34"/>
      <c r="V70" s="34"/>
      <c r="W70" s="34"/>
      <c r="X70" s="34"/>
      <c r="Y70" s="34"/>
      <c r="Z70" s="34"/>
      <c r="AA70" s="34"/>
      <c r="AB70" s="34"/>
      <c r="AC70" s="34"/>
      <c r="AD70" s="34"/>
      <c r="AE70" s="34"/>
      <c r="AF70" s="34"/>
      <c r="AG70" s="34"/>
      <c r="AH70" s="34"/>
      <c r="AI70" s="34"/>
      <c r="AJ70" s="34"/>
      <c r="AK70" s="34"/>
    </row>
    <row r="71" spans="2:37" s="33" customFormat="1">
      <c r="C71" s="47"/>
      <c r="D71" s="34"/>
      <c r="E71" s="34"/>
      <c r="F71" s="34"/>
      <c r="G71" s="34"/>
      <c r="H71" s="34"/>
      <c r="I71" s="10"/>
      <c r="J71" s="34"/>
      <c r="K71" s="34"/>
      <c r="L71" s="34"/>
      <c r="M71" s="34"/>
      <c r="N71" s="34"/>
      <c r="O71" s="34"/>
      <c r="P71" s="34"/>
      <c r="Q71" s="34"/>
      <c r="R71" s="34"/>
      <c r="S71" s="34"/>
      <c r="T71" s="34"/>
      <c r="U71" s="34"/>
      <c r="V71" s="34"/>
      <c r="W71" s="34"/>
      <c r="X71" s="34"/>
      <c r="Y71" s="34"/>
      <c r="Z71" s="34"/>
      <c r="AA71" s="34"/>
      <c r="AB71" s="34"/>
      <c r="AC71" s="34"/>
      <c r="AD71" s="34"/>
      <c r="AE71" s="34"/>
      <c r="AF71" s="34"/>
      <c r="AG71" s="34"/>
      <c r="AH71" s="34"/>
      <c r="AI71" s="34"/>
      <c r="AJ71" s="34"/>
      <c r="AK71" s="34"/>
    </row>
    <row r="72" spans="2:37" s="33" customFormat="1">
      <c r="C72" s="47"/>
      <c r="D72" s="34"/>
      <c r="E72" s="34"/>
      <c r="F72" s="34"/>
      <c r="G72" s="34"/>
      <c r="H72" s="34"/>
      <c r="I72" s="10"/>
      <c r="J72" s="34"/>
      <c r="K72" s="34"/>
      <c r="L72" s="34"/>
      <c r="M72" s="34"/>
      <c r="N72" s="34"/>
      <c r="O72" s="34"/>
      <c r="P72" s="34"/>
      <c r="Q72" s="34"/>
      <c r="R72" s="34"/>
      <c r="S72" s="34"/>
      <c r="T72" s="34"/>
      <c r="U72" s="34"/>
      <c r="V72" s="34"/>
      <c r="W72" s="34"/>
      <c r="X72" s="34"/>
      <c r="Y72" s="34"/>
      <c r="Z72" s="34"/>
      <c r="AA72" s="34"/>
      <c r="AB72" s="34"/>
      <c r="AC72" s="34"/>
      <c r="AD72" s="34"/>
      <c r="AE72" s="34"/>
      <c r="AF72" s="34"/>
      <c r="AG72" s="34"/>
      <c r="AH72" s="34"/>
      <c r="AI72" s="34"/>
      <c r="AJ72" s="34"/>
      <c r="AK72" s="34"/>
    </row>
    <row r="73" spans="2:37" s="33" customFormat="1">
      <c r="C73" s="47"/>
      <c r="D73" s="34"/>
      <c r="E73" s="34"/>
      <c r="F73" s="34"/>
      <c r="G73" s="34"/>
      <c r="H73" s="34"/>
      <c r="I73" s="197"/>
      <c r="J73" s="34"/>
      <c r="K73" s="34"/>
      <c r="L73" s="34"/>
      <c r="M73" s="34"/>
      <c r="N73" s="34"/>
      <c r="O73" s="34"/>
      <c r="P73" s="34"/>
      <c r="Q73" s="34"/>
      <c r="R73" s="34"/>
      <c r="S73" s="34"/>
      <c r="T73" s="34"/>
      <c r="U73" s="34"/>
      <c r="V73" s="34"/>
      <c r="W73" s="34"/>
      <c r="X73" s="34"/>
      <c r="Y73" s="34"/>
      <c r="Z73" s="34"/>
      <c r="AA73" s="34"/>
      <c r="AB73" s="34"/>
      <c r="AC73" s="34"/>
      <c r="AD73" s="34"/>
      <c r="AE73" s="34"/>
      <c r="AF73" s="34"/>
      <c r="AG73" s="34"/>
      <c r="AH73" s="34"/>
      <c r="AI73" s="34"/>
      <c r="AJ73" s="34"/>
      <c r="AK73" s="34"/>
    </row>
    <row r="74" spans="2:37" s="33" customFormat="1">
      <c r="C74" s="47"/>
      <c r="D74" s="34"/>
      <c r="E74" s="34"/>
      <c r="F74" s="34"/>
      <c r="G74" s="34"/>
      <c r="H74" s="34"/>
      <c r="I74" s="197"/>
      <c r="J74" s="34"/>
      <c r="K74" s="34"/>
      <c r="L74" s="34"/>
      <c r="M74" s="34"/>
      <c r="N74" s="34"/>
      <c r="O74" s="34"/>
      <c r="P74" s="34"/>
      <c r="Q74" s="34"/>
      <c r="R74" s="34"/>
      <c r="S74" s="34"/>
      <c r="T74" s="34"/>
      <c r="U74" s="34"/>
      <c r="V74" s="34"/>
      <c r="W74" s="34"/>
      <c r="X74" s="34"/>
      <c r="Y74" s="34"/>
      <c r="Z74" s="34"/>
      <c r="AA74" s="34"/>
      <c r="AB74" s="34"/>
      <c r="AC74" s="34"/>
      <c r="AD74" s="34"/>
      <c r="AE74" s="34"/>
      <c r="AF74" s="34"/>
      <c r="AG74" s="34"/>
      <c r="AH74" s="34"/>
      <c r="AI74" s="34"/>
      <c r="AJ74" s="34"/>
      <c r="AK74" s="34"/>
    </row>
    <row r="75" spans="2:37" s="33" customFormat="1">
      <c r="C75" s="47"/>
      <c r="D75" s="34"/>
      <c r="E75" s="34"/>
      <c r="F75" s="34"/>
      <c r="G75" s="34"/>
      <c r="H75" s="34"/>
      <c r="I75" s="197"/>
      <c r="J75" s="34"/>
      <c r="K75" s="34"/>
      <c r="L75" s="34"/>
      <c r="M75" s="34"/>
      <c r="N75" s="34"/>
      <c r="O75" s="34"/>
      <c r="P75" s="34"/>
      <c r="Q75" s="34"/>
      <c r="R75" s="34"/>
      <c r="S75" s="34"/>
      <c r="T75" s="34"/>
      <c r="U75" s="34"/>
      <c r="V75" s="34"/>
      <c r="W75" s="34"/>
      <c r="X75" s="34"/>
      <c r="Y75" s="34"/>
      <c r="Z75" s="34"/>
      <c r="AA75" s="34"/>
      <c r="AB75" s="34"/>
      <c r="AC75" s="34"/>
      <c r="AD75" s="34"/>
      <c r="AE75" s="34"/>
      <c r="AF75" s="34"/>
      <c r="AG75" s="34"/>
      <c r="AH75" s="34"/>
      <c r="AI75" s="34"/>
      <c r="AJ75" s="34"/>
      <c r="AK75" s="34"/>
    </row>
    <row r="76" spans="2:37" s="33" customFormat="1">
      <c r="C76" s="47"/>
      <c r="H76" s="34"/>
      <c r="I76" s="197"/>
      <c r="J76" s="34"/>
      <c r="K76" s="34"/>
      <c r="L76" s="34"/>
      <c r="M76" s="34"/>
      <c r="N76" s="34"/>
      <c r="O76" s="34"/>
      <c r="P76" s="34"/>
      <c r="Q76" s="34"/>
      <c r="R76" s="34"/>
      <c r="S76" s="34"/>
      <c r="T76" s="34"/>
      <c r="U76" s="34"/>
      <c r="V76" s="34"/>
      <c r="W76" s="34"/>
      <c r="X76" s="34"/>
      <c r="Y76" s="34"/>
      <c r="Z76" s="34"/>
      <c r="AA76" s="34"/>
      <c r="AB76" s="34"/>
      <c r="AC76" s="34"/>
      <c r="AD76" s="34"/>
      <c r="AE76" s="34"/>
      <c r="AF76" s="34"/>
      <c r="AG76" s="34"/>
      <c r="AH76" s="34"/>
      <c r="AI76" s="34"/>
      <c r="AJ76" s="34"/>
      <c r="AK76" s="34"/>
    </row>
    <row r="77" spans="2:37" s="33" customFormat="1">
      <c r="C77" s="47"/>
      <c r="H77" s="34"/>
      <c r="I77" s="197"/>
      <c r="J77" s="34"/>
      <c r="K77" s="34"/>
      <c r="L77" s="34"/>
      <c r="M77" s="34"/>
      <c r="N77" s="34"/>
      <c r="O77" s="34"/>
      <c r="P77" s="34"/>
      <c r="Q77" s="34"/>
      <c r="R77" s="34"/>
      <c r="S77" s="34"/>
      <c r="T77" s="34"/>
      <c r="U77" s="34"/>
      <c r="V77" s="34"/>
      <c r="W77" s="34"/>
      <c r="X77" s="34"/>
      <c r="Y77" s="34"/>
      <c r="Z77" s="34"/>
      <c r="AA77" s="34"/>
      <c r="AB77" s="34"/>
      <c r="AC77" s="34"/>
      <c r="AD77" s="34"/>
      <c r="AE77" s="34"/>
      <c r="AF77" s="34"/>
      <c r="AG77" s="34"/>
      <c r="AH77" s="34"/>
      <c r="AI77" s="34"/>
      <c r="AJ77" s="34"/>
      <c r="AK77" s="34"/>
    </row>
    <row r="78" spans="2:37" s="33" customFormat="1">
      <c r="C78" s="47"/>
      <c r="H78" s="34"/>
      <c r="I78" s="197"/>
      <c r="J78" s="34"/>
      <c r="K78" s="34"/>
      <c r="L78" s="34"/>
      <c r="M78" s="34"/>
      <c r="N78" s="34"/>
      <c r="O78" s="34"/>
      <c r="P78" s="34"/>
      <c r="Q78" s="34"/>
      <c r="R78" s="34"/>
      <c r="S78" s="34"/>
      <c r="T78" s="34"/>
      <c r="U78" s="34"/>
      <c r="V78" s="34"/>
      <c r="W78" s="34"/>
      <c r="X78" s="34"/>
      <c r="Y78" s="34"/>
      <c r="Z78" s="34"/>
      <c r="AA78" s="34"/>
      <c r="AB78" s="34"/>
      <c r="AC78" s="34"/>
      <c r="AD78" s="34"/>
      <c r="AE78" s="34"/>
      <c r="AF78" s="34"/>
      <c r="AG78" s="34"/>
      <c r="AH78" s="34"/>
      <c r="AI78" s="34"/>
      <c r="AJ78" s="34"/>
      <c r="AK78" s="34"/>
    </row>
    <row r="79" spans="2:37" s="33" customFormat="1">
      <c r="H79" s="34"/>
      <c r="I79" s="197"/>
      <c r="J79" s="34"/>
      <c r="K79" s="34"/>
      <c r="L79" s="34"/>
      <c r="M79" s="34"/>
      <c r="N79" s="34"/>
      <c r="O79" s="34"/>
      <c r="P79" s="34"/>
      <c r="Q79" s="34"/>
      <c r="R79" s="34"/>
      <c r="S79" s="34"/>
      <c r="T79" s="34"/>
      <c r="U79" s="34"/>
      <c r="V79" s="34"/>
      <c r="W79" s="34"/>
      <c r="X79" s="34"/>
      <c r="Y79" s="34"/>
      <c r="Z79" s="34"/>
      <c r="AA79" s="34"/>
      <c r="AB79" s="34"/>
      <c r="AC79" s="34"/>
      <c r="AD79" s="34"/>
      <c r="AE79" s="34"/>
      <c r="AF79" s="34"/>
      <c r="AG79" s="34"/>
      <c r="AH79" s="34"/>
      <c r="AI79" s="34"/>
      <c r="AJ79" s="34"/>
      <c r="AK79" s="34"/>
    </row>
    <row r="80" spans="2:37" s="33" customFormat="1">
      <c r="B80" s="48" t="s">
        <v>60</v>
      </c>
      <c r="C80" s="48" t="s">
        <v>61</v>
      </c>
      <c r="D80" s="48" t="s">
        <v>62</v>
      </c>
      <c r="H80" s="34"/>
      <c r="I80" s="197"/>
      <c r="J80" s="34"/>
      <c r="K80" s="34"/>
      <c r="L80" s="34"/>
      <c r="M80" s="34"/>
      <c r="N80" s="34"/>
      <c r="O80" s="34"/>
      <c r="P80" s="34"/>
      <c r="Q80" s="34"/>
      <c r="R80" s="34"/>
      <c r="S80" s="34"/>
      <c r="T80" s="34"/>
      <c r="U80" s="34"/>
      <c r="V80" s="34"/>
      <c r="W80" s="34"/>
      <c r="X80" s="34"/>
      <c r="Y80" s="34"/>
      <c r="Z80" s="34"/>
      <c r="AA80" s="34"/>
      <c r="AB80" s="34"/>
      <c r="AC80" s="34"/>
      <c r="AD80" s="34"/>
      <c r="AE80" s="34"/>
      <c r="AF80" s="34"/>
      <c r="AG80" s="34"/>
      <c r="AH80" s="34"/>
      <c r="AI80" s="34"/>
      <c r="AJ80" s="34"/>
      <c r="AK80" s="34"/>
    </row>
    <row r="81" spans="2:37" s="33" customFormat="1">
      <c r="B81" s="49" t="s">
        <v>63</v>
      </c>
      <c r="C81" s="49" t="s">
        <v>64</v>
      </c>
      <c r="D81" s="49"/>
      <c r="H81" s="34"/>
      <c r="I81" s="197"/>
      <c r="J81" s="34"/>
      <c r="K81" s="34"/>
      <c r="L81" s="34"/>
      <c r="M81" s="34"/>
      <c r="N81" s="34"/>
      <c r="O81" s="34"/>
      <c r="P81" s="34"/>
      <c r="Q81" s="34"/>
      <c r="R81" s="34"/>
      <c r="S81" s="34"/>
      <c r="T81" s="34"/>
      <c r="U81" s="34"/>
      <c r="V81" s="34"/>
      <c r="W81" s="34"/>
      <c r="X81" s="34"/>
      <c r="Y81" s="34"/>
      <c r="Z81" s="34"/>
      <c r="AA81" s="34"/>
      <c r="AB81" s="34"/>
      <c r="AC81" s="34"/>
      <c r="AD81" s="34"/>
      <c r="AE81" s="34"/>
      <c r="AF81" s="34"/>
      <c r="AG81" s="34"/>
      <c r="AH81" s="34"/>
      <c r="AI81" s="34"/>
      <c r="AJ81" s="34"/>
      <c r="AK81" s="34"/>
    </row>
    <row r="82" spans="2:37" s="33" customFormat="1">
      <c r="B82" s="50">
        <v>2010</v>
      </c>
      <c r="C82" s="62" t="s">
        <v>9</v>
      </c>
      <c r="D82" s="40" t="s">
        <v>8</v>
      </c>
      <c r="H82" s="34"/>
      <c r="I82" s="197"/>
      <c r="J82" s="34"/>
      <c r="K82" s="34"/>
      <c r="L82" s="34"/>
      <c r="M82" s="34"/>
      <c r="N82" s="34"/>
      <c r="O82" s="34"/>
      <c r="P82" s="34"/>
      <c r="Q82" s="34"/>
      <c r="R82" s="34"/>
      <c r="S82" s="34"/>
      <c r="T82" s="34"/>
      <c r="U82" s="34"/>
      <c r="V82" s="34"/>
      <c r="W82" s="34"/>
      <c r="X82" s="34"/>
      <c r="Y82" s="34"/>
      <c r="Z82" s="34"/>
      <c r="AA82" s="34"/>
      <c r="AB82" s="34"/>
      <c r="AC82" s="34"/>
      <c r="AD82" s="34"/>
      <c r="AE82" s="34"/>
      <c r="AF82" s="34"/>
      <c r="AG82" s="34"/>
      <c r="AH82" s="34"/>
      <c r="AI82" s="34"/>
      <c r="AJ82" s="34"/>
      <c r="AK82" s="34"/>
    </row>
    <row r="83" spans="2:37" s="33" customFormat="1">
      <c r="B83" s="50">
        <v>2011</v>
      </c>
      <c r="C83" s="62" t="s">
        <v>10</v>
      </c>
      <c r="D83" s="40" t="s">
        <v>27</v>
      </c>
      <c r="H83" s="34"/>
      <c r="I83" s="197"/>
      <c r="J83" s="34"/>
      <c r="K83" s="34"/>
      <c r="L83" s="34"/>
      <c r="M83" s="34"/>
      <c r="N83" s="34"/>
      <c r="O83" s="34"/>
      <c r="P83" s="34"/>
      <c r="Q83" s="34"/>
      <c r="R83" s="34"/>
      <c r="S83" s="34"/>
      <c r="T83" s="34"/>
      <c r="U83" s="34"/>
      <c r="V83" s="34"/>
      <c r="W83" s="34"/>
      <c r="X83" s="34"/>
      <c r="Y83" s="34"/>
      <c r="Z83" s="34"/>
      <c r="AA83" s="34"/>
      <c r="AB83" s="34"/>
      <c r="AC83" s="34"/>
      <c r="AD83" s="34"/>
      <c r="AE83" s="34"/>
      <c r="AF83" s="34"/>
      <c r="AG83" s="34"/>
      <c r="AH83" s="34"/>
      <c r="AI83" s="34"/>
      <c r="AJ83" s="34"/>
      <c r="AK83" s="34"/>
    </row>
    <row r="84" spans="2:37" s="33" customFormat="1">
      <c r="B84" s="50">
        <v>2012</v>
      </c>
      <c r="C84" s="62" t="s">
        <v>11</v>
      </c>
      <c r="D84" s="40" t="s">
        <v>65</v>
      </c>
      <c r="H84" s="34"/>
      <c r="I84" s="197"/>
      <c r="J84" s="34"/>
      <c r="K84" s="34"/>
      <c r="L84" s="34"/>
      <c r="M84" s="34"/>
      <c r="N84" s="34"/>
      <c r="O84" s="34"/>
      <c r="P84" s="34"/>
      <c r="Q84" s="34"/>
      <c r="R84" s="34"/>
      <c r="S84" s="34"/>
      <c r="T84" s="34"/>
      <c r="U84" s="34"/>
      <c r="V84" s="34"/>
      <c r="W84" s="34"/>
      <c r="X84" s="34"/>
      <c r="Y84" s="34"/>
      <c r="Z84" s="34"/>
      <c r="AA84" s="34"/>
      <c r="AB84" s="34"/>
      <c r="AC84" s="34"/>
      <c r="AD84" s="34"/>
      <c r="AE84" s="34"/>
      <c r="AF84" s="34"/>
      <c r="AG84" s="34"/>
      <c r="AH84" s="34"/>
      <c r="AI84" s="34"/>
      <c r="AJ84" s="34"/>
      <c r="AK84" s="34"/>
    </row>
    <row r="85" spans="2:37" s="33" customFormat="1">
      <c r="B85" s="50">
        <v>2013</v>
      </c>
      <c r="C85" s="62" t="s">
        <v>12</v>
      </c>
      <c r="D85" s="40" t="s">
        <v>66</v>
      </c>
      <c r="H85" s="34"/>
      <c r="I85" s="197"/>
      <c r="J85" s="34"/>
      <c r="K85" s="34"/>
      <c r="L85" s="34"/>
      <c r="M85" s="34"/>
      <c r="N85" s="34"/>
      <c r="O85" s="34"/>
      <c r="P85" s="34"/>
      <c r="Q85" s="34"/>
      <c r="R85" s="34"/>
      <c r="S85" s="34"/>
      <c r="T85" s="34"/>
      <c r="U85" s="34"/>
      <c r="V85" s="34"/>
      <c r="W85" s="34"/>
      <c r="X85" s="34"/>
      <c r="Y85" s="34"/>
      <c r="Z85" s="34"/>
      <c r="AA85" s="34"/>
      <c r="AB85" s="34"/>
      <c r="AC85" s="34"/>
      <c r="AD85" s="34"/>
      <c r="AE85" s="34"/>
      <c r="AF85" s="34"/>
      <c r="AG85" s="34"/>
      <c r="AH85" s="34"/>
      <c r="AI85" s="34"/>
      <c r="AJ85" s="34"/>
      <c r="AK85" s="34"/>
    </row>
    <row r="86" spans="2:37" s="33" customFormat="1">
      <c r="B86" s="50">
        <v>2014</v>
      </c>
      <c r="C86" s="62" t="s">
        <v>13</v>
      </c>
      <c r="D86" s="40" t="s">
        <v>67</v>
      </c>
      <c r="H86" s="34"/>
      <c r="I86" s="197"/>
      <c r="J86" s="34"/>
      <c r="K86" s="34"/>
      <c r="L86" s="34"/>
      <c r="M86" s="34"/>
      <c r="N86" s="34"/>
      <c r="O86" s="34"/>
      <c r="P86" s="34"/>
      <c r="Q86" s="34"/>
      <c r="R86" s="34"/>
      <c r="S86" s="34"/>
      <c r="T86" s="34"/>
      <c r="U86" s="34"/>
      <c r="V86" s="34"/>
      <c r="W86" s="34"/>
      <c r="X86" s="34"/>
      <c r="Y86" s="34"/>
      <c r="Z86" s="34"/>
      <c r="AA86" s="34"/>
      <c r="AB86" s="34"/>
      <c r="AC86" s="34"/>
      <c r="AD86" s="34"/>
      <c r="AE86" s="34"/>
      <c r="AF86" s="34"/>
      <c r="AG86" s="34"/>
      <c r="AH86" s="34"/>
      <c r="AI86" s="34"/>
      <c r="AJ86" s="34"/>
      <c r="AK86" s="34"/>
    </row>
    <row r="87" spans="2:37" s="33" customFormat="1">
      <c r="B87" s="50">
        <v>2015</v>
      </c>
      <c r="C87" s="62" t="s">
        <v>14</v>
      </c>
      <c r="D87" s="40" t="s">
        <v>68</v>
      </c>
      <c r="H87" s="34"/>
      <c r="I87" s="197"/>
      <c r="J87" s="34"/>
      <c r="K87" s="34"/>
      <c r="L87" s="34"/>
      <c r="M87" s="34"/>
      <c r="N87" s="34"/>
      <c r="O87" s="34"/>
      <c r="P87" s="34"/>
      <c r="Q87" s="34"/>
      <c r="R87" s="34"/>
      <c r="S87" s="34"/>
      <c r="T87" s="34"/>
      <c r="U87" s="34"/>
      <c r="V87" s="34"/>
      <c r="W87" s="34"/>
      <c r="X87" s="34"/>
      <c r="Y87" s="34"/>
      <c r="Z87" s="34"/>
      <c r="AA87" s="34"/>
      <c r="AB87" s="34"/>
      <c r="AC87" s="34"/>
      <c r="AD87" s="34"/>
      <c r="AE87" s="34"/>
      <c r="AF87" s="34"/>
      <c r="AG87" s="34"/>
      <c r="AH87" s="34"/>
      <c r="AI87" s="34"/>
      <c r="AJ87" s="34"/>
      <c r="AK87" s="34"/>
    </row>
    <row r="88" spans="2:37" s="33" customFormat="1">
      <c r="B88" s="50">
        <v>2016</v>
      </c>
      <c r="C88" s="40" t="s">
        <v>22</v>
      </c>
      <c r="D88" s="40" t="s">
        <v>69</v>
      </c>
      <c r="H88" s="34"/>
      <c r="I88" s="197"/>
      <c r="J88" s="34"/>
      <c r="K88" s="34"/>
      <c r="L88" s="34"/>
      <c r="M88" s="34"/>
      <c r="N88" s="34"/>
      <c r="O88" s="34"/>
      <c r="P88" s="34"/>
      <c r="Q88" s="34"/>
      <c r="R88" s="34"/>
      <c r="S88" s="34"/>
      <c r="T88" s="34"/>
      <c r="U88" s="34"/>
      <c r="V88" s="34"/>
      <c r="W88" s="34"/>
      <c r="X88" s="34"/>
      <c r="Y88" s="34"/>
      <c r="Z88" s="34"/>
      <c r="AA88" s="34"/>
      <c r="AB88" s="34"/>
      <c r="AC88" s="34"/>
      <c r="AD88" s="34"/>
      <c r="AE88" s="34"/>
      <c r="AF88" s="34"/>
      <c r="AG88" s="34"/>
      <c r="AH88" s="34"/>
      <c r="AI88" s="34"/>
      <c r="AJ88" s="34"/>
      <c r="AK88" s="34"/>
    </row>
    <row r="89" spans="2:37" s="33" customFormat="1">
      <c r="B89" s="50">
        <v>2017</v>
      </c>
      <c r="C89" s="40" t="s">
        <v>23</v>
      </c>
      <c r="D89" s="40" t="s">
        <v>70</v>
      </c>
      <c r="H89" s="34"/>
      <c r="I89" s="34"/>
      <c r="J89" s="34"/>
      <c r="K89" s="34"/>
      <c r="L89" s="34"/>
      <c r="M89" s="34"/>
      <c r="N89" s="34"/>
      <c r="O89" s="34"/>
      <c r="P89" s="34"/>
      <c r="Q89" s="34"/>
      <c r="R89" s="34"/>
      <c r="S89" s="34"/>
      <c r="T89" s="34"/>
      <c r="U89" s="34"/>
      <c r="V89" s="34"/>
      <c r="W89" s="34"/>
      <c r="X89" s="34"/>
      <c r="Y89" s="34"/>
      <c r="Z89" s="34"/>
      <c r="AA89" s="34"/>
      <c r="AB89" s="34"/>
      <c r="AC89" s="34"/>
      <c r="AD89" s="34"/>
      <c r="AE89" s="34"/>
      <c r="AF89" s="34"/>
      <c r="AG89" s="34"/>
      <c r="AH89" s="34"/>
      <c r="AI89" s="34"/>
      <c r="AJ89" s="34"/>
      <c r="AK89" s="34"/>
    </row>
    <row r="90" spans="2:37" s="33" customFormat="1">
      <c r="B90" s="50">
        <v>2018</v>
      </c>
      <c r="C90" s="40" t="s">
        <v>71</v>
      </c>
      <c r="D90" s="40" t="s">
        <v>72</v>
      </c>
      <c r="H90" s="34"/>
      <c r="I90" s="34"/>
      <c r="J90" s="34"/>
      <c r="K90" s="34"/>
      <c r="L90" s="34"/>
      <c r="M90" s="34"/>
      <c r="N90" s="34"/>
      <c r="O90" s="34"/>
      <c r="P90" s="34"/>
      <c r="Q90" s="34"/>
      <c r="R90" s="34"/>
      <c r="S90" s="34"/>
      <c r="T90" s="34"/>
      <c r="U90" s="34"/>
      <c r="V90" s="34"/>
      <c r="W90" s="34"/>
      <c r="X90" s="34"/>
      <c r="Y90" s="34"/>
      <c r="Z90" s="34"/>
      <c r="AA90" s="34"/>
      <c r="AB90" s="34"/>
      <c r="AC90" s="34"/>
      <c r="AD90" s="34"/>
      <c r="AE90" s="34"/>
      <c r="AF90" s="34"/>
      <c r="AG90" s="34"/>
      <c r="AH90" s="34"/>
      <c r="AI90" s="34"/>
      <c r="AJ90" s="34"/>
      <c r="AK90" s="34"/>
    </row>
    <row r="91" spans="2:37" s="33" customFormat="1">
      <c r="B91" s="50">
        <v>2019</v>
      </c>
      <c r="C91" s="40" t="s">
        <v>73</v>
      </c>
      <c r="D91" s="40" t="s">
        <v>74</v>
      </c>
      <c r="H91" s="34"/>
      <c r="I91" s="34"/>
      <c r="J91" s="34"/>
      <c r="K91" s="34"/>
      <c r="L91" s="34"/>
      <c r="M91" s="34"/>
      <c r="N91" s="34"/>
      <c r="O91" s="34"/>
      <c r="P91" s="34"/>
      <c r="Q91" s="34"/>
      <c r="R91" s="34"/>
      <c r="S91" s="34"/>
      <c r="T91" s="34"/>
      <c r="U91" s="34"/>
      <c r="V91" s="34"/>
      <c r="W91" s="34"/>
      <c r="X91" s="34"/>
      <c r="Y91" s="34"/>
      <c r="Z91" s="34"/>
      <c r="AA91" s="34"/>
      <c r="AB91" s="34"/>
      <c r="AC91" s="34"/>
      <c r="AD91" s="34"/>
      <c r="AE91" s="34"/>
      <c r="AF91" s="34"/>
      <c r="AG91" s="34"/>
      <c r="AH91" s="34"/>
      <c r="AI91" s="34"/>
      <c r="AJ91" s="34"/>
      <c r="AK91" s="34"/>
    </row>
    <row r="92" spans="2:37" s="33" customFormat="1">
      <c r="B92" s="50">
        <v>2020</v>
      </c>
      <c r="C92" s="40" t="s">
        <v>75</v>
      </c>
      <c r="D92" s="40" t="s">
        <v>76</v>
      </c>
      <c r="H92" s="34"/>
      <c r="I92" s="34"/>
      <c r="J92" s="34"/>
      <c r="K92" s="34"/>
      <c r="L92" s="34"/>
      <c r="M92" s="34"/>
      <c r="N92" s="34"/>
      <c r="O92" s="34"/>
      <c r="P92" s="34"/>
      <c r="Q92" s="34"/>
      <c r="R92" s="34"/>
      <c r="S92" s="34"/>
      <c r="T92" s="34"/>
      <c r="U92" s="34"/>
      <c r="V92" s="34"/>
      <c r="W92" s="34"/>
      <c r="X92" s="34"/>
      <c r="Y92" s="34"/>
      <c r="Z92" s="34"/>
      <c r="AA92" s="34"/>
      <c r="AB92" s="34"/>
      <c r="AC92" s="34"/>
      <c r="AD92" s="34"/>
      <c r="AE92" s="34"/>
      <c r="AF92" s="34"/>
      <c r="AG92" s="34"/>
      <c r="AH92" s="34"/>
      <c r="AI92" s="34"/>
      <c r="AJ92" s="34"/>
      <c r="AK92" s="34"/>
    </row>
    <row r="93" spans="2:37" s="33" customFormat="1">
      <c r="B93" s="50">
        <v>2021</v>
      </c>
      <c r="C93" s="40" t="s">
        <v>28</v>
      </c>
      <c r="D93" s="40" t="s">
        <v>77</v>
      </c>
      <c r="H93" s="34"/>
      <c r="I93" s="34"/>
      <c r="J93" s="34"/>
      <c r="K93" s="34"/>
      <c r="L93" s="34"/>
      <c r="M93" s="34"/>
      <c r="N93" s="34"/>
      <c r="O93" s="34"/>
      <c r="P93" s="34"/>
      <c r="Q93" s="34"/>
      <c r="R93" s="34"/>
      <c r="S93" s="34"/>
      <c r="T93" s="34"/>
      <c r="U93" s="34"/>
      <c r="V93" s="34"/>
      <c r="W93" s="34"/>
      <c r="X93" s="34"/>
      <c r="Y93" s="34"/>
      <c r="Z93" s="34"/>
      <c r="AA93" s="34"/>
      <c r="AB93" s="34"/>
      <c r="AC93" s="34"/>
      <c r="AD93" s="34"/>
      <c r="AE93" s="34"/>
      <c r="AF93" s="34"/>
      <c r="AG93" s="34"/>
      <c r="AH93" s="34"/>
      <c r="AI93" s="34"/>
      <c r="AJ93" s="34"/>
      <c r="AK93" s="34"/>
    </row>
    <row r="94" spans="2:37" s="33" customFormat="1">
      <c r="B94" s="50">
        <v>2022</v>
      </c>
      <c r="C94" s="40" t="s">
        <v>30</v>
      </c>
      <c r="D94" s="40" t="s">
        <v>78</v>
      </c>
      <c r="H94" s="34"/>
      <c r="I94" s="34"/>
      <c r="J94" s="34"/>
      <c r="K94" s="34"/>
      <c r="L94" s="34"/>
      <c r="M94" s="34"/>
      <c r="N94" s="34"/>
      <c r="O94" s="34"/>
      <c r="P94" s="34"/>
      <c r="Q94" s="34"/>
      <c r="R94" s="34"/>
      <c r="S94" s="34"/>
      <c r="T94" s="34"/>
      <c r="U94" s="34"/>
      <c r="V94" s="34"/>
      <c r="W94" s="34"/>
      <c r="X94" s="34"/>
      <c r="Y94" s="34"/>
      <c r="Z94" s="34"/>
      <c r="AA94" s="34"/>
      <c r="AB94" s="34"/>
      <c r="AC94" s="34"/>
      <c r="AD94" s="34"/>
      <c r="AE94" s="34"/>
      <c r="AF94" s="34"/>
      <c r="AG94" s="34"/>
      <c r="AH94" s="34"/>
      <c r="AI94" s="34"/>
      <c r="AJ94" s="34"/>
      <c r="AK94" s="34"/>
    </row>
    <row r="95" spans="2:37" s="33" customFormat="1">
      <c r="B95" s="50">
        <v>2023</v>
      </c>
      <c r="C95" s="40" t="s">
        <v>32</v>
      </c>
      <c r="D95" s="40" t="s">
        <v>79</v>
      </c>
      <c r="H95" s="34"/>
      <c r="I95" s="34"/>
      <c r="J95" s="34"/>
      <c r="K95" s="34"/>
      <c r="L95" s="34"/>
      <c r="M95" s="34"/>
      <c r="N95" s="34"/>
      <c r="O95" s="34"/>
      <c r="P95" s="34"/>
      <c r="Q95" s="34"/>
      <c r="R95" s="34"/>
      <c r="S95" s="34"/>
      <c r="T95" s="34"/>
      <c r="U95" s="34"/>
      <c r="V95" s="34"/>
      <c r="W95" s="34"/>
      <c r="X95" s="34"/>
      <c r="Y95" s="34"/>
      <c r="Z95" s="34"/>
      <c r="AA95" s="34"/>
      <c r="AB95" s="34"/>
      <c r="AC95" s="34"/>
      <c r="AD95" s="34"/>
      <c r="AE95" s="34"/>
      <c r="AF95" s="34"/>
      <c r="AG95" s="34"/>
      <c r="AH95" s="34"/>
      <c r="AI95" s="34"/>
      <c r="AJ95" s="34"/>
      <c r="AK95" s="34"/>
    </row>
    <row r="96" spans="2:37" s="33" customFormat="1">
      <c r="B96" s="50">
        <v>2024</v>
      </c>
      <c r="C96" s="40" t="s">
        <v>34</v>
      </c>
      <c r="D96" s="40" t="s">
        <v>80</v>
      </c>
      <c r="H96" s="34"/>
      <c r="I96" s="34"/>
      <c r="J96" s="34"/>
      <c r="K96" s="34"/>
      <c r="L96" s="34"/>
      <c r="M96" s="34"/>
      <c r="N96" s="34"/>
      <c r="O96" s="34"/>
      <c r="P96" s="34"/>
      <c r="Q96" s="34"/>
      <c r="R96" s="34"/>
      <c r="S96" s="34"/>
      <c r="T96" s="34"/>
      <c r="U96" s="34"/>
      <c r="V96" s="34"/>
      <c r="W96" s="34"/>
      <c r="X96" s="34"/>
      <c r="Y96" s="34"/>
      <c r="Z96" s="34"/>
      <c r="AA96" s="34"/>
      <c r="AB96" s="34"/>
      <c r="AC96" s="34"/>
      <c r="AD96" s="34"/>
      <c r="AE96" s="34"/>
      <c r="AF96" s="34"/>
      <c r="AG96" s="34"/>
      <c r="AH96" s="34"/>
      <c r="AI96" s="34"/>
      <c r="AJ96" s="34"/>
      <c r="AK96" s="34"/>
    </row>
    <row r="97" spans="2:37" s="33" customFormat="1">
      <c r="B97" s="50">
        <v>2025</v>
      </c>
      <c r="C97" s="40" t="s">
        <v>36</v>
      </c>
      <c r="D97" s="40" t="s">
        <v>81</v>
      </c>
      <c r="H97" s="34"/>
      <c r="I97" s="34"/>
      <c r="J97" s="34"/>
      <c r="K97" s="34"/>
      <c r="L97" s="34"/>
      <c r="M97" s="34"/>
      <c r="N97" s="34"/>
      <c r="O97" s="34"/>
      <c r="P97" s="34"/>
      <c r="Q97" s="34"/>
      <c r="R97" s="34"/>
      <c r="S97" s="34"/>
      <c r="T97" s="34"/>
      <c r="U97" s="34"/>
      <c r="V97" s="34"/>
      <c r="W97" s="34"/>
      <c r="X97" s="34"/>
      <c r="Y97" s="34"/>
      <c r="Z97" s="34"/>
      <c r="AA97" s="34"/>
      <c r="AB97" s="34"/>
      <c r="AC97" s="34"/>
      <c r="AD97" s="34"/>
      <c r="AE97" s="34"/>
      <c r="AF97" s="34"/>
      <c r="AG97" s="34"/>
      <c r="AH97" s="34"/>
      <c r="AI97" s="34"/>
      <c r="AJ97" s="34"/>
      <c r="AK97" s="34"/>
    </row>
    <row r="98" spans="2:37" s="33" customFormat="1">
      <c r="B98" s="50">
        <v>2026</v>
      </c>
      <c r="C98" s="40" t="s">
        <v>38</v>
      </c>
      <c r="D98" s="40" t="s">
        <v>16</v>
      </c>
      <c r="H98" s="34"/>
      <c r="I98" s="34"/>
      <c r="J98" s="34"/>
      <c r="K98" s="34"/>
      <c r="L98" s="34"/>
      <c r="M98" s="34"/>
      <c r="N98" s="34"/>
      <c r="O98" s="34"/>
      <c r="P98" s="34"/>
      <c r="Q98" s="34"/>
      <c r="R98" s="34"/>
      <c r="S98" s="34"/>
      <c r="T98" s="34"/>
      <c r="U98" s="34"/>
      <c r="V98" s="34"/>
      <c r="W98" s="34"/>
      <c r="X98" s="34"/>
      <c r="Y98" s="34"/>
      <c r="Z98" s="34"/>
      <c r="AA98" s="34"/>
      <c r="AB98" s="34"/>
      <c r="AC98" s="34"/>
      <c r="AD98" s="34"/>
      <c r="AE98" s="34"/>
      <c r="AF98" s="34"/>
      <c r="AG98" s="34"/>
      <c r="AH98" s="34"/>
      <c r="AI98" s="34"/>
      <c r="AJ98" s="34"/>
      <c r="AK98" s="34"/>
    </row>
    <row r="99" spans="2:37" s="33" customFormat="1">
      <c r="B99" s="50" t="s">
        <v>82</v>
      </c>
      <c r="C99" s="40" t="s">
        <v>40</v>
      </c>
      <c r="D99" s="40" t="s">
        <v>49</v>
      </c>
      <c r="H99" s="34"/>
      <c r="I99" s="34"/>
      <c r="J99" s="34"/>
      <c r="K99" s="34"/>
      <c r="L99" s="34"/>
      <c r="M99" s="34"/>
      <c r="N99" s="34"/>
      <c r="O99" s="34"/>
      <c r="P99" s="34"/>
      <c r="Q99" s="34"/>
      <c r="R99" s="34"/>
      <c r="S99" s="34"/>
      <c r="T99" s="34"/>
      <c r="U99" s="34"/>
      <c r="V99" s="34"/>
      <c r="W99" s="34"/>
      <c r="X99" s="34"/>
      <c r="Y99" s="34"/>
      <c r="Z99" s="34"/>
      <c r="AA99" s="34"/>
      <c r="AB99" s="34"/>
      <c r="AC99" s="34"/>
      <c r="AD99" s="34"/>
      <c r="AE99" s="34"/>
      <c r="AF99" s="34"/>
      <c r="AG99" s="34"/>
      <c r="AH99" s="34"/>
      <c r="AI99" s="34"/>
      <c r="AJ99" s="34"/>
      <c r="AK99" s="34"/>
    </row>
    <row r="100" spans="2:37" s="33" customFormat="1">
      <c r="B100" s="50" t="s">
        <v>83</v>
      </c>
      <c r="C100" s="40" t="s">
        <v>42</v>
      </c>
      <c r="D100" s="40" t="s">
        <v>18</v>
      </c>
      <c r="H100" s="34"/>
      <c r="I100" s="34"/>
      <c r="J100" s="34"/>
      <c r="K100" s="34"/>
      <c r="L100" s="34"/>
      <c r="M100" s="34"/>
      <c r="N100" s="34"/>
      <c r="O100" s="34"/>
      <c r="P100" s="34"/>
      <c r="Q100" s="34"/>
      <c r="R100" s="34"/>
      <c r="S100" s="34"/>
      <c r="T100" s="34"/>
      <c r="U100" s="34"/>
      <c r="V100" s="34"/>
      <c r="W100" s="34"/>
      <c r="X100" s="34"/>
      <c r="Y100" s="34"/>
      <c r="Z100" s="34"/>
      <c r="AA100" s="34"/>
      <c r="AB100" s="34"/>
      <c r="AC100" s="34"/>
      <c r="AD100" s="34"/>
      <c r="AE100" s="34"/>
      <c r="AF100" s="34"/>
      <c r="AG100" s="34"/>
      <c r="AH100" s="34"/>
      <c r="AI100" s="34"/>
      <c r="AJ100" s="34"/>
      <c r="AK100" s="34"/>
    </row>
    <row r="101" spans="2:37" s="33" customFormat="1">
      <c r="B101" s="50" t="s">
        <v>84</v>
      </c>
      <c r="C101" s="40" t="s">
        <v>44</v>
      </c>
      <c r="H101" s="34"/>
      <c r="I101" s="34"/>
      <c r="J101" s="34"/>
      <c r="K101" s="34"/>
      <c r="L101" s="34"/>
      <c r="M101" s="34"/>
      <c r="N101" s="34"/>
      <c r="O101" s="34"/>
      <c r="P101" s="34"/>
      <c r="Q101" s="34"/>
      <c r="R101" s="34"/>
      <c r="S101" s="34"/>
      <c r="T101" s="34"/>
      <c r="U101" s="34"/>
      <c r="V101" s="34"/>
      <c r="W101" s="34"/>
      <c r="X101" s="34"/>
      <c r="Y101" s="34"/>
      <c r="Z101" s="34"/>
      <c r="AA101" s="34"/>
      <c r="AB101" s="34"/>
      <c r="AC101" s="34"/>
      <c r="AD101" s="34"/>
      <c r="AE101" s="34"/>
      <c r="AF101" s="34"/>
      <c r="AG101" s="34"/>
      <c r="AH101" s="34"/>
      <c r="AI101" s="34"/>
      <c r="AJ101" s="34"/>
      <c r="AK101" s="34"/>
    </row>
    <row r="102" spans="2:37" s="33" customFormat="1">
      <c r="C102" s="40" t="s">
        <v>46</v>
      </c>
      <c r="H102" s="34"/>
      <c r="I102" s="34"/>
      <c r="J102" s="34"/>
      <c r="K102" s="34"/>
      <c r="L102" s="34"/>
      <c r="M102" s="34"/>
      <c r="N102" s="34"/>
      <c r="O102" s="34"/>
      <c r="P102" s="34"/>
      <c r="Q102" s="34"/>
      <c r="R102" s="34"/>
      <c r="S102" s="34"/>
      <c r="T102" s="34"/>
      <c r="U102" s="34"/>
      <c r="V102" s="34"/>
      <c r="W102" s="34"/>
      <c r="X102" s="34"/>
      <c r="Y102" s="34"/>
      <c r="Z102" s="34"/>
      <c r="AA102" s="34"/>
      <c r="AB102" s="34"/>
      <c r="AC102" s="34"/>
      <c r="AD102" s="34"/>
      <c r="AE102" s="34"/>
      <c r="AF102" s="34"/>
      <c r="AG102" s="34"/>
      <c r="AH102" s="34"/>
      <c r="AI102" s="34"/>
      <c r="AJ102" s="34"/>
      <c r="AK102" s="34"/>
    </row>
    <row r="103" spans="2:37" s="33" customFormat="1">
      <c r="C103" s="40" t="s">
        <v>48</v>
      </c>
      <c r="H103" s="34"/>
      <c r="I103" s="34"/>
      <c r="J103" s="34"/>
      <c r="K103" s="34"/>
      <c r="L103" s="34"/>
      <c r="M103" s="34"/>
      <c r="N103" s="34"/>
      <c r="O103" s="34"/>
      <c r="P103" s="34"/>
      <c r="Q103" s="34"/>
      <c r="R103" s="34"/>
      <c r="S103" s="34"/>
      <c r="T103" s="34"/>
      <c r="U103" s="34"/>
      <c r="V103" s="34"/>
      <c r="W103" s="34"/>
      <c r="X103" s="34"/>
      <c r="Y103" s="34"/>
      <c r="Z103" s="34"/>
      <c r="AA103" s="34"/>
      <c r="AB103" s="34"/>
      <c r="AC103" s="34"/>
      <c r="AD103" s="34"/>
      <c r="AE103" s="34"/>
      <c r="AF103" s="34"/>
      <c r="AG103" s="34"/>
      <c r="AH103" s="34"/>
      <c r="AI103" s="34"/>
      <c r="AJ103" s="34"/>
      <c r="AK103" s="34"/>
    </row>
    <row r="104" spans="2:37">
      <c r="C104" s="40" t="s">
        <v>50</v>
      </c>
      <c r="D104" s="33"/>
    </row>
    <row r="105" spans="2:37">
      <c r="C105" s="40" t="s">
        <v>51</v>
      </c>
      <c r="D105" s="33"/>
    </row>
    <row r="106" spans="2:37">
      <c r="C106" s="40" t="s">
        <v>85</v>
      </c>
      <c r="D106" s="33"/>
    </row>
    <row r="107" spans="2:37">
      <c r="C107" s="40" t="s">
        <v>86</v>
      </c>
    </row>
    <row r="108" spans="2:37">
      <c r="C108" s="40" t="s">
        <v>87</v>
      </c>
    </row>
    <row r="109" spans="2:37">
      <c r="C109" s="40" t="s">
        <v>88</v>
      </c>
    </row>
    <row r="110" spans="2:37">
      <c r="B110" s="33" t="str">
        <f>CONCATENATE("Reduction in regulatory fraction at ",+D9)</f>
        <v>Reduction in regulatory fraction at (version 4.1)</v>
      </c>
      <c r="C110" s="40" t="s">
        <v>45</v>
      </c>
    </row>
    <row r="111" spans="2:37">
      <c r="C111" s="40" t="s">
        <v>89</v>
      </c>
    </row>
    <row r="112" spans="2:37">
      <c r="B112" s="34"/>
      <c r="C112" s="34"/>
    </row>
    <row r="139" spans="2:2">
      <c r="B139" s="33" t="str">
        <f>CONCATENATE("Year 3 of this valuation period ended 31 March ",+$E$103)</f>
        <v xml:space="preserve">Year 3 of this valuation period ended 31 March </v>
      </c>
    </row>
    <row r="158" spans="2:2">
      <c r="B158" s="196" t="str">
        <f>CONCATENATE("Established Deficit at ",+D9)</f>
        <v>Established Deficit at (version 4.1)</v>
      </c>
    </row>
    <row r="159" spans="2:2">
      <c r="B159" s="196" t="str">
        <f>CONCATENATE("Incremental Deficit at ",+D9)</f>
        <v>Incremental Deficit at (version 4.1)</v>
      </c>
    </row>
  </sheetData>
  <phoneticPr fontId="21" type="noConversion"/>
  <dataValidations count="5">
    <dataValidation type="list" allowBlank="1" showInputMessage="1" showErrorMessage="1" sqref="D13" xr:uid="{00000000-0002-0000-0000-000000000000}">
      <formula1>$D$34:$D$47</formula1>
    </dataValidation>
    <dataValidation type="list" allowBlank="1" showInputMessage="1" showErrorMessage="1" sqref="D24" xr:uid="{00000000-0002-0000-0000-000001000000}">
      <formula1>Year</formula1>
    </dataValidation>
    <dataValidation type="list" allowBlank="1" showInputMessage="1" showErrorMessage="1" sqref="D12" xr:uid="{00000000-0002-0000-0000-000002000000}">
      <formula1>$D$34:$D$50</formula1>
    </dataValidation>
    <dataValidation type="list" allowBlank="1" showInputMessage="1" showErrorMessage="1" sqref="D21:D22" xr:uid="{00000000-0002-0000-0000-000004000000}">
      <formula1>$D$82:$D$100</formula1>
    </dataValidation>
    <dataValidation type="list" allowBlank="1" showInputMessage="1" showErrorMessage="1" sqref="D14:D19" xr:uid="{00000000-0002-0000-0000-000003000000}">
      <formula1>$C$34:$C$65</formula1>
    </dataValidation>
  </dataValidations>
  <pageMargins left="0.70866141732283472" right="0.70866141732283472" top="0.74803149606299213" bottom="0.74803149606299213" header="0.31496062992125984" footer="0.31496062992125984"/>
  <pageSetup paperSize="8" scale="72" orientation="portrait" r:id="rId1"/>
  <headerFooter>
    <oddFooter>&amp;C_x000D_&amp;1#&amp;"Calibri"&amp;10&amp;K000000 OFFICIAL-InternalOnly</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7" tint="0.59999389629810485"/>
    <pageSetUpPr fitToPage="1"/>
  </sheetPr>
  <dimension ref="A1:W176"/>
  <sheetViews>
    <sheetView showGridLines="0" zoomScale="85" zoomScaleNormal="85" workbookViewId="0">
      <selection activeCell="M154" sqref="M154"/>
    </sheetView>
  </sheetViews>
  <sheetFormatPr defaultColWidth="9.1796875" defaultRowHeight="13.5" outlineLevelRow="1"/>
  <cols>
    <col min="1" max="1" width="9.54296875" style="10" customWidth="1"/>
    <col min="2" max="2" width="70" style="10" customWidth="1"/>
    <col min="3" max="8" width="11.26953125" style="10" customWidth="1"/>
    <col min="9" max="9" width="14.453125" style="10" customWidth="1"/>
    <col min="10" max="10" width="11.26953125" style="10" customWidth="1"/>
    <col min="11" max="11" width="10" style="10" customWidth="1"/>
    <col min="12" max="21" width="9.1796875" style="10"/>
    <col min="22" max="22" width="15.54296875" style="10" customWidth="1"/>
    <col min="23" max="16384" width="9.1796875" style="10"/>
  </cols>
  <sheetData>
    <row r="1" spans="1:23" ht="25">
      <c r="A1" s="79" t="s">
        <v>588</v>
      </c>
      <c r="B1" s="79"/>
      <c r="C1" s="21"/>
      <c r="D1" s="21"/>
      <c r="E1" s="21"/>
      <c r="F1" s="21"/>
      <c r="G1" s="21"/>
      <c r="H1" s="21"/>
      <c r="I1" s="21"/>
      <c r="J1" s="21"/>
      <c r="K1" s="21"/>
      <c r="L1" s="21"/>
    </row>
    <row r="2" spans="1:23" ht="25">
      <c r="A2" s="79" t="str">
        <f>+'Pension Pack cover'!D12</f>
        <v>NGED (Central Networks ESPS)</v>
      </c>
      <c r="B2" s="135"/>
      <c r="C2" s="21"/>
      <c r="D2" s="21"/>
      <c r="E2" s="21"/>
      <c r="F2" s="21"/>
      <c r="G2" s="213" t="s">
        <v>299</v>
      </c>
      <c r="H2" s="21"/>
      <c r="I2" s="21"/>
      <c r="J2" s="21"/>
      <c r="K2" s="21"/>
      <c r="L2" s="21"/>
    </row>
    <row r="3" spans="1:23" ht="25">
      <c r="A3" s="135">
        <f>+'Pension Pack cover'!D24</f>
        <v>2026</v>
      </c>
      <c r="B3" s="135"/>
      <c r="C3" s="21"/>
      <c r="D3" s="21"/>
      <c r="E3" s="21"/>
      <c r="F3" s="21"/>
      <c r="G3" s="21"/>
      <c r="H3" s="21"/>
      <c r="I3" s="21"/>
      <c r="J3" s="21"/>
      <c r="K3" s="21"/>
      <c r="L3" s="21"/>
    </row>
    <row r="4" spans="1:23" ht="15">
      <c r="A4" s="6" t="s">
        <v>588</v>
      </c>
      <c r="B4" s="6"/>
      <c r="C4" s="3"/>
      <c r="D4" s="2"/>
      <c r="E4" s="2"/>
      <c r="F4" s="2"/>
      <c r="G4" s="2"/>
      <c r="H4" s="2"/>
      <c r="I4" s="2"/>
      <c r="J4" s="2"/>
      <c r="K4" s="2"/>
      <c r="L4" s="2"/>
    </row>
    <row r="5" spans="1:23" ht="15">
      <c r="A5" s="4"/>
      <c r="B5" s="4"/>
      <c r="C5" s="214"/>
      <c r="D5" s="2"/>
      <c r="E5" s="2"/>
      <c r="F5" s="2"/>
      <c r="G5" s="2"/>
      <c r="H5" s="2"/>
      <c r="I5" s="2"/>
      <c r="J5" s="2"/>
      <c r="K5" s="2"/>
      <c r="L5" s="2"/>
    </row>
    <row r="6" spans="1:23" ht="15" customHeight="1">
      <c r="A6" s="4"/>
      <c r="B6" s="215" t="s">
        <v>300</v>
      </c>
      <c r="C6" s="214"/>
      <c r="D6" s="355" t="str">
        <f>'Pension Pack cover'!D22</f>
        <v>DB Scheme 2</v>
      </c>
      <c r="E6" s="356"/>
      <c r="F6" s="356"/>
      <c r="G6" s="356"/>
      <c r="H6" s="356"/>
      <c r="I6" s="356"/>
      <c r="J6" s="357"/>
      <c r="K6" s="2"/>
      <c r="L6" s="2"/>
      <c r="U6" s="189"/>
      <c r="V6" s="216"/>
    </row>
    <row r="7" spans="1:23" ht="15">
      <c r="A7" s="4"/>
      <c r="B7" s="217"/>
      <c r="C7" s="214"/>
      <c r="D7" s="3"/>
      <c r="E7" s="2"/>
      <c r="F7" s="2"/>
      <c r="G7" s="2"/>
      <c r="H7" s="2"/>
      <c r="I7" s="2"/>
      <c r="J7" s="2"/>
      <c r="K7" s="2"/>
      <c r="L7" s="2"/>
      <c r="U7" s="189"/>
      <c r="W7" s="63"/>
    </row>
    <row r="8" spans="1:23" ht="15">
      <c r="A8" s="4"/>
      <c r="B8" s="215" t="s">
        <v>301</v>
      </c>
      <c r="C8" s="214"/>
      <c r="D8" s="349" t="s">
        <v>302</v>
      </c>
      <c r="E8" s="350"/>
      <c r="F8" s="2"/>
      <c r="G8" s="2"/>
      <c r="H8" s="2"/>
      <c r="I8" s="2"/>
      <c r="J8" s="2"/>
      <c r="K8" s="2"/>
      <c r="L8" s="2"/>
      <c r="U8" s="189"/>
      <c r="W8" s="63"/>
    </row>
    <row r="9" spans="1:23" ht="15">
      <c r="A9" s="4"/>
      <c r="B9" s="215" t="s">
        <v>303</v>
      </c>
      <c r="C9" s="214"/>
      <c r="D9" s="349" t="s">
        <v>304</v>
      </c>
      <c r="E9" s="350"/>
      <c r="F9" s="2"/>
      <c r="G9" s="2"/>
      <c r="H9" s="2"/>
      <c r="I9" s="2"/>
      <c r="J9" s="2"/>
      <c r="K9" s="2"/>
      <c r="L9" s="2"/>
      <c r="U9" s="189"/>
      <c r="W9" s="63"/>
    </row>
    <row r="10" spans="1:23" ht="15">
      <c r="A10" s="4"/>
      <c r="B10" s="217"/>
      <c r="C10" s="214"/>
      <c r="D10" s="3"/>
      <c r="E10" s="2"/>
      <c r="F10" s="2"/>
      <c r="G10" s="2"/>
      <c r="H10" s="2"/>
      <c r="I10" s="2"/>
      <c r="J10" s="2"/>
      <c r="K10" s="2"/>
      <c r="L10" s="2"/>
      <c r="U10" s="189"/>
      <c r="W10" s="63"/>
    </row>
    <row r="11" spans="1:23" ht="15">
      <c r="A11" s="4"/>
      <c r="B11" s="351" t="str">
        <f>CONCATENATE("Section A - Pre Cut-Off Date Regulatory Fraction as at ",+D8)</f>
        <v>Section A - Pre Cut-Off Date Regulatory Fraction as at 31 March 2022</v>
      </c>
      <c r="C11" s="351"/>
      <c r="D11" s="358"/>
      <c r="E11" s="358"/>
      <c r="F11" s="2"/>
      <c r="G11" s="2"/>
      <c r="H11" s="2"/>
      <c r="I11" s="2"/>
      <c r="J11" s="2"/>
      <c r="K11" s="2"/>
      <c r="L11" s="2"/>
      <c r="U11" s="189"/>
      <c r="W11" s="63"/>
    </row>
    <row r="12" spans="1:23" ht="15.75" customHeight="1" outlineLevel="1">
      <c r="A12" s="4"/>
      <c r="B12" s="9"/>
      <c r="C12" s="9"/>
      <c r="D12" s="11"/>
      <c r="E12" s="11"/>
      <c r="F12" s="2"/>
      <c r="G12" s="2"/>
      <c r="H12" s="2"/>
      <c r="I12" s="2"/>
      <c r="J12" s="2"/>
      <c r="K12" s="2"/>
      <c r="L12" s="2"/>
      <c r="U12" s="189"/>
      <c r="W12" s="63"/>
    </row>
    <row r="13" spans="1:23" ht="15" outlineLevel="1">
      <c r="A13" s="4"/>
      <c r="B13" s="7" t="s">
        <v>305</v>
      </c>
      <c r="C13" s="61" t="str">
        <f>+'Pension Pack cover'!D14</f>
        <v>Licensee 1</v>
      </c>
      <c r="D13" s="61" t="str">
        <f>+'Pension Pack cover'!D15</f>
        <v>Licensee 2</v>
      </c>
      <c r="E13" s="61" t="str">
        <f>+'Pension Pack cover'!D16</f>
        <v>Licensee 3</v>
      </c>
      <c r="F13" s="61" t="str">
        <f>+'Pension Pack cover'!D17</f>
        <v>Licensee 4</v>
      </c>
      <c r="G13" s="61" t="str">
        <f>+'Pension Pack cover'!D18</f>
        <v>Licensee 5</v>
      </c>
      <c r="H13" s="61" t="str">
        <f>+'Pension Pack cover'!D19</f>
        <v>Licensee 6</v>
      </c>
      <c r="I13" s="218" t="s">
        <v>306</v>
      </c>
      <c r="J13" s="13" t="s">
        <v>307</v>
      </c>
      <c r="K13" s="2"/>
      <c r="L13" s="2"/>
      <c r="W13" s="63"/>
    </row>
    <row r="14" spans="1:23" ht="27" outlineLevel="1">
      <c r="A14" s="4"/>
      <c r="B14" s="136" t="s">
        <v>308</v>
      </c>
      <c r="C14" s="288">
        <v>0</v>
      </c>
      <c r="D14" s="288">
        <v>0</v>
      </c>
      <c r="E14" s="288">
        <v>0</v>
      </c>
      <c r="F14" s="288">
        <v>0</v>
      </c>
      <c r="G14" s="288">
        <v>0</v>
      </c>
      <c r="H14" s="288">
        <v>0</v>
      </c>
      <c r="I14" s="314">
        <f>J14-SUM(C14:H14)</f>
        <v>1</v>
      </c>
      <c r="J14" s="314">
        <v>1</v>
      </c>
      <c r="K14" s="2"/>
      <c r="L14" s="2"/>
      <c r="W14" s="63"/>
    </row>
    <row r="15" spans="1:23" ht="17.25" customHeight="1" outlineLevel="1">
      <c r="A15" s="4"/>
      <c r="B15" s="136" t="s">
        <v>309</v>
      </c>
      <c r="C15" s="288">
        <v>0</v>
      </c>
      <c r="D15" s="288">
        <v>0</v>
      </c>
      <c r="E15" s="288">
        <v>0</v>
      </c>
      <c r="F15" s="288">
        <v>0</v>
      </c>
      <c r="G15" s="288">
        <v>0</v>
      </c>
      <c r="H15" s="288">
        <v>0</v>
      </c>
      <c r="I15" s="314">
        <f>-SUM(C15:H15)</f>
        <v>0</v>
      </c>
      <c r="J15" s="314">
        <f>SUM(C15:I15)</f>
        <v>0</v>
      </c>
      <c r="K15" s="2"/>
      <c r="L15" s="2"/>
      <c r="W15" s="63"/>
    </row>
    <row r="16" spans="1:23" ht="27" outlineLevel="1">
      <c r="A16" s="4"/>
      <c r="B16" s="136" t="s">
        <v>310</v>
      </c>
      <c r="C16" s="314">
        <f>C14-C15</f>
        <v>0</v>
      </c>
      <c r="D16" s="314">
        <f t="shared" ref="D16:I16" si="0">D14-D15</f>
        <v>0</v>
      </c>
      <c r="E16" s="314">
        <f t="shared" si="0"/>
        <v>0</v>
      </c>
      <c r="F16" s="314">
        <f t="shared" si="0"/>
        <v>0</v>
      </c>
      <c r="G16" s="314">
        <f t="shared" si="0"/>
        <v>0</v>
      </c>
      <c r="H16" s="314">
        <f t="shared" si="0"/>
        <v>0</v>
      </c>
      <c r="I16" s="314">
        <f t="shared" si="0"/>
        <v>1</v>
      </c>
      <c r="J16" s="314">
        <f>SUM(C16:I16)</f>
        <v>1</v>
      </c>
      <c r="K16" s="2"/>
      <c r="L16" s="2"/>
      <c r="W16" s="63"/>
    </row>
    <row r="17" spans="1:23" ht="15" outlineLevel="1">
      <c r="A17" s="4"/>
      <c r="B17" s="4"/>
      <c r="C17" s="4"/>
      <c r="D17" s="4"/>
      <c r="E17" s="4"/>
      <c r="F17" s="4"/>
      <c r="G17" s="4"/>
      <c r="H17" s="4"/>
      <c r="I17" s="4"/>
      <c r="J17" s="4"/>
      <c r="K17" s="2"/>
      <c r="L17" s="2"/>
      <c r="W17" s="63"/>
    </row>
    <row r="18" spans="1:23" ht="15">
      <c r="A18" s="4"/>
      <c r="B18" s="4"/>
      <c r="C18" s="4"/>
      <c r="D18" s="4"/>
      <c r="E18" s="4"/>
      <c r="F18" s="4"/>
      <c r="G18" s="4"/>
      <c r="H18" s="4"/>
      <c r="I18" s="4"/>
      <c r="J18" s="4"/>
      <c r="K18" s="2"/>
      <c r="L18" s="2"/>
      <c r="W18" s="63"/>
    </row>
    <row r="19" spans="1:23" ht="15">
      <c r="A19" s="4"/>
      <c r="B19" s="14" t="s">
        <v>311</v>
      </c>
      <c r="C19" s="2"/>
      <c r="D19" s="2"/>
      <c r="E19" s="2"/>
      <c r="F19" s="2"/>
      <c r="G19" s="2"/>
      <c r="H19" s="2"/>
      <c r="I19" s="2"/>
      <c r="J19" s="2"/>
      <c r="K19" s="2"/>
      <c r="L19" s="2"/>
      <c r="W19" s="63"/>
    </row>
    <row r="20" spans="1:23" ht="15" outlineLevel="1">
      <c r="A20" s="4"/>
      <c r="B20" s="20" t="s">
        <v>312</v>
      </c>
      <c r="C20" s="305" t="s">
        <v>313</v>
      </c>
      <c r="D20" s="4"/>
      <c r="E20" s="4"/>
      <c r="F20" s="4"/>
      <c r="G20" s="4"/>
      <c r="H20" s="4"/>
      <c r="I20" s="2"/>
      <c r="J20" s="4"/>
      <c r="K20" s="4"/>
      <c r="L20" s="2"/>
      <c r="W20" s="63"/>
    </row>
    <row r="21" spans="1:23" s="19" customFormat="1" ht="15" outlineLevel="1">
      <c r="A21" s="4"/>
      <c r="B21" s="28" t="s">
        <v>314</v>
      </c>
      <c r="C21" s="4"/>
      <c r="D21" s="4"/>
      <c r="E21" s="4"/>
      <c r="F21" s="4"/>
      <c r="G21" s="4"/>
      <c r="H21" s="4"/>
      <c r="I21" s="2"/>
      <c r="J21" s="4"/>
      <c r="K21" s="4"/>
      <c r="L21" s="2"/>
      <c r="M21" s="197"/>
      <c r="N21" s="197"/>
      <c r="O21" s="197"/>
      <c r="P21" s="197"/>
      <c r="Q21" s="197"/>
      <c r="R21" s="197"/>
      <c r="S21" s="197"/>
      <c r="T21" s="197"/>
      <c r="U21" s="197"/>
      <c r="V21" s="197"/>
      <c r="W21" s="63"/>
    </row>
    <row r="22" spans="1:23" s="19" customFormat="1" ht="15" outlineLevel="1">
      <c r="A22" s="4"/>
      <c r="B22" s="20"/>
      <c r="C22" s="4"/>
      <c r="D22" s="4"/>
      <c r="E22" s="4"/>
      <c r="F22" s="4"/>
      <c r="G22" s="4"/>
      <c r="H22" s="4"/>
      <c r="I22" s="4"/>
      <c r="J22" s="4"/>
      <c r="K22" s="4"/>
      <c r="L22" s="2"/>
      <c r="M22" s="197"/>
      <c r="N22" s="197"/>
      <c r="O22" s="197"/>
      <c r="P22" s="197"/>
      <c r="Q22" s="197"/>
      <c r="R22" s="197"/>
      <c r="S22" s="197"/>
      <c r="T22" s="197"/>
      <c r="U22" s="197"/>
      <c r="V22" s="197"/>
      <c r="W22" s="63"/>
    </row>
    <row r="23" spans="1:23" s="19" customFormat="1" ht="15" outlineLevel="1">
      <c r="A23" s="4"/>
      <c r="B23" s="4"/>
      <c r="C23" s="4"/>
      <c r="D23" s="359" t="s">
        <v>315</v>
      </c>
      <c r="E23" s="359"/>
      <c r="F23" s="4"/>
      <c r="G23" s="360" t="str">
        <f>D8</f>
        <v>31 March 2022</v>
      </c>
      <c r="H23" s="359"/>
      <c r="I23" s="4"/>
      <c r="J23" s="360" t="str">
        <f>D9</f>
        <v>31 March 2025</v>
      </c>
      <c r="K23" s="359"/>
      <c r="L23" s="2"/>
      <c r="M23" s="197"/>
      <c r="N23" s="197"/>
      <c r="O23" s="197"/>
      <c r="P23" s="197"/>
      <c r="Q23" s="197"/>
      <c r="R23" s="197"/>
      <c r="S23" s="197"/>
      <c r="T23" s="197"/>
      <c r="U23" s="197"/>
      <c r="V23" s="197"/>
      <c r="W23" s="197"/>
    </row>
    <row r="24" spans="1:23" s="19" customFormat="1" ht="15" outlineLevel="1">
      <c r="A24" s="4"/>
      <c r="B24" s="4"/>
      <c r="C24" s="4"/>
      <c r="D24" s="219" t="s">
        <v>316</v>
      </c>
      <c r="E24" s="219"/>
      <c r="F24" s="4"/>
      <c r="G24" s="219" t="s">
        <v>316</v>
      </c>
      <c r="H24" s="219"/>
      <c r="I24" s="2"/>
      <c r="J24" s="219" t="s">
        <v>316</v>
      </c>
      <c r="K24" s="219"/>
      <c r="L24" s="2"/>
      <c r="M24" s="197"/>
      <c r="N24" s="197"/>
      <c r="O24" s="197"/>
      <c r="P24" s="197"/>
      <c r="Q24" s="197"/>
      <c r="R24" s="197"/>
      <c r="S24" s="197"/>
      <c r="T24" s="197"/>
      <c r="U24" s="197"/>
      <c r="V24" s="197"/>
      <c r="W24" s="197"/>
    </row>
    <row r="25" spans="1:23" s="19" customFormat="1" ht="15" outlineLevel="1">
      <c r="A25" s="4"/>
      <c r="B25" s="4"/>
      <c r="C25" s="4"/>
      <c r="D25" s="220" t="s">
        <v>317</v>
      </c>
      <c r="E25" s="220" t="s">
        <v>318</v>
      </c>
      <c r="F25" s="4"/>
      <c r="G25" s="220" t="s">
        <v>317</v>
      </c>
      <c r="H25" s="220" t="s">
        <v>318</v>
      </c>
      <c r="I25" s="2"/>
      <c r="J25" s="220" t="s">
        <v>317</v>
      </c>
      <c r="K25" s="220" t="s">
        <v>318</v>
      </c>
      <c r="L25" s="2"/>
      <c r="M25" s="197"/>
      <c r="N25" s="197"/>
      <c r="O25" s="197"/>
      <c r="P25" s="197"/>
      <c r="Q25" s="197"/>
      <c r="R25" s="197"/>
      <c r="S25" s="197"/>
      <c r="T25" s="197"/>
      <c r="U25" s="197"/>
      <c r="V25" s="197"/>
      <c r="W25" s="197"/>
    </row>
    <row r="26" spans="1:23" s="19" customFormat="1" ht="15" outlineLevel="1">
      <c r="A26" s="4"/>
      <c r="B26" s="62" t="str">
        <f>+'Pension Pack cover'!D14</f>
        <v>Licensee 1</v>
      </c>
      <c r="C26" s="4"/>
      <c r="D26" s="289">
        <v>0</v>
      </c>
      <c r="E26" s="317">
        <f>IFERROR(D26/$D$29,0)</f>
        <v>0</v>
      </c>
      <c r="F26" s="4"/>
      <c r="G26" s="289">
        <v>0</v>
      </c>
      <c r="H26" s="317">
        <f>IFERROR(G26/$G$29,0)</f>
        <v>0</v>
      </c>
      <c r="I26" s="2"/>
      <c r="J26" s="289">
        <v>0</v>
      </c>
      <c r="K26" s="317">
        <f>IFERROR(J26/$J$29,0)</f>
        <v>0</v>
      </c>
      <c r="L26" s="2"/>
      <c r="M26" s="197"/>
      <c r="N26" s="197"/>
      <c r="O26" s="197"/>
      <c r="P26" s="197"/>
      <c r="Q26" s="197"/>
      <c r="R26" s="197"/>
      <c r="S26" s="197"/>
      <c r="T26" s="197"/>
      <c r="U26" s="197"/>
      <c r="V26" s="197"/>
      <c r="W26" s="197"/>
    </row>
    <row r="27" spans="1:23" s="19" customFormat="1" ht="15" outlineLevel="1">
      <c r="A27" s="4"/>
      <c r="B27" s="62" t="str">
        <f>+'Pension Pack cover'!D15</f>
        <v>Licensee 2</v>
      </c>
      <c r="C27" s="4"/>
      <c r="D27" s="289">
        <v>0</v>
      </c>
      <c r="E27" s="317">
        <f t="shared" ref="E27:E28" si="1">IFERROR(D27/$D$29,0)</f>
        <v>0</v>
      </c>
      <c r="F27" s="4"/>
      <c r="G27" s="289">
        <v>0</v>
      </c>
      <c r="H27" s="317">
        <f t="shared" ref="H27:H28" si="2">IFERROR(G27/$G$29,0)</f>
        <v>0</v>
      </c>
      <c r="I27" s="2"/>
      <c r="J27" s="289">
        <v>0</v>
      </c>
      <c r="K27" s="317">
        <f t="shared" ref="K27:K28" si="3">IFERROR(J27/$J$29,0)</f>
        <v>0</v>
      </c>
      <c r="L27" s="2"/>
      <c r="M27" s="197"/>
      <c r="N27" s="197"/>
      <c r="O27" s="197"/>
      <c r="P27" s="197"/>
      <c r="Q27" s="197"/>
      <c r="R27" s="197"/>
      <c r="S27" s="197"/>
      <c r="T27" s="197"/>
      <c r="U27" s="197"/>
      <c r="V27" s="197"/>
      <c r="W27" s="197"/>
    </row>
    <row r="28" spans="1:23" s="19" customFormat="1" ht="15" outlineLevel="1">
      <c r="A28" s="4"/>
      <c r="B28" s="62" t="str">
        <f>+'Pension Pack cover'!D16</f>
        <v>Licensee 3</v>
      </c>
      <c r="C28" s="4"/>
      <c r="D28" s="289">
        <v>0</v>
      </c>
      <c r="E28" s="317">
        <f t="shared" si="1"/>
        <v>0</v>
      </c>
      <c r="F28" s="4"/>
      <c r="G28" s="289">
        <v>0</v>
      </c>
      <c r="H28" s="317">
        <f t="shared" si="2"/>
        <v>0</v>
      </c>
      <c r="I28" s="2"/>
      <c r="J28" s="289">
        <v>0</v>
      </c>
      <c r="K28" s="317">
        <f t="shared" si="3"/>
        <v>0</v>
      </c>
      <c r="L28" s="2"/>
      <c r="M28" s="197"/>
      <c r="N28" s="197"/>
      <c r="O28" s="197"/>
      <c r="P28" s="197"/>
      <c r="Q28" s="197"/>
      <c r="R28" s="197"/>
      <c r="S28" s="197"/>
      <c r="T28" s="197"/>
      <c r="U28" s="197"/>
      <c r="V28" s="197"/>
      <c r="W28" s="197"/>
    </row>
    <row r="29" spans="1:23" s="19" customFormat="1" ht="15" outlineLevel="1">
      <c r="A29" s="4"/>
      <c r="B29" s="27" t="s">
        <v>319</v>
      </c>
      <c r="C29" s="4"/>
      <c r="D29" s="315">
        <f>SUM(D26:D28)</f>
        <v>0</v>
      </c>
      <c r="E29" s="316">
        <f>SUM(E28:E28)</f>
        <v>0</v>
      </c>
      <c r="F29" s="4"/>
      <c r="G29" s="315">
        <f>SUM(G26:G28)</f>
        <v>0</v>
      </c>
      <c r="H29" s="316">
        <f>SUM(H28:H28)</f>
        <v>0</v>
      </c>
      <c r="I29" s="2"/>
      <c r="J29" s="315">
        <f>SUM(J26:J28)</f>
        <v>0</v>
      </c>
      <c r="K29" s="316">
        <f>SUM(K28:K28)</f>
        <v>0</v>
      </c>
      <c r="L29" s="2"/>
      <c r="M29" s="197"/>
      <c r="N29" s="197"/>
      <c r="O29" s="197"/>
      <c r="P29" s="197"/>
      <c r="Q29" s="197"/>
      <c r="R29" s="197"/>
      <c r="S29" s="197"/>
      <c r="T29" s="197"/>
      <c r="U29" s="197"/>
      <c r="V29" s="197"/>
      <c r="W29" s="197"/>
    </row>
    <row r="30" spans="1:23" s="19" customFormat="1" ht="15" outlineLevel="1">
      <c r="A30" s="4"/>
      <c r="B30" s="4"/>
      <c r="C30" s="4"/>
      <c r="D30" s="4"/>
      <c r="E30" s="4"/>
      <c r="F30" s="4"/>
      <c r="G30" s="4"/>
      <c r="H30" s="4"/>
      <c r="I30" s="2"/>
      <c r="J30" s="4"/>
      <c r="K30" s="4"/>
      <c r="L30" s="2"/>
      <c r="M30" s="197"/>
      <c r="N30" s="197"/>
      <c r="O30" s="197"/>
      <c r="P30" s="197"/>
      <c r="Q30" s="197"/>
      <c r="R30" s="197"/>
      <c r="S30" s="197"/>
      <c r="T30" s="197"/>
      <c r="U30" s="197"/>
      <c r="V30" s="197"/>
      <c r="W30" s="197"/>
    </row>
    <row r="31" spans="1:23" s="19" customFormat="1" ht="15" outlineLevel="1">
      <c r="A31" s="4"/>
      <c r="B31" s="20" t="str">
        <f>CONCATENATE("2. ",+B26," - Pre-Cut Off Date Pension liabilities")</f>
        <v>2. Licensee 1 - Pre-Cut Off Date Pension liabilities</v>
      </c>
      <c r="C31" s="4"/>
      <c r="D31" s="4"/>
      <c r="E31" s="4"/>
      <c r="F31" s="4"/>
      <c r="G31" s="4"/>
      <c r="H31" s="4"/>
      <c r="I31" s="4"/>
      <c r="J31" s="4"/>
      <c r="K31" s="4"/>
      <c r="L31" s="2"/>
      <c r="M31" s="197"/>
      <c r="N31" s="197"/>
      <c r="O31" s="197"/>
      <c r="P31" s="197"/>
      <c r="Q31" s="197"/>
      <c r="R31" s="197"/>
      <c r="S31" s="197"/>
      <c r="T31" s="197"/>
      <c r="U31" s="197"/>
      <c r="V31" s="197"/>
      <c r="W31" s="197"/>
    </row>
    <row r="32" spans="1:23" s="19" customFormat="1" ht="15" outlineLevel="1">
      <c r="A32" s="4"/>
      <c r="B32" s="4"/>
      <c r="C32" s="352" t="s">
        <v>320</v>
      </c>
      <c r="D32" s="353"/>
      <c r="E32" s="354"/>
      <c r="F32" s="221" t="str">
        <f>D8</f>
        <v>31 March 2022</v>
      </c>
      <c r="G32" s="222"/>
      <c r="H32" s="223"/>
      <c r="I32" s="221" t="str">
        <f>D9</f>
        <v>31 March 2025</v>
      </c>
      <c r="J32" s="222"/>
      <c r="K32" s="223"/>
      <c r="L32" s="2"/>
      <c r="M32" s="197"/>
      <c r="N32" s="197"/>
      <c r="O32" s="197"/>
      <c r="P32" s="197"/>
      <c r="Q32" s="197"/>
      <c r="R32" s="197"/>
      <c r="S32" s="197"/>
      <c r="T32" s="197"/>
      <c r="U32" s="197"/>
      <c r="V32" s="197"/>
      <c r="W32" s="197"/>
    </row>
    <row r="33" spans="1:22" s="19" customFormat="1" ht="15" outlineLevel="1">
      <c r="A33" s="4"/>
      <c r="B33" s="4"/>
      <c r="C33" s="224"/>
      <c r="D33" s="220">
        <v>2004</v>
      </c>
      <c r="E33" s="220">
        <f>+D33</f>
        <v>2004</v>
      </c>
      <c r="F33" s="225"/>
      <c r="G33" s="220">
        <v>2022</v>
      </c>
      <c r="H33" s="220">
        <f>+G33</f>
        <v>2022</v>
      </c>
      <c r="I33" s="225"/>
      <c r="J33" s="220">
        <f>+E101</f>
        <v>2025</v>
      </c>
      <c r="K33" s="220">
        <f>+J33</f>
        <v>2025</v>
      </c>
      <c r="L33" s="2"/>
      <c r="M33" s="197"/>
      <c r="N33" s="197"/>
      <c r="O33" s="197"/>
      <c r="P33" s="197"/>
      <c r="Q33" s="197"/>
      <c r="R33" s="197"/>
      <c r="S33" s="197"/>
      <c r="T33" s="197"/>
      <c r="U33" s="197"/>
      <c r="V33" s="197"/>
    </row>
    <row r="34" spans="1:22" s="19" customFormat="1" ht="15" outlineLevel="1">
      <c r="A34" s="4"/>
      <c r="B34" s="4"/>
      <c r="C34" s="4"/>
      <c r="D34" s="220" t="s">
        <v>317</v>
      </c>
      <c r="E34" s="220" t="s">
        <v>318</v>
      </c>
      <c r="F34" s="4"/>
      <c r="G34" s="220" t="s">
        <v>317</v>
      </c>
      <c r="H34" s="220" t="s">
        <v>318</v>
      </c>
      <c r="I34" s="4"/>
      <c r="J34" s="220" t="s">
        <v>317</v>
      </c>
      <c r="K34" s="220" t="s">
        <v>318</v>
      </c>
      <c r="L34" s="2"/>
      <c r="M34" s="197"/>
      <c r="N34" s="197"/>
      <c r="O34" s="197"/>
      <c r="P34" s="197"/>
      <c r="Q34" s="197"/>
      <c r="R34" s="197"/>
      <c r="S34" s="197"/>
      <c r="T34" s="197"/>
      <c r="U34" s="197"/>
      <c r="V34" s="197"/>
    </row>
    <row r="35" spans="1:22" s="19" customFormat="1" ht="15" outlineLevel="1">
      <c r="A35" s="4"/>
      <c r="B35" s="87" t="s">
        <v>321</v>
      </c>
      <c r="C35" s="4"/>
      <c r="D35" s="290">
        <v>0</v>
      </c>
      <c r="E35" s="320">
        <f>IFERROR(D35/D37,0)</f>
        <v>0</v>
      </c>
      <c r="F35" s="4"/>
      <c r="G35" s="291">
        <v>0</v>
      </c>
      <c r="H35" s="322">
        <f>IFERROR(G35/G37,0)</f>
        <v>0</v>
      </c>
      <c r="I35" s="4"/>
      <c r="J35" s="290">
        <v>0</v>
      </c>
      <c r="K35" s="322">
        <f>IFERROR(J35/J37,0)</f>
        <v>0</v>
      </c>
      <c r="L35" s="2"/>
      <c r="M35" s="197"/>
      <c r="N35" s="197"/>
      <c r="O35" s="197"/>
      <c r="P35" s="197"/>
      <c r="Q35" s="197"/>
      <c r="R35" s="197"/>
      <c r="S35" s="197"/>
      <c r="T35" s="197"/>
      <c r="U35" s="197"/>
      <c r="V35" s="197"/>
    </row>
    <row r="36" spans="1:22" s="19" customFormat="1" ht="15" outlineLevel="1">
      <c r="A36" s="4"/>
      <c r="B36" s="87" t="s">
        <v>322</v>
      </c>
      <c r="C36" s="4"/>
      <c r="D36" s="318">
        <f>D26-D35</f>
        <v>0</v>
      </c>
      <c r="E36" s="321">
        <f>IFERROR(D36/D37,0)</f>
        <v>0</v>
      </c>
      <c r="F36" s="64"/>
      <c r="G36" s="318">
        <f>G26-G35</f>
        <v>0</v>
      </c>
      <c r="H36" s="321">
        <f>IFERROR(1-H35,0)</f>
        <v>1</v>
      </c>
      <c r="I36" s="64"/>
      <c r="J36" s="318">
        <f>J26-J35</f>
        <v>0</v>
      </c>
      <c r="K36" s="323">
        <f>IFERROR(1-K35,0)</f>
        <v>1</v>
      </c>
      <c r="L36" s="2"/>
      <c r="M36" s="197"/>
      <c r="N36" s="197"/>
      <c r="O36" s="197"/>
      <c r="P36" s="197"/>
      <c r="Q36" s="197"/>
      <c r="R36" s="197"/>
      <c r="S36" s="197"/>
      <c r="T36" s="197"/>
      <c r="U36" s="197"/>
      <c r="V36" s="197"/>
    </row>
    <row r="37" spans="1:22" s="19" customFormat="1" ht="15" outlineLevel="1">
      <c r="A37" s="4"/>
      <c r="B37" s="27" t="s">
        <v>323</v>
      </c>
      <c r="C37" s="4"/>
      <c r="D37" s="319">
        <f>D35+D36</f>
        <v>0</v>
      </c>
      <c r="E37" s="65"/>
      <c r="F37" s="64"/>
      <c r="G37" s="319">
        <f>G35+G36</f>
        <v>0</v>
      </c>
      <c r="H37" s="66"/>
      <c r="I37" s="67"/>
      <c r="J37" s="319">
        <f>J35+J36</f>
        <v>0</v>
      </c>
      <c r="K37" s="226"/>
      <c r="L37" s="2"/>
      <c r="M37" s="197"/>
      <c r="N37" s="197"/>
      <c r="O37" s="197"/>
      <c r="P37" s="197"/>
      <c r="Q37" s="197"/>
      <c r="R37" s="197"/>
      <c r="S37" s="197"/>
      <c r="T37" s="197"/>
      <c r="U37" s="197"/>
      <c r="V37" s="197"/>
    </row>
    <row r="38" spans="1:22" s="19" customFormat="1" ht="15" outlineLevel="1">
      <c r="A38" s="4"/>
      <c r="B38" s="4"/>
      <c r="C38" s="4"/>
      <c r="D38" s="4"/>
      <c r="E38" s="4"/>
      <c r="F38" s="4"/>
      <c r="G38" s="4"/>
      <c r="H38" s="4"/>
      <c r="I38" s="4"/>
      <c r="J38" s="4"/>
      <c r="K38" s="4"/>
      <c r="L38" s="2"/>
      <c r="M38" s="197"/>
      <c r="N38" s="197"/>
      <c r="O38" s="197"/>
      <c r="P38" s="197"/>
      <c r="Q38" s="197"/>
      <c r="R38" s="197"/>
      <c r="S38" s="197"/>
      <c r="T38" s="197"/>
      <c r="U38" s="197"/>
      <c r="V38" s="197"/>
    </row>
    <row r="39" spans="1:22" s="19" customFormat="1" ht="15" outlineLevel="1">
      <c r="A39" s="4"/>
      <c r="B39" s="20" t="s">
        <v>324</v>
      </c>
      <c r="C39" s="4"/>
      <c r="D39" s="4"/>
      <c r="E39" s="4"/>
      <c r="F39" s="4"/>
      <c r="G39" s="4"/>
      <c r="H39" s="4"/>
      <c r="I39" s="4"/>
      <c r="J39" s="4"/>
      <c r="K39" s="4"/>
      <c r="L39" s="2"/>
      <c r="M39" s="197"/>
      <c r="N39" s="197"/>
      <c r="O39" s="197"/>
      <c r="P39" s="197"/>
      <c r="Q39" s="197"/>
      <c r="R39" s="197"/>
      <c r="S39" s="197"/>
      <c r="T39" s="197"/>
      <c r="U39" s="197"/>
      <c r="V39" s="80"/>
    </row>
    <row r="40" spans="1:22" s="19" customFormat="1" ht="15" outlineLevel="1">
      <c r="A40" s="4"/>
      <c r="B40" s="227" t="s">
        <v>325</v>
      </c>
      <c r="C40" s="298">
        <v>0</v>
      </c>
      <c r="D40" s="325">
        <f>+D35*C40</f>
        <v>0</v>
      </c>
      <c r="E40" s="317">
        <f>IFERROR(ROUND(D40/$D$44,3),0)</f>
        <v>0</v>
      </c>
      <c r="F40" s="298">
        <v>0</v>
      </c>
      <c r="G40" s="325">
        <f>+G35*F40</f>
        <v>0</v>
      </c>
      <c r="H40" s="317">
        <f>IFERROR(ROUND(+G40/$G$44,3),0)</f>
        <v>0</v>
      </c>
      <c r="I40" s="298">
        <v>0</v>
      </c>
      <c r="J40" s="325">
        <f>+J35*I40</f>
        <v>0</v>
      </c>
      <c r="K40" s="317">
        <f>IFERROR(ROUND(+J40/$J$44,3),0)</f>
        <v>0</v>
      </c>
      <c r="L40" s="2"/>
      <c r="M40" s="197"/>
      <c r="N40" s="197"/>
      <c r="O40" s="197"/>
      <c r="P40" s="197"/>
      <c r="Q40" s="197"/>
      <c r="R40" s="197"/>
      <c r="S40" s="197"/>
      <c r="T40" s="197"/>
      <c r="U40" s="197"/>
      <c r="V40" s="80"/>
    </row>
    <row r="41" spans="1:22" s="19" customFormat="1" ht="15" outlineLevel="1">
      <c r="A41" s="4"/>
      <c r="B41" s="227" t="s">
        <v>326</v>
      </c>
      <c r="C41" s="324">
        <f>+(1-C40)</f>
        <v>1</v>
      </c>
      <c r="D41" s="325">
        <f>+D35-D40</f>
        <v>0</v>
      </c>
      <c r="E41" s="317">
        <f>IFERROR(ROUND(D41/$D$44,3),0)</f>
        <v>0</v>
      </c>
      <c r="F41" s="321">
        <f>+(1-F40)</f>
        <v>1</v>
      </c>
      <c r="G41" s="325">
        <f>+G35*F41</f>
        <v>0</v>
      </c>
      <c r="H41" s="317">
        <f>IFERROR(ROUND(+G41/$G$44,3),0)</f>
        <v>0</v>
      </c>
      <c r="I41" s="324">
        <f>+(1-I40)</f>
        <v>1</v>
      </c>
      <c r="J41" s="325">
        <f>+J35*I41</f>
        <v>0</v>
      </c>
      <c r="K41" s="317">
        <f>IFERROR(ROUND(J41/$J$44,3),0)</f>
        <v>0</v>
      </c>
      <c r="L41" s="2"/>
      <c r="M41" s="197"/>
      <c r="N41" s="197"/>
      <c r="O41" s="197"/>
      <c r="P41" s="197"/>
      <c r="Q41" s="197"/>
      <c r="R41" s="197"/>
      <c r="S41" s="197"/>
      <c r="T41" s="197"/>
      <c r="U41" s="197"/>
      <c r="V41" s="80"/>
    </row>
    <row r="42" spans="1:22" s="19" customFormat="1" ht="15" outlineLevel="1">
      <c r="A42" s="4"/>
      <c r="B42" s="227" t="s">
        <v>327</v>
      </c>
      <c r="C42" s="324">
        <f>IFERROR(D42/D36,0)</f>
        <v>0</v>
      </c>
      <c r="D42" s="325">
        <f>D46-D40</f>
        <v>0</v>
      </c>
      <c r="E42" s="317">
        <f>E46-E40</f>
        <v>0.8</v>
      </c>
      <c r="F42" s="4"/>
      <c r="G42" s="325">
        <f>G36*C42</f>
        <v>0</v>
      </c>
      <c r="H42" s="317">
        <f>IFERROR(G42/$G$44,0)</f>
        <v>0</v>
      </c>
      <c r="I42" s="4"/>
      <c r="J42" s="325">
        <f>J36*C42</f>
        <v>0</v>
      </c>
      <c r="K42" s="317">
        <f>IFERROR(J42/$J$44,0)</f>
        <v>0</v>
      </c>
      <c r="L42" s="2"/>
      <c r="M42" s="197"/>
      <c r="N42" s="197"/>
      <c r="O42" s="197"/>
      <c r="P42" s="197"/>
      <c r="Q42" s="197"/>
      <c r="R42" s="197"/>
      <c r="S42" s="197"/>
      <c r="T42" s="197"/>
      <c r="U42" s="197"/>
      <c r="V42" s="80"/>
    </row>
    <row r="43" spans="1:22" s="19" customFormat="1" ht="15" outlineLevel="1">
      <c r="A43" s="4"/>
      <c r="B43" s="227" t="s">
        <v>328</v>
      </c>
      <c r="C43" s="324">
        <f>IFERROR(D43/D36,0)</f>
        <v>0</v>
      </c>
      <c r="D43" s="325">
        <f>D47-D41</f>
        <v>0</v>
      </c>
      <c r="E43" s="317">
        <f>E47-E41</f>
        <v>0.2</v>
      </c>
      <c r="F43" s="4"/>
      <c r="G43" s="325">
        <f>G36*C43</f>
        <v>0</v>
      </c>
      <c r="H43" s="317">
        <f>IFERROR(G43/$G$44,0)</f>
        <v>0</v>
      </c>
      <c r="I43" s="4"/>
      <c r="J43" s="325">
        <f>J36*C43</f>
        <v>0</v>
      </c>
      <c r="K43" s="317">
        <f>IFERROR(J43/$J$44,0)</f>
        <v>0</v>
      </c>
      <c r="L43" s="2"/>
      <c r="M43" s="197"/>
      <c r="N43" s="197"/>
      <c r="O43" s="197"/>
      <c r="P43" s="197"/>
      <c r="Q43" s="197"/>
      <c r="R43" s="197"/>
      <c r="S43" s="197"/>
      <c r="T43" s="197"/>
      <c r="U43" s="197"/>
      <c r="V43" s="80"/>
    </row>
    <row r="44" spans="1:22" s="19" customFormat="1" ht="15" outlineLevel="1">
      <c r="A44" s="4"/>
      <c r="B44" s="4"/>
      <c r="C44" s="4"/>
      <c r="D44" s="325">
        <f>SUM(D40:D43)</f>
        <v>0</v>
      </c>
      <c r="E44" s="326">
        <f>SUM(E40:E43)</f>
        <v>1</v>
      </c>
      <c r="F44" s="4"/>
      <c r="G44" s="325">
        <f>SUM(G40:G43)</f>
        <v>0</v>
      </c>
      <c r="H44" s="326">
        <f>SUM(H40:H43)</f>
        <v>0</v>
      </c>
      <c r="I44" s="4"/>
      <c r="J44" s="325">
        <f>SUM(J40:J43)</f>
        <v>0</v>
      </c>
      <c r="K44" s="326">
        <f>SUM(K40:K43)</f>
        <v>0</v>
      </c>
      <c r="L44" s="2"/>
      <c r="M44" s="197"/>
      <c r="N44" s="197"/>
      <c r="O44" s="197"/>
      <c r="P44" s="197"/>
      <c r="Q44" s="197"/>
      <c r="R44" s="197"/>
      <c r="S44" s="197"/>
      <c r="T44" s="197"/>
      <c r="U44" s="197"/>
      <c r="V44" s="80"/>
    </row>
    <row r="45" spans="1:22" s="19" customFormat="1" ht="15" outlineLevel="1">
      <c r="A45" s="4"/>
      <c r="B45" s="20" t="s">
        <v>329</v>
      </c>
      <c r="C45" s="4"/>
      <c r="D45" s="197"/>
      <c r="E45" s="197"/>
      <c r="F45" s="197"/>
      <c r="G45" s="4"/>
      <c r="H45" s="4"/>
      <c r="I45" s="4"/>
      <c r="J45" s="4"/>
      <c r="K45" s="4"/>
      <c r="L45" s="2"/>
      <c r="M45" s="197"/>
      <c r="N45" s="197"/>
      <c r="O45" s="197"/>
      <c r="P45" s="197"/>
      <c r="Q45" s="197"/>
      <c r="R45" s="197"/>
      <c r="S45" s="197"/>
      <c r="T45" s="197"/>
      <c r="U45" s="197"/>
      <c r="V45" s="80"/>
    </row>
    <row r="46" spans="1:22" s="19" customFormat="1" ht="15" outlineLevel="1">
      <c r="A46" s="4"/>
      <c r="B46" s="227" t="s">
        <v>330</v>
      </c>
      <c r="C46" s="4"/>
      <c r="D46" s="325">
        <f>E46*D37</f>
        <v>0</v>
      </c>
      <c r="E46" s="298">
        <v>0.8</v>
      </c>
      <c r="F46" s="4"/>
      <c r="G46" s="325">
        <f>+G40+G42</f>
        <v>0</v>
      </c>
      <c r="H46" s="326">
        <f>+H40+H42</f>
        <v>0</v>
      </c>
      <c r="I46" s="4"/>
      <c r="J46" s="325">
        <f>+J40+J42</f>
        <v>0</v>
      </c>
      <c r="K46" s="326">
        <f>+K40+K42</f>
        <v>0</v>
      </c>
      <c r="L46" s="2"/>
      <c r="M46" s="197"/>
      <c r="N46" s="197"/>
      <c r="O46" s="197"/>
      <c r="P46" s="197"/>
      <c r="Q46" s="197"/>
      <c r="R46" s="197"/>
      <c r="S46" s="197"/>
      <c r="T46" s="197"/>
      <c r="U46" s="197"/>
      <c r="V46" s="80"/>
    </row>
    <row r="47" spans="1:22" s="19" customFormat="1" ht="15" outlineLevel="1">
      <c r="A47" s="4"/>
      <c r="B47" s="227" t="s">
        <v>306</v>
      </c>
      <c r="C47" s="4"/>
      <c r="D47" s="325">
        <f>E47*D37</f>
        <v>0</v>
      </c>
      <c r="E47" s="298">
        <v>0.2</v>
      </c>
      <c r="F47" s="4"/>
      <c r="G47" s="325">
        <f>+G41+G43</f>
        <v>0</v>
      </c>
      <c r="H47" s="326">
        <f>1-H46</f>
        <v>1</v>
      </c>
      <c r="I47" s="4"/>
      <c r="J47" s="325">
        <f>+J41+J43</f>
        <v>0</v>
      </c>
      <c r="K47" s="326">
        <f>1-K46</f>
        <v>1</v>
      </c>
      <c r="L47" s="2"/>
      <c r="M47" s="197"/>
      <c r="N47" s="197"/>
      <c r="O47" s="197"/>
      <c r="P47" s="197"/>
      <c r="Q47" s="197"/>
      <c r="R47" s="197"/>
      <c r="S47" s="197"/>
      <c r="T47" s="197"/>
      <c r="U47" s="197"/>
      <c r="V47" s="80"/>
    </row>
    <row r="48" spans="1:22" s="19" customFormat="1" ht="15" outlineLevel="1">
      <c r="A48" s="4"/>
      <c r="B48" s="4"/>
      <c r="C48" s="4"/>
      <c r="D48" s="4"/>
      <c r="E48" s="4"/>
      <c r="F48" s="4"/>
      <c r="G48" s="4"/>
      <c r="H48" s="4"/>
      <c r="I48" s="4"/>
      <c r="J48" s="4"/>
      <c r="K48" s="4"/>
      <c r="L48" s="2"/>
      <c r="M48" s="197"/>
      <c r="N48" s="197"/>
      <c r="O48" s="197"/>
      <c r="P48" s="197"/>
      <c r="Q48" s="197"/>
      <c r="R48" s="197"/>
      <c r="S48" s="197"/>
      <c r="T48" s="197"/>
      <c r="U48" s="197"/>
      <c r="V48" s="197"/>
    </row>
    <row r="49" spans="1:22" s="19" customFormat="1" ht="15" outlineLevel="1">
      <c r="A49" s="4"/>
      <c r="B49" s="20" t="s">
        <v>331</v>
      </c>
      <c r="C49" s="4"/>
      <c r="D49" s="197"/>
      <c r="E49" s="197"/>
      <c r="F49" s="197"/>
      <c r="G49" s="4"/>
      <c r="H49" s="4"/>
      <c r="I49" s="4"/>
      <c r="J49" s="4"/>
      <c r="K49" s="4"/>
      <c r="L49" s="2"/>
      <c r="M49" s="197"/>
      <c r="N49" s="197"/>
      <c r="O49" s="197"/>
      <c r="P49" s="197"/>
      <c r="Q49" s="197"/>
      <c r="R49" s="197"/>
      <c r="S49" s="197"/>
      <c r="T49" s="197"/>
      <c r="U49" s="197"/>
      <c r="V49" s="197"/>
    </row>
    <row r="50" spans="1:22" s="19" customFormat="1" ht="15" outlineLevel="1">
      <c r="A50" s="4"/>
      <c r="B50" s="227" t="s">
        <v>330</v>
      </c>
      <c r="C50" s="4"/>
      <c r="D50" s="325">
        <f>D46</f>
        <v>0</v>
      </c>
      <c r="E50" s="326">
        <f>IFERROR(D50/D29,0)</f>
        <v>0</v>
      </c>
      <c r="F50" s="4"/>
      <c r="G50" s="325">
        <f>G46</f>
        <v>0</v>
      </c>
      <c r="H50" s="326">
        <f>IFERROR(G50/G29,0)</f>
        <v>0</v>
      </c>
      <c r="I50" s="4"/>
      <c r="J50" s="325">
        <f>J46</f>
        <v>0</v>
      </c>
      <c r="K50" s="327">
        <f>IFERROR(J50/J29,0)</f>
        <v>0</v>
      </c>
      <c r="L50" s="2"/>
      <c r="M50" s="197"/>
      <c r="N50" s="197"/>
      <c r="O50" s="197"/>
      <c r="P50" s="197"/>
      <c r="Q50" s="197"/>
      <c r="R50" s="197"/>
      <c r="S50" s="197"/>
      <c r="T50" s="197"/>
      <c r="U50" s="197"/>
      <c r="V50" s="197"/>
    </row>
    <row r="51" spans="1:22" s="19" customFormat="1" ht="15" outlineLevel="1">
      <c r="A51" s="4"/>
      <c r="B51" s="227" t="s">
        <v>306</v>
      </c>
      <c r="C51" s="4"/>
      <c r="D51" s="325">
        <f>D47</f>
        <v>0</v>
      </c>
      <c r="E51" s="326">
        <f>IFERROR(D51/D29,0)</f>
        <v>0</v>
      </c>
      <c r="F51" s="4"/>
      <c r="G51" s="325">
        <f>G47</f>
        <v>0</v>
      </c>
      <c r="H51" s="326">
        <f>IFERROR(G51/G29,0)</f>
        <v>0</v>
      </c>
      <c r="I51" s="4"/>
      <c r="J51" s="325">
        <f>J47</f>
        <v>0</v>
      </c>
      <c r="K51" s="326">
        <f>IFERROR(J51/J29,0)</f>
        <v>0</v>
      </c>
      <c r="L51" s="2"/>
      <c r="M51" s="197"/>
      <c r="N51" s="197"/>
      <c r="O51" s="197"/>
      <c r="P51" s="197"/>
      <c r="Q51" s="197"/>
      <c r="R51" s="197"/>
      <c r="S51" s="197"/>
      <c r="T51" s="197"/>
      <c r="U51" s="197"/>
      <c r="V51" s="197"/>
    </row>
    <row r="52" spans="1:22" s="19" customFormat="1" ht="15" outlineLevel="1">
      <c r="A52" s="4"/>
      <c r="B52" s="4"/>
      <c r="C52" s="4"/>
      <c r="D52" s="4"/>
      <c r="E52" s="4"/>
      <c r="F52" s="4"/>
      <c r="G52" s="4"/>
      <c r="H52" s="4"/>
      <c r="I52" s="4"/>
      <c r="J52" s="4"/>
      <c r="K52" s="4"/>
      <c r="L52" s="2"/>
      <c r="M52" s="197"/>
      <c r="N52" s="197"/>
      <c r="O52" s="197"/>
      <c r="P52" s="197"/>
      <c r="Q52" s="197"/>
      <c r="R52" s="197"/>
      <c r="S52" s="197"/>
      <c r="T52" s="197"/>
      <c r="U52" s="197"/>
      <c r="V52" s="197"/>
    </row>
    <row r="53" spans="1:22" s="19" customFormat="1" ht="15" outlineLevel="1">
      <c r="A53" s="4"/>
      <c r="B53" s="20" t="str">
        <f>CONCATENATE("3. ",+B27," - Pre-Cut Off Date Pension liabilities")</f>
        <v>3. Licensee 2 - Pre-Cut Off Date Pension liabilities</v>
      </c>
      <c r="C53" s="4"/>
      <c r="D53" s="4"/>
      <c r="E53" s="4"/>
      <c r="F53" s="4"/>
      <c r="G53" s="4"/>
      <c r="H53" s="4"/>
      <c r="I53" s="4"/>
      <c r="J53" s="4"/>
      <c r="K53" s="4"/>
      <c r="L53" s="2"/>
      <c r="M53" s="197"/>
      <c r="N53" s="197"/>
      <c r="O53" s="197"/>
      <c r="P53" s="197"/>
      <c r="Q53" s="197"/>
      <c r="R53" s="197"/>
      <c r="S53" s="197"/>
      <c r="T53" s="197"/>
      <c r="U53" s="197"/>
      <c r="V53" s="197"/>
    </row>
    <row r="54" spans="1:22" s="19" customFormat="1" ht="15" outlineLevel="1">
      <c r="A54" s="4"/>
      <c r="B54" s="4"/>
      <c r="C54" s="352" t="s">
        <v>320</v>
      </c>
      <c r="D54" s="353"/>
      <c r="E54" s="354"/>
      <c r="F54" s="221" t="str">
        <f>D8</f>
        <v>31 March 2022</v>
      </c>
      <c r="G54" s="222"/>
      <c r="H54" s="223"/>
      <c r="I54" s="221" t="str">
        <f>D9</f>
        <v>31 March 2025</v>
      </c>
      <c r="J54" s="222"/>
      <c r="K54" s="223"/>
      <c r="L54" s="2"/>
      <c r="M54" s="197"/>
      <c r="N54" s="197"/>
      <c r="O54" s="197"/>
      <c r="P54" s="197"/>
      <c r="Q54" s="197"/>
      <c r="R54" s="197"/>
      <c r="S54" s="197"/>
      <c r="T54" s="197"/>
      <c r="U54" s="197"/>
      <c r="V54" s="197"/>
    </row>
    <row r="55" spans="1:22" s="19" customFormat="1" ht="15" outlineLevel="1">
      <c r="A55" s="4"/>
      <c r="B55" s="4"/>
      <c r="C55" s="224"/>
      <c r="D55" s="220">
        <v>2004</v>
      </c>
      <c r="E55" s="220">
        <f>+D55</f>
        <v>2004</v>
      </c>
      <c r="F55" s="225"/>
      <c r="G55" s="220">
        <v>2022</v>
      </c>
      <c r="H55" s="220">
        <f>+G55</f>
        <v>2022</v>
      </c>
      <c r="I55" s="225"/>
      <c r="J55" s="220">
        <f>+J33</f>
        <v>2025</v>
      </c>
      <c r="K55" s="220">
        <f>+J55</f>
        <v>2025</v>
      </c>
      <c r="L55" s="2"/>
      <c r="M55" s="197"/>
      <c r="N55" s="197"/>
      <c r="O55" s="197"/>
      <c r="P55" s="197"/>
      <c r="Q55" s="197"/>
      <c r="R55" s="197"/>
      <c r="S55" s="197"/>
      <c r="T55" s="197"/>
      <c r="U55" s="197"/>
      <c r="V55" s="197"/>
    </row>
    <row r="56" spans="1:22" s="19" customFormat="1" ht="15" outlineLevel="1">
      <c r="A56" s="4"/>
      <c r="B56" s="4"/>
      <c r="C56" s="4"/>
      <c r="D56" s="220" t="s">
        <v>317</v>
      </c>
      <c r="E56" s="220" t="s">
        <v>318</v>
      </c>
      <c r="F56" s="4"/>
      <c r="G56" s="220" t="s">
        <v>317</v>
      </c>
      <c r="H56" s="220" t="s">
        <v>318</v>
      </c>
      <c r="I56" s="4"/>
      <c r="J56" s="220" t="s">
        <v>317</v>
      </c>
      <c r="K56" s="220" t="s">
        <v>318</v>
      </c>
      <c r="L56" s="2"/>
      <c r="M56" s="197"/>
      <c r="N56" s="197"/>
      <c r="O56" s="197"/>
      <c r="P56" s="197"/>
      <c r="Q56" s="197"/>
      <c r="R56" s="197"/>
      <c r="S56" s="197"/>
      <c r="T56" s="197"/>
      <c r="U56" s="197"/>
      <c r="V56" s="197"/>
    </row>
    <row r="57" spans="1:22" s="19" customFormat="1" ht="15" outlineLevel="1">
      <c r="A57" s="4"/>
      <c r="B57" s="87" t="s">
        <v>321</v>
      </c>
      <c r="C57" s="4"/>
      <c r="D57" s="290"/>
      <c r="E57" s="294">
        <f>IFERROR(D57/D59,0)</f>
        <v>0</v>
      </c>
      <c r="F57" s="4"/>
      <c r="G57" s="291"/>
      <c r="H57" s="296">
        <f>IFERROR(G57/G59,0)</f>
        <v>0</v>
      </c>
      <c r="I57" s="4"/>
      <c r="J57" s="290"/>
      <c r="K57" s="296">
        <f>IFERROR(J57/J59,0)</f>
        <v>0</v>
      </c>
      <c r="L57" s="2"/>
      <c r="M57" s="197"/>
      <c r="N57" s="197"/>
      <c r="O57" s="197"/>
      <c r="P57" s="197"/>
      <c r="Q57" s="197"/>
      <c r="R57" s="197"/>
      <c r="S57" s="197"/>
      <c r="T57" s="197"/>
      <c r="U57" s="197"/>
      <c r="V57" s="197"/>
    </row>
    <row r="58" spans="1:22" s="19" customFormat="1" ht="15" outlineLevel="1">
      <c r="A58" s="4"/>
      <c r="B58" s="87" t="s">
        <v>322</v>
      </c>
      <c r="C58" s="4"/>
      <c r="D58" s="292">
        <f>D27-D57</f>
        <v>0</v>
      </c>
      <c r="E58" s="295">
        <f>IFERROR(D58/D59,0)</f>
        <v>0</v>
      </c>
      <c r="F58" s="64"/>
      <c r="G58" s="292">
        <f>G27-G57</f>
        <v>0</v>
      </c>
      <c r="H58" s="295">
        <f>IFERROR(1-H57,0)</f>
        <v>1</v>
      </c>
      <c r="I58" s="64"/>
      <c r="J58" s="292">
        <f>J27-J57</f>
        <v>0</v>
      </c>
      <c r="K58" s="297">
        <f>IFERROR(1-K57,0)</f>
        <v>1</v>
      </c>
      <c r="L58" s="2"/>
      <c r="M58" s="197"/>
      <c r="N58" s="197"/>
      <c r="O58" s="197"/>
      <c r="P58" s="197"/>
      <c r="Q58" s="197"/>
      <c r="R58" s="197"/>
      <c r="S58" s="197"/>
      <c r="T58" s="197"/>
      <c r="U58" s="197"/>
      <c r="V58" s="197"/>
    </row>
    <row r="59" spans="1:22" s="19" customFormat="1" ht="15" outlineLevel="1">
      <c r="A59" s="4"/>
      <c r="B59" s="27" t="s">
        <v>323</v>
      </c>
      <c r="C59" s="4"/>
      <c r="D59" s="293">
        <f>D57+D58</f>
        <v>0</v>
      </c>
      <c r="E59" s="65"/>
      <c r="F59" s="64"/>
      <c r="G59" s="293">
        <f>G57+G58</f>
        <v>0</v>
      </c>
      <c r="H59" s="66"/>
      <c r="I59" s="67"/>
      <c r="J59" s="293">
        <f>J57+J58</f>
        <v>0</v>
      </c>
      <c r="K59" s="226"/>
      <c r="L59" s="2"/>
      <c r="M59" s="197"/>
      <c r="N59" s="197"/>
      <c r="O59" s="197"/>
      <c r="P59" s="197"/>
      <c r="Q59" s="197"/>
      <c r="R59" s="197"/>
      <c r="S59" s="197"/>
      <c r="T59" s="197"/>
      <c r="U59" s="197"/>
      <c r="V59" s="197"/>
    </row>
    <row r="60" spans="1:22" s="19" customFormat="1" ht="15" outlineLevel="1">
      <c r="A60" s="4"/>
      <c r="B60" s="4"/>
      <c r="C60" s="4"/>
      <c r="D60" s="4"/>
      <c r="E60" s="4"/>
      <c r="F60" s="4"/>
      <c r="G60" s="4"/>
      <c r="H60" s="4"/>
      <c r="I60" s="4"/>
      <c r="J60" s="4"/>
      <c r="K60" s="4"/>
      <c r="L60" s="2"/>
      <c r="M60" s="197"/>
      <c r="N60" s="197"/>
      <c r="O60" s="197"/>
      <c r="P60" s="197"/>
      <c r="Q60" s="197"/>
      <c r="R60" s="197"/>
      <c r="S60" s="197"/>
      <c r="T60" s="197"/>
      <c r="U60" s="197"/>
      <c r="V60" s="197"/>
    </row>
    <row r="61" spans="1:22" s="19" customFormat="1" ht="15" outlineLevel="1">
      <c r="A61" s="4"/>
      <c r="B61" s="20" t="s">
        <v>332</v>
      </c>
      <c r="C61" s="4"/>
      <c r="D61" s="4"/>
      <c r="E61" s="4"/>
      <c r="F61" s="4"/>
      <c r="G61" s="4"/>
      <c r="H61" s="4"/>
      <c r="I61" s="4"/>
      <c r="J61" s="4"/>
      <c r="K61" s="4"/>
      <c r="L61" s="2"/>
      <c r="M61" s="197"/>
      <c r="N61" s="197"/>
      <c r="O61" s="197"/>
      <c r="P61" s="197"/>
      <c r="Q61" s="197"/>
      <c r="R61" s="197"/>
      <c r="S61" s="197"/>
      <c r="T61" s="197"/>
      <c r="U61" s="197"/>
      <c r="V61" s="197"/>
    </row>
    <row r="62" spans="1:22" s="19" customFormat="1" ht="15" outlineLevel="1">
      <c r="A62" s="4"/>
      <c r="B62" s="81" t="str">
        <f>CONCATENATE("Liabilities at ",+'P2.1 PDAM Licensee provided'!D9)</f>
        <v>Liabilities at 31 March 2025</v>
      </c>
      <c r="C62" s="298">
        <v>0</v>
      </c>
      <c r="D62" s="325">
        <f>+D57*C62</f>
        <v>0</v>
      </c>
      <c r="E62" s="317">
        <f>IFERROR(ROUND(D62/$D$44,3),0)</f>
        <v>0</v>
      </c>
      <c r="F62" s="298">
        <v>0</v>
      </c>
      <c r="G62" s="325">
        <f>+G57*F62</f>
        <v>0</v>
      </c>
      <c r="H62" s="317">
        <f>IFERROR(ROUND(+G62/$G$44,3),0)</f>
        <v>0</v>
      </c>
      <c r="I62" s="298">
        <v>0</v>
      </c>
      <c r="J62" s="325">
        <f>+J57*I62</f>
        <v>0</v>
      </c>
      <c r="K62" s="317">
        <f>IFERROR(ROUND(+J62/$J$44,3),0)</f>
        <v>0</v>
      </c>
      <c r="L62" s="2"/>
      <c r="M62" s="197"/>
      <c r="N62" s="197"/>
      <c r="O62" s="197"/>
      <c r="P62" s="197"/>
      <c r="Q62" s="197"/>
      <c r="R62" s="197"/>
      <c r="S62" s="197"/>
      <c r="T62" s="197"/>
      <c r="U62" s="197"/>
      <c r="V62" s="197"/>
    </row>
    <row r="63" spans="1:22" s="19" customFormat="1" ht="15" outlineLevel="1">
      <c r="A63" s="4"/>
      <c r="B63" s="227" t="s">
        <v>326</v>
      </c>
      <c r="C63" s="324">
        <f>+(1-C62)</f>
        <v>1</v>
      </c>
      <c r="D63" s="325">
        <f>+D57-D62</f>
        <v>0</v>
      </c>
      <c r="E63" s="317">
        <f>IFERROR(ROUND(+D63/$D$44,3),0)</f>
        <v>0</v>
      </c>
      <c r="F63" s="321">
        <f>+(1-F62)</f>
        <v>1</v>
      </c>
      <c r="G63" s="325">
        <f>+G57*F63</f>
        <v>0</v>
      </c>
      <c r="H63" s="317">
        <f>IFERROR(ROUND(+G63/$G$44,3),0)</f>
        <v>0</v>
      </c>
      <c r="I63" s="324">
        <f>+(1-I62)</f>
        <v>1</v>
      </c>
      <c r="J63" s="325">
        <f>+J57*I63</f>
        <v>0</v>
      </c>
      <c r="K63" s="317">
        <f>IFERROR(ROUND(+J63/$J$44,3),0)</f>
        <v>0</v>
      </c>
      <c r="L63" s="2"/>
      <c r="M63" s="197"/>
      <c r="N63" s="197"/>
      <c r="O63" s="197"/>
      <c r="P63" s="197"/>
      <c r="Q63" s="197"/>
      <c r="R63" s="197"/>
      <c r="S63" s="197"/>
      <c r="T63" s="197"/>
      <c r="U63" s="197"/>
      <c r="V63" s="197"/>
    </row>
    <row r="64" spans="1:22" s="19" customFormat="1" ht="15" outlineLevel="1">
      <c r="A64" s="4"/>
      <c r="B64" s="227" t="s">
        <v>327</v>
      </c>
      <c r="C64" s="324">
        <f>IFERROR(D64/D58,0)</f>
        <v>0</v>
      </c>
      <c r="D64" s="325">
        <f>D68-D62</f>
        <v>0</v>
      </c>
      <c r="E64" s="317">
        <f>E68-E62</f>
        <v>0.8</v>
      </c>
      <c r="F64" s="4"/>
      <c r="G64" s="325">
        <f>G58*C64</f>
        <v>0</v>
      </c>
      <c r="H64" s="317">
        <f>IFERROR(G64/$G$44,0)</f>
        <v>0</v>
      </c>
      <c r="I64" s="4"/>
      <c r="J64" s="325">
        <f>J58*C64</f>
        <v>0</v>
      </c>
      <c r="K64" s="317">
        <f>IFERROR(J64/$J$44,0)</f>
        <v>0</v>
      </c>
      <c r="L64" s="2"/>
      <c r="M64" s="197"/>
      <c r="N64" s="197"/>
      <c r="O64" s="197"/>
      <c r="P64" s="197"/>
      <c r="Q64" s="197"/>
      <c r="R64" s="197"/>
      <c r="S64" s="197"/>
      <c r="T64" s="197"/>
      <c r="U64" s="197"/>
      <c r="V64" s="197"/>
    </row>
    <row r="65" spans="1:12" s="19" customFormat="1" ht="15" outlineLevel="1">
      <c r="A65" s="4"/>
      <c r="B65" s="227" t="s">
        <v>328</v>
      </c>
      <c r="C65" s="324">
        <f>IFERROR(D65/D58,0)</f>
        <v>0</v>
      </c>
      <c r="D65" s="325">
        <f>D69-D63</f>
        <v>0</v>
      </c>
      <c r="E65" s="317">
        <f>E69-E63</f>
        <v>0.2</v>
      </c>
      <c r="F65" s="4"/>
      <c r="G65" s="325">
        <f>G58*C65</f>
        <v>0</v>
      </c>
      <c r="H65" s="317">
        <f>IFERROR(G65/$G$44,0)</f>
        <v>0</v>
      </c>
      <c r="I65" s="4"/>
      <c r="J65" s="325">
        <f>J58*C65</f>
        <v>0</v>
      </c>
      <c r="K65" s="317">
        <f>IFERROR(J65/$J$44,0)</f>
        <v>0</v>
      </c>
      <c r="L65" s="2"/>
    </row>
    <row r="66" spans="1:12" s="19" customFormat="1" ht="15" outlineLevel="1">
      <c r="A66" s="4"/>
      <c r="B66" s="4"/>
      <c r="C66" s="4"/>
      <c r="D66" s="325">
        <f>SUM(D62:D65)</f>
        <v>0</v>
      </c>
      <c r="E66" s="326">
        <f>SUM(E62:E65)</f>
        <v>1</v>
      </c>
      <c r="F66" s="4"/>
      <c r="G66" s="325">
        <f>SUM(G62:G65)</f>
        <v>0</v>
      </c>
      <c r="H66" s="326">
        <f>SUM(H62:H65)</f>
        <v>0</v>
      </c>
      <c r="I66" s="4"/>
      <c r="J66" s="325">
        <f>SUM(J62:J65)</f>
        <v>0</v>
      </c>
      <c r="K66" s="326">
        <f>SUM(K62:K65)</f>
        <v>0</v>
      </c>
      <c r="L66" s="2"/>
    </row>
    <row r="67" spans="1:12" s="19" customFormat="1" ht="15" outlineLevel="1">
      <c r="A67" s="4"/>
      <c r="B67" s="20" t="s">
        <v>329</v>
      </c>
      <c r="C67" s="4"/>
      <c r="D67" s="197"/>
      <c r="E67" s="197"/>
      <c r="F67" s="197"/>
      <c r="G67" s="4"/>
      <c r="H67" s="4"/>
      <c r="I67" s="4"/>
      <c r="J67" s="4"/>
      <c r="K67" s="4"/>
      <c r="L67" s="2"/>
    </row>
    <row r="68" spans="1:12" s="19" customFormat="1" ht="15" outlineLevel="1">
      <c r="A68" s="4"/>
      <c r="B68" s="227" t="s">
        <v>330</v>
      </c>
      <c r="C68" s="4"/>
      <c r="D68" s="325">
        <f>E68*D59</f>
        <v>0</v>
      </c>
      <c r="E68" s="298">
        <v>0.8</v>
      </c>
      <c r="F68" s="4"/>
      <c r="G68" s="325">
        <f>+G62+G64</f>
        <v>0</v>
      </c>
      <c r="H68" s="326">
        <f>+H62+H64</f>
        <v>0</v>
      </c>
      <c r="I68" s="4"/>
      <c r="J68" s="325">
        <f>+J62+J64</f>
        <v>0</v>
      </c>
      <c r="K68" s="326">
        <f>+K62+K64</f>
        <v>0</v>
      </c>
      <c r="L68" s="2"/>
    </row>
    <row r="69" spans="1:12" s="19" customFormat="1" ht="15" outlineLevel="1">
      <c r="A69" s="4"/>
      <c r="B69" s="227" t="s">
        <v>306</v>
      </c>
      <c r="C69" s="4"/>
      <c r="D69" s="325">
        <f>E69*D59</f>
        <v>0</v>
      </c>
      <c r="E69" s="298">
        <v>0.2</v>
      </c>
      <c r="F69" s="4"/>
      <c r="G69" s="325">
        <f>+G63+G65</f>
        <v>0</v>
      </c>
      <c r="H69" s="326">
        <f>1-H68</f>
        <v>1</v>
      </c>
      <c r="I69" s="4"/>
      <c r="J69" s="325">
        <f>+J63+J65</f>
        <v>0</v>
      </c>
      <c r="K69" s="326">
        <f>1-K68</f>
        <v>1</v>
      </c>
      <c r="L69" s="2"/>
    </row>
    <row r="70" spans="1:12" s="19" customFormat="1" ht="15" outlineLevel="1">
      <c r="A70" s="4"/>
      <c r="B70" s="4"/>
      <c r="C70" s="4"/>
      <c r="D70" s="4"/>
      <c r="E70" s="4"/>
      <c r="F70" s="4"/>
      <c r="G70" s="4"/>
      <c r="H70" s="4"/>
      <c r="I70" s="4"/>
      <c r="J70" s="4"/>
      <c r="K70" s="4"/>
      <c r="L70" s="2"/>
    </row>
    <row r="71" spans="1:12" s="19" customFormat="1" ht="15" outlineLevel="1">
      <c r="A71" s="4"/>
      <c r="B71" s="20" t="s">
        <v>331</v>
      </c>
      <c r="C71" s="4"/>
      <c r="D71" s="4"/>
      <c r="E71" s="4"/>
      <c r="F71" s="4"/>
      <c r="G71" s="4"/>
      <c r="H71" s="4"/>
      <c r="I71" s="4"/>
      <c r="J71" s="4"/>
      <c r="K71" s="4"/>
      <c r="L71" s="2"/>
    </row>
    <row r="72" spans="1:12" s="19" customFormat="1" ht="15" outlineLevel="1">
      <c r="A72" s="4"/>
      <c r="B72" s="227" t="s">
        <v>330</v>
      </c>
      <c r="C72" s="4"/>
      <c r="D72" s="325">
        <f>D68</f>
        <v>0</v>
      </c>
      <c r="E72" s="326">
        <f>IFERROR(D72/D29,0)</f>
        <v>0</v>
      </c>
      <c r="F72" s="4"/>
      <c r="G72" s="325">
        <f>G68</f>
        <v>0</v>
      </c>
      <c r="H72" s="326">
        <f>IFERROR(G72/G29,0)</f>
        <v>0</v>
      </c>
      <c r="I72" s="4"/>
      <c r="J72" s="325">
        <f>J68</f>
        <v>0</v>
      </c>
      <c r="K72" s="326">
        <f>IFERROR(J72/J29,0)</f>
        <v>0</v>
      </c>
      <c r="L72" s="2"/>
    </row>
    <row r="73" spans="1:12" s="19" customFormat="1" ht="15" outlineLevel="1">
      <c r="A73" s="4"/>
      <c r="B73" s="227" t="s">
        <v>306</v>
      </c>
      <c r="C73" s="4"/>
      <c r="D73" s="325">
        <f>D69</f>
        <v>0</v>
      </c>
      <c r="E73" s="326">
        <f>IFERROR(D73/D29,0)</f>
        <v>0</v>
      </c>
      <c r="F73" s="4"/>
      <c r="G73" s="325">
        <f>G69</f>
        <v>0</v>
      </c>
      <c r="H73" s="326">
        <f>IFERROR(G73/G29,0)</f>
        <v>0</v>
      </c>
      <c r="I73" s="4"/>
      <c r="J73" s="325">
        <f>J69</f>
        <v>0</v>
      </c>
      <c r="K73" s="326">
        <f>IFERROR(J73/J29,0)</f>
        <v>0</v>
      </c>
      <c r="L73" s="2"/>
    </row>
    <row r="74" spans="1:12" s="19" customFormat="1" ht="15" outlineLevel="1">
      <c r="A74" s="4"/>
      <c r="B74" s="4"/>
      <c r="C74" s="4"/>
      <c r="D74" s="4"/>
      <c r="E74" s="4"/>
      <c r="F74" s="4"/>
      <c r="G74" s="4"/>
      <c r="H74" s="4"/>
      <c r="I74" s="4"/>
      <c r="J74" s="4"/>
      <c r="K74" s="4"/>
      <c r="L74" s="2"/>
    </row>
    <row r="75" spans="1:12" s="19" customFormat="1" ht="15" outlineLevel="1">
      <c r="A75" s="4"/>
      <c r="B75" s="20" t="str">
        <f>CONCATENATE("4. ",B28," - Pre-Cut Off Date Pension liabilities")</f>
        <v>4. Licensee 3 - Pre-Cut Off Date Pension liabilities</v>
      </c>
      <c r="C75" s="4"/>
      <c r="D75" s="4"/>
      <c r="E75" s="4"/>
      <c r="F75" s="4"/>
      <c r="G75" s="4"/>
      <c r="H75" s="4"/>
      <c r="I75" s="4"/>
      <c r="J75" s="4"/>
      <c r="K75" s="4"/>
      <c r="L75" s="2"/>
    </row>
    <row r="76" spans="1:12" s="19" customFormat="1" ht="15" outlineLevel="1">
      <c r="A76" s="4"/>
      <c r="B76" s="4"/>
      <c r="C76" s="352" t="s">
        <v>320</v>
      </c>
      <c r="D76" s="353"/>
      <c r="E76" s="354"/>
      <c r="F76" s="221" t="str">
        <f>D8</f>
        <v>31 March 2022</v>
      </c>
      <c r="G76" s="222"/>
      <c r="H76" s="223"/>
      <c r="I76" s="221" t="str">
        <f>D9</f>
        <v>31 March 2025</v>
      </c>
      <c r="J76" s="222"/>
      <c r="K76" s="223"/>
      <c r="L76" s="2"/>
    </row>
    <row r="77" spans="1:12" s="19" customFormat="1" ht="15" outlineLevel="1">
      <c r="A77" s="4"/>
      <c r="B77" s="4"/>
      <c r="C77" s="224"/>
      <c r="D77" s="220">
        <v>2004</v>
      </c>
      <c r="E77" s="220">
        <f>+D77</f>
        <v>2004</v>
      </c>
      <c r="F77" s="225"/>
      <c r="G77" s="220">
        <v>2022</v>
      </c>
      <c r="H77" s="220">
        <f>+G77</f>
        <v>2022</v>
      </c>
      <c r="I77" s="225"/>
      <c r="J77" s="220">
        <f>+J33</f>
        <v>2025</v>
      </c>
      <c r="K77" s="220">
        <f>+J77</f>
        <v>2025</v>
      </c>
      <c r="L77" s="2"/>
    </row>
    <row r="78" spans="1:12" s="19" customFormat="1" ht="15" outlineLevel="1">
      <c r="A78" s="4"/>
      <c r="B78" s="4"/>
      <c r="C78" s="4"/>
      <c r="D78" s="220" t="s">
        <v>317</v>
      </c>
      <c r="E78" s="220" t="s">
        <v>318</v>
      </c>
      <c r="F78" s="4"/>
      <c r="G78" s="220" t="s">
        <v>317</v>
      </c>
      <c r="H78" s="220" t="s">
        <v>318</v>
      </c>
      <c r="I78" s="4"/>
      <c r="J78" s="220" t="s">
        <v>317</v>
      </c>
      <c r="K78" s="220" t="s">
        <v>318</v>
      </c>
      <c r="L78" s="2"/>
    </row>
    <row r="79" spans="1:12" s="19" customFormat="1" ht="15" outlineLevel="1">
      <c r="A79" s="4"/>
      <c r="B79" s="87" t="s">
        <v>321</v>
      </c>
      <c r="C79" s="4"/>
      <c r="D79" s="291">
        <v>0</v>
      </c>
      <c r="E79" s="320">
        <f>IFERROR(D79/D81,0)</f>
        <v>0</v>
      </c>
      <c r="F79" s="4"/>
      <c r="G79" s="291">
        <v>0</v>
      </c>
      <c r="H79" s="322">
        <f>IFERROR(G79/G81,0)</f>
        <v>0</v>
      </c>
      <c r="I79" s="4"/>
      <c r="J79" s="291">
        <v>0</v>
      </c>
      <c r="K79" s="322">
        <f>IFERROR(J79/J81,0)</f>
        <v>0</v>
      </c>
      <c r="L79" s="2"/>
    </row>
    <row r="80" spans="1:12" s="19" customFormat="1" ht="15" outlineLevel="1">
      <c r="A80" s="4"/>
      <c r="B80" s="87" t="s">
        <v>322</v>
      </c>
      <c r="C80" s="4"/>
      <c r="D80" s="318">
        <f>D28-D79</f>
        <v>0</v>
      </c>
      <c r="E80" s="321">
        <f>IFERROR(D80/D81,0)</f>
        <v>0</v>
      </c>
      <c r="F80" s="64"/>
      <c r="G80" s="318">
        <f>G28-G79</f>
        <v>0</v>
      </c>
      <c r="H80" s="321">
        <f>IFERROR(1-H79,0)</f>
        <v>1</v>
      </c>
      <c r="I80" s="64"/>
      <c r="J80" s="318">
        <f>J28-J79</f>
        <v>0</v>
      </c>
      <c r="K80" s="323">
        <f>IFERROR(1-K79,0)</f>
        <v>1</v>
      </c>
      <c r="L80" s="2"/>
    </row>
    <row r="81" spans="1:12" s="19" customFormat="1" ht="15" outlineLevel="1">
      <c r="A81" s="4"/>
      <c r="B81" s="27" t="s">
        <v>323</v>
      </c>
      <c r="C81" s="4"/>
      <c r="D81" s="319">
        <f>D79+D80</f>
        <v>0</v>
      </c>
      <c r="E81" s="65"/>
      <c r="F81" s="64"/>
      <c r="G81" s="319">
        <f>G79+G80</f>
        <v>0</v>
      </c>
      <c r="H81" s="66"/>
      <c r="I81" s="67"/>
      <c r="J81" s="319">
        <f>J79+J80</f>
        <v>0</v>
      </c>
      <c r="K81" s="226"/>
      <c r="L81" s="2"/>
    </row>
    <row r="82" spans="1:12" s="19" customFormat="1" ht="15" outlineLevel="1">
      <c r="A82" s="4"/>
      <c r="B82" s="4"/>
      <c r="C82" s="4"/>
      <c r="D82" s="4"/>
      <c r="E82" s="4"/>
      <c r="F82" s="4"/>
      <c r="G82" s="4"/>
      <c r="H82" s="4"/>
      <c r="I82" s="4"/>
      <c r="J82" s="4"/>
      <c r="K82" s="4"/>
      <c r="L82" s="2"/>
    </row>
    <row r="83" spans="1:12" s="19" customFormat="1" ht="15" outlineLevel="1">
      <c r="A83" s="4"/>
      <c r="B83" s="20" t="s">
        <v>332</v>
      </c>
      <c r="C83" s="4"/>
      <c r="D83" s="4"/>
      <c r="E83" s="4"/>
      <c r="F83" s="4"/>
      <c r="G83" s="4"/>
      <c r="H83" s="4"/>
      <c r="I83" s="4"/>
      <c r="J83" s="4"/>
      <c r="K83" s="4"/>
      <c r="L83" s="2"/>
    </row>
    <row r="84" spans="1:12" s="19" customFormat="1" ht="15" outlineLevel="1">
      <c r="A84" s="4"/>
      <c r="B84" s="227" t="s">
        <v>325</v>
      </c>
      <c r="C84" s="298">
        <v>0</v>
      </c>
      <c r="D84" s="325">
        <f>+D79*C84</f>
        <v>0</v>
      </c>
      <c r="E84" s="317">
        <f>IFERROR(ROUND(D84/$D$44,3),0)</f>
        <v>0</v>
      </c>
      <c r="F84" s="298">
        <v>0</v>
      </c>
      <c r="G84" s="325">
        <f>+G79*F84</f>
        <v>0</v>
      </c>
      <c r="H84" s="317">
        <f>IFERROR(ROUND(+G84/$G$44,3),0)</f>
        <v>0</v>
      </c>
      <c r="I84" s="298">
        <v>0</v>
      </c>
      <c r="J84" s="325">
        <f>+J79*I84</f>
        <v>0</v>
      </c>
      <c r="K84" s="317">
        <f>IFERROR(ROUND(J84/$J$44,3),0)</f>
        <v>0</v>
      </c>
      <c r="L84" s="2"/>
    </row>
    <row r="85" spans="1:12" s="19" customFormat="1" ht="15" outlineLevel="1">
      <c r="A85" s="4"/>
      <c r="B85" s="227" t="s">
        <v>326</v>
      </c>
      <c r="C85" s="324">
        <f>+(1-C84)</f>
        <v>1</v>
      </c>
      <c r="D85" s="325">
        <f>+D79-D84</f>
        <v>0</v>
      </c>
      <c r="E85" s="317">
        <f>IFERROR(ROUND(+D85/$D$44,3),0)</f>
        <v>0</v>
      </c>
      <c r="F85" s="321">
        <f>+(1-F84)</f>
        <v>1</v>
      </c>
      <c r="G85" s="325">
        <f>+G79*F85</f>
        <v>0</v>
      </c>
      <c r="H85" s="317">
        <f>IFERROR(ROUND(+G85/$G$44,3),0)</f>
        <v>0</v>
      </c>
      <c r="I85" s="324">
        <f>+(1-I84)</f>
        <v>1</v>
      </c>
      <c r="J85" s="325">
        <f>+J79*I85</f>
        <v>0</v>
      </c>
      <c r="K85" s="317">
        <f>IFERROR(ROUND(J85/$J$44,3),0)</f>
        <v>0</v>
      </c>
      <c r="L85" s="2"/>
    </row>
    <row r="86" spans="1:12" s="19" customFormat="1" ht="15" outlineLevel="1">
      <c r="A86" s="4"/>
      <c r="B86" s="227" t="s">
        <v>327</v>
      </c>
      <c r="C86" s="324">
        <f>IFERROR(D86/D80,0)</f>
        <v>0</v>
      </c>
      <c r="D86" s="325">
        <f>D90-D84</f>
        <v>0</v>
      </c>
      <c r="E86" s="317">
        <f>E90-E84</f>
        <v>0.8</v>
      </c>
      <c r="F86" s="4"/>
      <c r="G86" s="325">
        <f>G80*C86</f>
        <v>0</v>
      </c>
      <c r="H86" s="317">
        <f>IFERROR(G86/$G$44,0)</f>
        <v>0</v>
      </c>
      <c r="I86" s="4"/>
      <c r="J86" s="325">
        <f>J80*C86</f>
        <v>0</v>
      </c>
      <c r="K86" s="317">
        <f>IFERROR(J86/$J$44,0)</f>
        <v>0</v>
      </c>
      <c r="L86" s="2"/>
    </row>
    <row r="87" spans="1:12" s="19" customFormat="1" ht="15" outlineLevel="1">
      <c r="A87" s="4"/>
      <c r="B87" s="227" t="s">
        <v>328</v>
      </c>
      <c r="C87" s="324">
        <f>IFERROR(D87/D80,0)</f>
        <v>0</v>
      </c>
      <c r="D87" s="325">
        <f>D91-D85</f>
        <v>0</v>
      </c>
      <c r="E87" s="317">
        <f>E91-E85</f>
        <v>0.2</v>
      </c>
      <c r="F87" s="4"/>
      <c r="G87" s="325">
        <f>G80*C87</f>
        <v>0</v>
      </c>
      <c r="H87" s="317">
        <f>IFERROR(G87/$G$44,0)</f>
        <v>0</v>
      </c>
      <c r="I87" s="4"/>
      <c r="J87" s="325">
        <f>J80*C87</f>
        <v>0</v>
      </c>
      <c r="K87" s="317">
        <f>IFERROR(J87/$J$44,0)</f>
        <v>0</v>
      </c>
      <c r="L87" s="2"/>
    </row>
    <row r="88" spans="1:12" s="19" customFormat="1" ht="15" outlineLevel="1">
      <c r="A88" s="4"/>
      <c r="B88" s="4"/>
      <c r="C88" s="4"/>
      <c r="D88" s="325">
        <f>SUM(D84:D87)</f>
        <v>0</v>
      </c>
      <c r="E88" s="326">
        <f>SUM(E84:E87)</f>
        <v>1</v>
      </c>
      <c r="F88" s="4"/>
      <c r="G88" s="325">
        <f>SUM(G84:G87)</f>
        <v>0</v>
      </c>
      <c r="H88" s="326">
        <f>SUM(H84:H87)</f>
        <v>0</v>
      </c>
      <c r="I88" s="4"/>
      <c r="J88" s="325">
        <f>SUM(J84:J87)</f>
        <v>0</v>
      </c>
      <c r="K88" s="326">
        <f>SUM(K84:K87)</f>
        <v>0</v>
      </c>
      <c r="L88" s="2"/>
    </row>
    <row r="89" spans="1:12" s="19" customFormat="1" ht="15" outlineLevel="1">
      <c r="A89" s="4"/>
      <c r="B89" s="20" t="s">
        <v>329</v>
      </c>
      <c r="C89" s="4"/>
      <c r="D89" s="197"/>
      <c r="E89" s="197"/>
      <c r="F89" s="197"/>
      <c r="G89" s="4"/>
      <c r="H89" s="4"/>
      <c r="I89" s="4"/>
      <c r="J89" s="4"/>
      <c r="K89" s="4"/>
      <c r="L89" s="2"/>
    </row>
    <row r="90" spans="1:12" s="19" customFormat="1" ht="15" outlineLevel="1">
      <c r="A90" s="4"/>
      <c r="B90" s="227" t="s">
        <v>330</v>
      </c>
      <c r="C90" s="4"/>
      <c r="D90" s="325">
        <f>E90*D81</f>
        <v>0</v>
      </c>
      <c r="E90" s="298">
        <v>0.8</v>
      </c>
      <c r="F90" s="4"/>
      <c r="G90" s="325">
        <f>+G84+G86</f>
        <v>0</v>
      </c>
      <c r="H90" s="326">
        <f>+H84+H86</f>
        <v>0</v>
      </c>
      <c r="I90" s="4"/>
      <c r="J90" s="325">
        <f>+J84+J86</f>
        <v>0</v>
      </c>
      <c r="K90" s="326">
        <f>+K84+K86</f>
        <v>0</v>
      </c>
      <c r="L90" s="2"/>
    </row>
    <row r="91" spans="1:12" s="19" customFormat="1" ht="15" outlineLevel="1">
      <c r="A91" s="4"/>
      <c r="B91" s="227" t="s">
        <v>306</v>
      </c>
      <c r="C91" s="4"/>
      <c r="D91" s="325">
        <f>E91*D81</f>
        <v>0</v>
      </c>
      <c r="E91" s="298">
        <v>0.2</v>
      </c>
      <c r="F91" s="4"/>
      <c r="G91" s="325">
        <f>+G85+G87</f>
        <v>0</v>
      </c>
      <c r="H91" s="326">
        <f>1-H90</f>
        <v>1</v>
      </c>
      <c r="I91" s="4"/>
      <c r="J91" s="325">
        <f>+J85+J87</f>
        <v>0</v>
      </c>
      <c r="K91" s="326">
        <f>1-K90</f>
        <v>1</v>
      </c>
      <c r="L91" s="2"/>
    </row>
    <row r="92" spans="1:12" s="19" customFormat="1" ht="15" outlineLevel="1">
      <c r="A92" s="4"/>
      <c r="B92" s="4"/>
      <c r="C92" s="4"/>
      <c r="D92" s="197"/>
      <c r="E92" s="4"/>
      <c r="F92" s="4"/>
      <c r="G92" s="4"/>
      <c r="H92" s="4"/>
      <c r="I92" s="4"/>
      <c r="J92" s="4"/>
      <c r="K92" s="4"/>
      <c r="L92" s="2"/>
    </row>
    <row r="93" spans="1:12" s="19" customFormat="1" ht="15" outlineLevel="1">
      <c r="A93" s="4"/>
      <c r="B93" s="20" t="s">
        <v>331</v>
      </c>
      <c r="C93" s="4"/>
      <c r="D93" s="4"/>
      <c r="E93" s="4"/>
      <c r="F93" s="4"/>
      <c r="G93" s="4"/>
      <c r="H93" s="4"/>
      <c r="I93" s="4"/>
      <c r="J93" s="4"/>
      <c r="K93" s="4"/>
      <c r="L93" s="2"/>
    </row>
    <row r="94" spans="1:12" s="19" customFormat="1" ht="15" outlineLevel="1">
      <c r="A94" s="4"/>
      <c r="B94" s="227" t="s">
        <v>330</v>
      </c>
      <c r="C94" s="4"/>
      <c r="D94" s="325">
        <f>D90</f>
        <v>0</v>
      </c>
      <c r="E94" s="326">
        <f>IFERROR(D94/D29,0)</f>
        <v>0</v>
      </c>
      <c r="F94" s="4"/>
      <c r="G94" s="325">
        <f>G90</f>
        <v>0</v>
      </c>
      <c r="H94" s="326">
        <f>IFERROR(G94/G29,0)</f>
        <v>0</v>
      </c>
      <c r="I94" s="4"/>
      <c r="J94" s="325">
        <f>J90</f>
        <v>0</v>
      </c>
      <c r="K94" s="326">
        <f>IFERROR(J94/J29,0)</f>
        <v>0</v>
      </c>
      <c r="L94" s="2"/>
    </row>
    <row r="95" spans="1:12" s="19" customFormat="1" ht="15" outlineLevel="1">
      <c r="A95" s="4"/>
      <c r="B95" s="227" t="s">
        <v>306</v>
      </c>
      <c r="C95" s="4"/>
      <c r="D95" s="325">
        <f>D91</f>
        <v>0</v>
      </c>
      <c r="E95" s="326">
        <f>IFERROR(D95/D29,0)</f>
        <v>0</v>
      </c>
      <c r="F95" s="4"/>
      <c r="G95" s="325">
        <f>G91</f>
        <v>0</v>
      </c>
      <c r="H95" s="326">
        <f>IFERROR(G95/G29,0)</f>
        <v>0</v>
      </c>
      <c r="I95" s="4"/>
      <c r="J95" s="325">
        <f>J91</f>
        <v>0</v>
      </c>
      <c r="K95" s="326">
        <f>IFERROR(J95/J29,0)</f>
        <v>0</v>
      </c>
      <c r="L95" s="2"/>
    </row>
    <row r="96" spans="1:12" s="19" customFormat="1" ht="15" outlineLevel="1">
      <c r="A96" s="4"/>
      <c r="B96" s="4"/>
      <c r="C96" s="4"/>
      <c r="D96" s="4"/>
      <c r="E96" s="4"/>
      <c r="F96" s="4"/>
      <c r="G96" s="4"/>
      <c r="H96" s="4"/>
      <c r="I96" s="4"/>
      <c r="J96" s="4"/>
      <c r="K96" s="4"/>
      <c r="L96" s="2"/>
    </row>
    <row r="97" spans="1:12" s="19" customFormat="1" ht="15">
      <c r="A97" s="4"/>
      <c r="B97" s="4"/>
      <c r="C97" s="4"/>
      <c r="D97" s="4"/>
      <c r="E97" s="4"/>
      <c r="F97" s="4"/>
      <c r="G97" s="4"/>
      <c r="H97" s="4"/>
      <c r="I97" s="4"/>
      <c r="J97" s="4"/>
      <c r="K97" s="4"/>
      <c r="L97" s="2"/>
    </row>
    <row r="98" spans="1:12" s="19" customFormat="1" ht="15">
      <c r="A98" s="4"/>
      <c r="B98" s="351" t="s">
        <v>333</v>
      </c>
      <c r="C98" s="351"/>
      <c r="D98" s="358"/>
      <c r="E98" s="358"/>
      <c r="F98" s="2"/>
      <c r="G98" s="2"/>
      <c r="H98" s="2"/>
      <c r="I98" s="2"/>
      <c r="J98" s="2"/>
      <c r="K98" s="2"/>
      <c r="L98" s="2"/>
    </row>
    <row r="99" spans="1:12" s="19" customFormat="1" ht="15" outlineLevel="1">
      <c r="A99" s="4"/>
      <c r="B99" s="9"/>
      <c r="C99" s="2"/>
      <c r="D99" s="2"/>
      <c r="E99" s="2"/>
      <c r="F99" s="2"/>
      <c r="G99" s="2"/>
      <c r="H99" s="2"/>
      <c r="I99" s="2"/>
      <c r="J99" s="2"/>
      <c r="K99" s="2"/>
      <c r="L99" s="2"/>
    </row>
    <row r="100" spans="1:12" s="19" customFormat="1" ht="15" outlineLevel="1">
      <c r="A100" s="4"/>
      <c r="B100" s="9"/>
      <c r="C100" s="228" t="str">
        <f>+C13</f>
        <v>Licensee 1</v>
      </c>
      <c r="D100" s="24"/>
      <c r="E100" s="25"/>
      <c r="F100" s="228" t="str">
        <f>+D13</f>
        <v>Licensee 2</v>
      </c>
      <c r="G100" s="24"/>
      <c r="H100" s="25"/>
      <c r="I100" s="228" t="str">
        <f>+E13</f>
        <v>Licensee 3</v>
      </c>
      <c r="J100" s="24"/>
      <c r="K100" s="25"/>
      <c r="L100" s="2"/>
    </row>
    <row r="101" spans="1:12" s="19" customFormat="1" ht="15" outlineLevel="1">
      <c r="A101" s="4"/>
      <c r="B101" s="197" t="s">
        <v>334</v>
      </c>
      <c r="C101" s="310">
        <v>2023</v>
      </c>
      <c r="D101" s="328">
        <f>+C101+1</f>
        <v>2024</v>
      </c>
      <c r="E101" s="328">
        <f>+D101+1</f>
        <v>2025</v>
      </c>
      <c r="F101" s="328">
        <f>+C101</f>
        <v>2023</v>
      </c>
      <c r="G101" s="328">
        <f>+F101+1</f>
        <v>2024</v>
      </c>
      <c r="H101" s="328">
        <f>+G101+1</f>
        <v>2025</v>
      </c>
      <c r="I101" s="328">
        <f>+C101</f>
        <v>2023</v>
      </c>
      <c r="J101" s="328">
        <f>+I101+1</f>
        <v>2024</v>
      </c>
      <c r="K101" s="328">
        <f>+J101+1</f>
        <v>2025</v>
      </c>
      <c r="L101" s="2"/>
    </row>
    <row r="102" spans="1:12" s="19" customFormat="1" ht="15" outlineLevel="1">
      <c r="A102" s="4"/>
      <c r="B102" s="227" t="s">
        <v>335</v>
      </c>
      <c r="C102" s="311">
        <v>5.0500000000000003E-2</v>
      </c>
      <c r="D102" s="311">
        <v>5.0500000000000003E-2</v>
      </c>
      <c r="E102" s="311">
        <v>4.7500000000000001E-2</v>
      </c>
      <c r="F102" s="26">
        <f>+C102</f>
        <v>5.0500000000000003E-2</v>
      </c>
      <c r="G102" s="26">
        <f>+D102</f>
        <v>5.0500000000000003E-2</v>
      </c>
      <c r="H102" s="26">
        <f>+E102</f>
        <v>4.7500000000000001E-2</v>
      </c>
      <c r="I102" s="26">
        <f>+F102</f>
        <v>5.0500000000000003E-2</v>
      </c>
      <c r="J102" s="26">
        <f>+G102</f>
        <v>5.0500000000000003E-2</v>
      </c>
      <c r="K102" s="26">
        <f>+H102</f>
        <v>4.7500000000000001E-2</v>
      </c>
      <c r="L102" s="2"/>
    </row>
    <row r="103" spans="1:12" s="19" customFormat="1" ht="15" outlineLevel="1">
      <c r="A103" s="4"/>
      <c r="B103" s="197"/>
      <c r="C103" s="220" t="s">
        <v>317</v>
      </c>
      <c r="D103" s="220" t="s">
        <v>317</v>
      </c>
      <c r="E103" s="220" t="s">
        <v>317</v>
      </c>
      <c r="F103" s="220" t="s">
        <v>317</v>
      </c>
      <c r="G103" s="220" t="s">
        <v>317</v>
      </c>
      <c r="H103" s="220" t="s">
        <v>317</v>
      </c>
      <c r="I103" s="220" t="s">
        <v>317</v>
      </c>
      <c r="J103" s="220" t="s">
        <v>317</v>
      </c>
      <c r="K103" s="220" t="s">
        <v>317</v>
      </c>
      <c r="L103" s="2"/>
    </row>
    <row r="104" spans="1:12" s="19" customFormat="1" ht="15" outlineLevel="1">
      <c r="A104" s="4"/>
      <c r="B104" s="227" t="str">
        <f>CONCATENATE("Opening balance from previous valuation at ",+D8)</f>
        <v>Opening balance from previous valuation at 31 March 2022</v>
      </c>
      <c r="C104" s="309">
        <v>0</v>
      </c>
      <c r="D104" s="330">
        <f>+C107</f>
        <v>0</v>
      </c>
      <c r="E104" s="330">
        <f>+D107</f>
        <v>0</v>
      </c>
      <c r="F104" s="309">
        <v>0</v>
      </c>
      <c r="G104" s="330">
        <f>+F107</f>
        <v>0</v>
      </c>
      <c r="H104" s="330">
        <f>+G107</f>
        <v>0</v>
      </c>
      <c r="I104" s="309">
        <v>0</v>
      </c>
      <c r="J104" s="330">
        <f>+I107</f>
        <v>0</v>
      </c>
      <c r="K104" s="330">
        <f>+J107</f>
        <v>0</v>
      </c>
      <c r="L104" s="2"/>
    </row>
    <row r="105" spans="1:12" s="19" customFormat="1" ht="15" outlineLevel="1">
      <c r="A105" s="4"/>
      <c r="B105" s="227" t="s">
        <v>336</v>
      </c>
      <c r="C105" s="330">
        <f>+C104*C102</f>
        <v>0</v>
      </c>
      <c r="D105" s="330">
        <f t="shared" ref="D105:K105" si="4">+D104*D102</f>
        <v>0</v>
      </c>
      <c r="E105" s="330">
        <f t="shared" si="4"/>
        <v>0</v>
      </c>
      <c r="F105" s="330">
        <f t="shared" si="4"/>
        <v>0</v>
      </c>
      <c r="G105" s="330">
        <f t="shared" si="4"/>
        <v>0</v>
      </c>
      <c r="H105" s="330">
        <f t="shared" si="4"/>
        <v>0</v>
      </c>
      <c r="I105" s="330">
        <f t="shared" si="4"/>
        <v>0</v>
      </c>
      <c r="J105" s="330">
        <f t="shared" si="4"/>
        <v>0</v>
      </c>
      <c r="K105" s="330">
        <f t="shared" si="4"/>
        <v>0</v>
      </c>
      <c r="L105" s="2"/>
    </row>
    <row r="106" spans="1:12" s="19" customFormat="1" ht="67.5" outlineLevel="1">
      <c r="A106" s="4"/>
      <c r="B106" s="87" t="s">
        <v>337</v>
      </c>
      <c r="C106" s="309">
        <v>0</v>
      </c>
      <c r="D106" s="309">
        <v>0</v>
      </c>
      <c r="E106" s="309">
        <v>0</v>
      </c>
      <c r="F106" s="309">
        <v>0</v>
      </c>
      <c r="G106" s="309">
        <v>0</v>
      </c>
      <c r="H106" s="309">
        <v>0</v>
      </c>
      <c r="I106" s="309">
        <v>0</v>
      </c>
      <c r="J106" s="309">
        <v>0</v>
      </c>
      <c r="K106" s="309">
        <v>0</v>
      </c>
      <c r="L106" s="2"/>
    </row>
    <row r="107" spans="1:12" s="19" customFormat="1" ht="15" outlineLevel="1">
      <c r="A107" s="4"/>
      <c r="B107" s="227" t="str">
        <f>CONCATENATE("Closing balance at this valuation at ",D9)</f>
        <v>Closing balance at this valuation at 31 March 2025</v>
      </c>
      <c r="C107" s="331">
        <f>C104+C105-C106</f>
        <v>0</v>
      </c>
      <c r="D107" s="331">
        <f t="shared" ref="D107:K107" si="5">D104+D105-D106</f>
        <v>0</v>
      </c>
      <c r="E107" s="331">
        <f t="shared" si="5"/>
        <v>0</v>
      </c>
      <c r="F107" s="331">
        <f t="shared" si="5"/>
        <v>0</v>
      </c>
      <c r="G107" s="331">
        <f t="shared" si="5"/>
        <v>0</v>
      </c>
      <c r="H107" s="331">
        <f t="shared" si="5"/>
        <v>0</v>
      </c>
      <c r="I107" s="331">
        <f t="shared" si="5"/>
        <v>0</v>
      </c>
      <c r="J107" s="331">
        <f t="shared" si="5"/>
        <v>0</v>
      </c>
      <c r="K107" s="331">
        <f t="shared" si="5"/>
        <v>0</v>
      </c>
      <c r="L107" s="2"/>
    </row>
    <row r="108" spans="1:12" s="19" customFormat="1" ht="15" outlineLevel="1">
      <c r="A108" s="4"/>
      <c r="B108" s="2"/>
      <c r="C108" s="2"/>
      <c r="D108" s="2"/>
      <c r="E108" s="2"/>
      <c r="F108" s="2"/>
      <c r="G108" s="2"/>
      <c r="H108" s="2"/>
      <c r="I108" s="2"/>
      <c r="J108" s="2"/>
      <c r="K108" s="2"/>
      <c r="L108" s="2"/>
    </row>
    <row r="109" spans="1:12" s="19" customFormat="1" ht="15" outlineLevel="1">
      <c r="A109" s="4"/>
      <c r="B109" s="229" t="str">
        <f>CONCATENATE("Reduction in regulatory fraction at ",+D9)</f>
        <v>Reduction in regulatory fraction at 31 March 2025</v>
      </c>
      <c r="C109" s="2"/>
      <c r="D109" s="2"/>
      <c r="E109" s="314">
        <f>IFERROR(E107/-'P1.2 PDAM Actuary provided data'!D109,0)</f>
        <v>0</v>
      </c>
      <c r="F109" s="9"/>
      <c r="G109" s="9"/>
      <c r="H109" s="314">
        <f>IFERROR(H107/-'P1.2 PDAM Actuary provided data'!D109,0)</f>
        <v>0</v>
      </c>
      <c r="I109" s="9"/>
      <c r="J109" s="2"/>
      <c r="K109" s="314">
        <f>IFERROR(K107/-'P1.2 PDAM Actuary provided data'!D109,0)</f>
        <v>0</v>
      </c>
      <c r="L109" s="2"/>
    </row>
    <row r="110" spans="1:12" s="19" customFormat="1" ht="15" outlineLevel="1">
      <c r="A110" s="4"/>
      <c r="B110" s="230"/>
      <c r="C110" s="2"/>
      <c r="D110" s="2"/>
      <c r="E110" s="9"/>
      <c r="F110" s="9"/>
      <c r="G110" s="9"/>
      <c r="H110" s="9"/>
      <c r="I110" s="9"/>
      <c r="J110" s="2"/>
      <c r="K110" s="2"/>
      <c r="L110" s="2"/>
    </row>
    <row r="111" spans="1:12" s="19" customFormat="1" ht="15">
      <c r="A111" s="4"/>
      <c r="B111" s="4"/>
      <c r="C111" s="4"/>
      <c r="D111" s="4"/>
      <c r="E111" s="4"/>
      <c r="F111" s="4"/>
      <c r="G111" s="4"/>
      <c r="H111" s="4"/>
      <c r="I111" s="4"/>
      <c r="J111" s="4"/>
      <c r="K111" s="4"/>
      <c r="L111" s="2"/>
    </row>
    <row r="112" spans="1:12" ht="15">
      <c r="A112" s="4"/>
      <c r="B112" s="14" t="s">
        <v>338</v>
      </c>
      <c r="C112" s="214"/>
      <c r="D112" s="2"/>
      <c r="E112" s="4"/>
      <c r="F112" s="4"/>
      <c r="G112" s="214"/>
      <c r="H112" s="2"/>
      <c r="I112" s="4"/>
      <c r="J112" s="4"/>
      <c r="K112" s="2"/>
      <c r="L112" s="2"/>
    </row>
    <row r="113" spans="1:22" ht="15.5" outlineLevel="1">
      <c r="A113" s="4"/>
      <c r="B113"/>
      <c r="C113" s="214"/>
      <c r="D113" s="2"/>
      <c r="E113" s="4"/>
      <c r="F113" s="4"/>
      <c r="G113" s="214"/>
      <c r="H113" s="2"/>
      <c r="I113" s="4"/>
      <c r="J113" s="4"/>
      <c r="K113" s="2"/>
      <c r="L113" s="2"/>
    </row>
    <row r="114" spans="1:22" ht="29.25" customHeight="1" outlineLevel="1">
      <c r="A114" s="4"/>
      <c r="B114" s="15"/>
      <c r="C114" s="231" t="str">
        <f t="shared" ref="C114:H114" si="6">+C13</f>
        <v>Licensee 1</v>
      </c>
      <c r="D114" s="231" t="str">
        <f t="shared" si="6"/>
        <v>Licensee 2</v>
      </c>
      <c r="E114" s="231" t="str">
        <f t="shared" si="6"/>
        <v>Licensee 3</v>
      </c>
      <c r="F114" s="231" t="str">
        <f t="shared" si="6"/>
        <v>Licensee 4</v>
      </c>
      <c r="G114" s="231" t="str">
        <f t="shared" si="6"/>
        <v>Licensee 5</v>
      </c>
      <c r="H114" s="231" t="str">
        <f t="shared" si="6"/>
        <v>Licensee 6</v>
      </c>
      <c r="I114" s="218" t="s">
        <v>306</v>
      </c>
      <c r="J114" s="218" t="s">
        <v>307</v>
      </c>
      <c r="K114" s="2"/>
      <c r="L114" s="2"/>
    </row>
    <row r="115" spans="1:22" ht="27" outlineLevel="1">
      <c r="A115" s="4"/>
      <c r="B115" s="232" t="str">
        <f>CONCATENATE("Opening Pre Cut-Off Date Regulatory Fractions at ",+'P2.1 PDAM Licensee provided'!D8," - before adjustment for ERDCs")</f>
        <v>Opening Pre Cut-Off Date Regulatory Fractions at 31 March 2022 - before adjustment for ERDCs</v>
      </c>
      <c r="C115" s="314">
        <f t="shared" ref="C115:I115" si="7">C14</f>
        <v>0</v>
      </c>
      <c r="D115" s="314">
        <f t="shared" si="7"/>
        <v>0</v>
      </c>
      <c r="E115" s="314">
        <f t="shared" si="7"/>
        <v>0</v>
      </c>
      <c r="F115" s="314">
        <f t="shared" si="7"/>
        <v>0</v>
      </c>
      <c r="G115" s="314">
        <f t="shared" si="7"/>
        <v>0</v>
      </c>
      <c r="H115" s="314">
        <f t="shared" si="7"/>
        <v>0</v>
      </c>
      <c r="I115" s="314">
        <f t="shared" si="7"/>
        <v>1</v>
      </c>
      <c r="J115" s="314">
        <f>SUM(C115:I115)</f>
        <v>1</v>
      </c>
      <c r="K115" s="2"/>
      <c r="L115" s="2"/>
    </row>
    <row r="116" spans="1:22" ht="29">
      <c r="A116" s="4"/>
      <c r="B116" s="29" t="s">
        <v>339</v>
      </c>
      <c r="C116" s="314">
        <f>K50</f>
        <v>0</v>
      </c>
      <c r="D116" s="314">
        <f>K72</f>
        <v>0</v>
      </c>
      <c r="E116" s="314">
        <f>K94</f>
        <v>0</v>
      </c>
      <c r="F116" s="314">
        <v>0</v>
      </c>
      <c r="G116" s="314">
        <v>0</v>
      </c>
      <c r="H116" s="314">
        <v>0</v>
      </c>
      <c r="I116" s="314">
        <f>J116-SUM(C116:H116)</f>
        <v>1</v>
      </c>
      <c r="J116" s="314">
        <v>1</v>
      </c>
      <c r="K116" s="2"/>
      <c r="L116" s="2"/>
    </row>
    <row r="117" spans="1:22" ht="29.25" customHeight="1" outlineLevel="1">
      <c r="A117" s="4"/>
      <c r="B117" s="233" t="s">
        <v>340</v>
      </c>
      <c r="C117" s="288">
        <v>0</v>
      </c>
      <c r="D117" s="288">
        <v>0</v>
      </c>
      <c r="E117" s="288">
        <v>0</v>
      </c>
      <c r="F117" s="288">
        <v>0</v>
      </c>
      <c r="G117" s="288">
        <v>0</v>
      </c>
      <c r="H117" s="288">
        <v>0</v>
      </c>
      <c r="I117" s="288">
        <v>0</v>
      </c>
      <c r="J117" s="314">
        <f t="shared" ref="J117:J123" si="8">SUM(C117:I117)</f>
        <v>0</v>
      </c>
      <c r="K117" s="2"/>
      <c r="L117" s="2"/>
    </row>
    <row r="118" spans="1:22" ht="33.75" customHeight="1" outlineLevel="1">
      <c r="A118" s="4"/>
      <c r="B118" s="233" t="s">
        <v>341</v>
      </c>
      <c r="C118" s="288">
        <v>0</v>
      </c>
      <c r="D118" s="288">
        <v>0</v>
      </c>
      <c r="E118" s="288">
        <v>0</v>
      </c>
      <c r="F118" s="288">
        <v>0</v>
      </c>
      <c r="G118" s="288">
        <v>0</v>
      </c>
      <c r="H118" s="288">
        <v>0</v>
      </c>
      <c r="I118" s="288">
        <v>0</v>
      </c>
      <c r="J118" s="314">
        <f t="shared" si="8"/>
        <v>0</v>
      </c>
      <c r="K118" s="2"/>
      <c r="L118" s="2"/>
    </row>
    <row r="119" spans="1:22" ht="33.75" customHeight="1" outlineLevel="1">
      <c r="A119" s="4"/>
      <c r="B119" s="233" t="s">
        <v>342</v>
      </c>
      <c r="C119" s="288">
        <v>0</v>
      </c>
      <c r="D119" s="288">
        <v>0</v>
      </c>
      <c r="E119" s="288">
        <v>0</v>
      </c>
      <c r="F119" s="288">
        <v>0</v>
      </c>
      <c r="G119" s="288">
        <v>0</v>
      </c>
      <c r="H119" s="288">
        <v>0</v>
      </c>
      <c r="I119" s="288">
        <v>0</v>
      </c>
      <c r="J119" s="314">
        <f t="shared" si="8"/>
        <v>0</v>
      </c>
      <c r="K119" s="2"/>
      <c r="L119" s="2"/>
    </row>
    <row r="120" spans="1:22" ht="33.75" customHeight="1" outlineLevel="1">
      <c r="A120" s="4"/>
      <c r="B120" s="233" t="s">
        <v>343</v>
      </c>
      <c r="C120" s="288">
        <v>0</v>
      </c>
      <c r="D120" s="288">
        <v>0</v>
      </c>
      <c r="E120" s="288">
        <v>0</v>
      </c>
      <c r="F120" s="288">
        <v>0</v>
      </c>
      <c r="G120" s="288">
        <v>0</v>
      </c>
      <c r="H120" s="288">
        <v>0</v>
      </c>
      <c r="I120" s="288">
        <v>0</v>
      </c>
      <c r="J120" s="314">
        <f t="shared" si="8"/>
        <v>0</v>
      </c>
      <c r="K120" s="2"/>
      <c r="L120" s="2"/>
    </row>
    <row r="121" spans="1:22" ht="15" outlineLevel="1">
      <c r="A121" s="4"/>
      <c r="B121" s="233" t="s">
        <v>344</v>
      </c>
      <c r="C121" s="288">
        <v>0</v>
      </c>
      <c r="D121" s="288">
        <v>0</v>
      </c>
      <c r="E121" s="288">
        <v>0</v>
      </c>
      <c r="F121" s="288">
        <v>0</v>
      </c>
      <c r="G121" s="288">
        <v>0</v>
      </c>
      <c r="H121" s="288">
        <v>0</v>
      </c>
      <c r="I121" s="288">
        <v>0</v>
      </c>
      <c r="J121" s="314">
        <f t="shared" si="8"/>
        <v>0</v>
      </c>
      <c r="K121" s="2"/>
      <c r="L121" s="2"/>
    </row>
    <row r="122" spans="1:22" ht="25.5" customHeight="1" outlineLevel="1">
      <c r="A122" s="4"/>
      <c r="B122" s="136" t="str">
        <f>CONCATENATE("ERDC adjustment as at ",+D9)</f>
        <v>ERDC adjustment as at 31 March 2025</v>
      </c>
      <c r="C122" s="332">
        <f>-E109</f>
        <v>0</v>
      </c>
      <c r="D122" s="332">
        <f>-H109</f>
        <v>0</v>
      </c>
      <c r="E122" s="332">
        <f>-K109</f>
        <v>0</v>
      </c>
      <c r="F122" s="288">
        <v>0</v>
      </c>
      <c r="G122" s="288">
        <v>0</v>
      </c>
      <c r="H122" s="288">
        <v>0</v>
      </c>
      <c r="I122" s="288">
        <v>0</v>
      </c>
      <c r="J122" s="314">
        <f t="shared" si="8"/>
        <v>0</v>
      </c>
      <c r="K122" s="2"/>
      <c r="L122" s="2"/>
    </row>
    <row r="123" spans="1:22" ht="27" outlineLevel="1">
      <c r="A123" s="4"/>
      <c r="B123" s="232" t="str">
        <f>CONCATENATE("Pre Cut-Off Date Regulatory Fractions at ",+'P2.1 PDAM Licensee provided'!D9," - after adjustment for Section B, bulk transfers, ERDCs and other items")</f>
        <v>Pre Cut-Off Date Regulatory Fractions at 31 March 2025 - after adjustment for Section B, bulk transfers, ERDCs and other items</v>
      </c>
      <c r="C123" s="332">
        <f t="shared" ref="C123:H123" si="9">IF($C$20 = "Yes",SUM(C116:C122),SUM(C115,C117:C122))</f>
        <v>0</v>
      </c>
      <c r="D123" s="332">
        <f t="shared" si="9"/>
        <v>0</v>
      </c>
      <c r="E123" s="332">
        <f t="shared" si="9"/>
        <v>0</v>
      </c>
      <c r="F123" s="332">
        <f t="shared" si="9"/>
        <v>0</v>
      </c>
      <c r="G123" s="332">
        <f t="shared" si="9"/>
        <v>0</v>
      </c>
      <c r="H123" s="332">
        <f t="shared" si="9"/>
        <v>0</v>
      </c>
      <c r="I123" s="332">
        <f>IF($C$20="Yes",SUM(I116:I122),SUM(I115,I117:I122))</f>
        <v>1</v>
      </c>
      <c r="J123" s="332">
        <f t="shared" si="8"/>
        <v>1</v>
      </c>
      <c r="K123" s="2"/>
      <c r="L123" s="2"/>
    </row>
    <row r="124" spans="1:22" ht="15" outlineLevel="1">
      <c r="A124" s="4"/>
      <c r="B124" s="4"/>
      <c r="C124" s="4"/>
      <c r="D124" s="4"/>
      <c r="E124" s="4"/>
      <c r="F124" s="4"/>
      <c r="G124" s="4"/>
      <c r="H124" s="4"/>
      <c r="I124" s="4"/>
      <c r="J124" s="4"/>
      <c r="K124" s="2"/>
      <c r="L124" s="2"/>
    </row>
    <row r="125" spans="1:22" ht="15">
      <c r="A125" s="4"/>
      <c r="B125" s="197"/>
      <c r="C125" s="2"/>
      <c r="D125" s="2"/>
      <c r="E125" s="2"/>
      <c r="F125" s="2"/>
      <c r="G125" s="2"/>
      <c r="H125" s="2"/>
      <c r="I125" s="2"/>
      <c r="J125" s="2"/>
      <c r="K125" s="2"/>
      <c r="L125" s="2"/>
      <c r="M125" s="197"/>
      <c r="N125" s="197"/>
      <c r="O125" s="197"/>
      <c r="P125" s="197"/>
      <c r="Q125" s="197"/>
      <c r="R125" s="197"/>
      <c r="S125" s="197"/>
      <c r="T125" s="197"/>
      <c r="U125" s="197"/>
      <c r="V125" s="197"/>
    </row>
    <row r="126" spans="1:22" ht="15" customHeight="1">
      <c r="A126" s="4"/>
      <c r="B126" s="351" t="s">
        <v>345</v>
      </c>
      <c r="C126" s="351"/>
      <c r="D126" s="351"/>
      <c r="E126" s="351"/>
      <c r="F126" s="4"/>
      <c r="G126" s="4"/>
      <c r="H126" s="4"/>
      <c r="I126" s="4"/>
      <c r="J126" s="4"/>
      <c r="K126" s="2"/>
      <c r="L126" s="2"/>
    </row>
    <row r="127" spans="1:22" ht="15" outlineLevel="1">
      <c r="A127" s="4"/>
      <c r="B127" s="4"/>
      <c r="C127" s="4"/>
      <c r="D127" s="4"/>
      <c r="E127" s="4"/>
      <c r="F127" s="4"/>
      <c r="G127" s="4"/>
      <c r="H127" s="4"/>
      <c r="I127" s="4"/>
      <c r="J127" s="4"/>
      <c r="K127" s="2"/>
      <c r="L127" s="2"/>
    </row>
    <row r="128" spans="1:22" ht="15" outlineLevel="1">
      <c r="A128" s="4"/>
      <c r="B128" s="7" t="s">
        <v>305</v>
      </c>
      <c r="C128" s="231" t="str">
        <f t="shared" ref="C128:H128" si="10">+C13</f>
        <v>Licensee 1</v>
      </c>
      <c r="D128" s="231" t="str">
        <f t="shared" si="10"/>
        <v>Licensee 2</v>
      </c>
      <c r="E128" s="231" t="str">
        <f t="shared" si="10"/>
        <v>Licensee 3</v>
      </c>
      <c r="F128" s="231" t="str">
        <f t="shared" si="10"/>
        <v>Licensee 4</v>
      </c>
      <c r="G128" s="231" t="str">
        <f t="shared" si="10"/>
        <v>Licensee 5</v>
      </c>
      <c r="H128" s="231" t="str">
        <f t="shared" si="10"/>
        <v>Licensee 6</v>
      </c>
      <c r="I128" s="218" t="s">
        <v>306</v>
      </c>
      <c r="J128" s="218" t="s">
        <v>307</v>
      </c>
      <c r="K128" s="2"/>
      <c r="L128" s="2"/>
    </row>
    <row r="129" spans="1:15" ht="15" outlineLevel="1">
      <c r="A129" s="4"/>
      <c r="B129" s="227" t="str">
        <f>CONCATENATE("Opening Post Cut-Off Date Regulatory Proportion at ",D8)</f>
        <v>Opening Post Cut-Off Date Regulatory Proportion at 31 March 2022</v>
      </c>
      <c r="C129" s="288">
        <v>0</v>
      </c>
      <c r="D129" s="288">
        <v>0</v>
      </c>
      <c r="E129" s="288">
        <v>0</v>
      </c>
      <c r="F129" s="288">
        <v>0</v>
      </c>
      <c r="G129" s="288">
        <v>0</v>
      </c>
      <c r="H129" s="288">
        <v>0</v>
      </c>
      <c r="I129" s="288">
        <v>0</v>
      </c>
      <c r="J129" s="314">
        <f>SUM(C129:I129)</f>
        <v>0</v>
      </c>
      <c r="K129" s="2"/>
      <c r="L129" s="2"/>
    </row>
    <row r="130" spans="1:15" ht="15" outlineLevel="1">
      <c r="A130" s="4"/>
      <c r="B130" s="197"/>
      <c r="C130" s="4"/>
      <c r="D130" s="4"/>
      <c r="E130" s="4"/>
      <c r="F130" s="4"/>
      <c r="G130" s="4"/>
      <c r="H130" s="4"/>
      <c r="I130" s="4"/>
      <c r="J130" s="2"/>
      <c r="K130" s="2"/>
      <c r="L130" s="2"/>
    </row>
    <row r="131" spans="1:15" ht="14.25" customHeight="1">
      <c r="A131" s="4"/>
      <c r="B131" s="4"/>
      <c r="C131" s="4"/>
      <c r="D131" s="4"/>
      <c r="E131" s="4"/>
      <c r="F131" s="4"/>
      <c r="G131" s="4"/>
      <c r="H131" s="4"/>
      <c r="I131" s="4"/>
      <c r="J131" s="2"/>
      <c r="K131" s="2"/>
      <c r="L131" s="2"/>
    </row>
    <row r="132" spans="1:15" ht="15">
      <c r="A132" s="4"/>
      <c r="B132" s="351" t="s">
        <v>346</v>
      </c>
      <c r="C132" s="351"/>
      <c r="D132" s="358"/>
      <c r="E132" s="358"/>
      <c r="F132" s="4"/>
      <c r="G132" s="4"/>
      <c r="H132" s="4"/>
      <c r="I132" s="4"/>
      <c r="J132" s="2"/>
      <c r="K132" s="2"/>
      <c r="L132" s="2"/>
    </row>
    <row r="133" spans="1:15" ht="15" outlineLevel="1">
      <c r="A133" s="4"/>
      <c r="B133" s="4"/>
      <c r="C133" s="4"/>
      <c r="D133" s="4"/>
      <c r="E133" s="4"/>
      <c r="F133" s="4"/>
      <c r="G133" s="4"/>
      <c r="H133" s="4"/>
      <c r="I133" s="4"/>
      <c r="J133" s="2"/>
      <c r="K133" s="2"/>
      <c r="L133" s="2"/>
    </row>
    <row r="134" spans="1:15" ht="15" outlineLevel="1">
      <c r="A134" s="4"/>
      <c r="B134" s="7" t="s">
        <v>347</v>
      </c>
      <c r="C134" s="231" t="str">
        <f t="shared" ref="C134:H134" si="11">+C13</f>
        <v>Licensee 1</v>
      </c>
      <c r="D134" s="231" t="str">
        <f t="shared" si="11"/>
        <v>Licensee 2</v>
      </c>
      <c r="E134" s="231" t="str">
        <f t="shared" si="11"/>
        <v>Licensee 3</v>
      </c>
      <c r="F134" s="231" t="str">
        <f t="shared" si="11"/>
        <v>Licensee 4</v>
      </c>
      <c r="G134" s="231" t="str">
        <f t="shared" si="11"/>
        <v>Licensee 5</v>
      </c>
      <c r="H134" s="231" t="str">
        <f t="shared" si="11"/>
        <v>Licensee 6</v>
      </c>
      <c r="I134" s="218" t="s">
        <v>306</v>
      </c>
      <c r="J134" s="218" t="s">
        <v>307</v>
      </c>
      <c r="K134" s="234" t="s">
        <v>348</v>
      </c>
      <c r="L134" s="75"/>
      <c r="M134" s="76"/>
      <c r="N134" s="76"/>
      <c r="O134" s="77"/>
    </row>
    <row r="135" spans="1:15" outlineLevel="1">
      <c r="A135" s="4"/>
      <c r="B135" s="235" t="str">
        <f>CONCATENATE("Year 1 of this valuation period ended 31 March ",+$C$101)</f>
        <v>Year 1 of this valuation period ended 31 March 2023</v>
      </c>
      <c r="C135" s="309"/>
      <c r="D135" s="309"/>
      <c r="E135" s="309"/>
      <c r="F135" s="309"/>
      <c r="G135" s="309"/>
      <c r="H135" s="309"/>
      <c r="I135" s="309"/>
      <c r="J135" s="334">
        <f>SUM(C135:I135)</f>
        <v>0</v>
      </c>
      <c r="K135" s="306"/>
      <c r="L135" s="307"/>
      <c r="M135" s="307"/>
      <c r="N135" s="307"/>
      <c r="O135" s="308"/>
    </row>
    <row r="136" spans="1:15" outlineLevel="1">
      <c r="A136" s="4"/>
      <c r="B136" s="235" t="str">
        <f>CONCATENATE("Year 2 of this valuation period ended 31 March ",+$D$101)</f>
        <v>Year 2 of this valuation period ended 31 March 2024</v>
      </c>
      <c r="C136" s="309"/>
      <c r="D136" s="309"/>
      <c r="E136" s="309"/>
      <c r="F136" s="309"/>
      <c r="G136" s="309"/>
      <c r="H136" s="309"/>
      <c r="I136" s="309"/>
      <c r="J136" s="333">
        <f>SUM(C136:I136)</f>
        <v>0</v>
      </c>
      <c r="K136" s="306"/>
      <c r="L136" s="307"/>
      <c r="M136" s="307"/>
      <c r="N136" s="307"/>
      <c r="O136" s="308"/>
    </row>
    <row r="137" spans="1:15" outlineLevel="1">
      <c r="A137" s="4"/>
      <c r="B137" s="235" t="str">
        <f>CONCATENATE("Year 3 of this valuation period ended 31 March ",+$E$101)</f>
        <v>Year 3 of this valuation period ended 31 March 2025</v>
      </c>
      <c r="C137" s="309"/>
      <c r="D137" s="309"/>
      <c r="E137" s="309"/>
      <c r="F137" s="309"/>
      <c r="G137" s="309"/>
      <c r="H137" s="309"/>
      <c r="I137" s="309"/>
      <c r="J137" s="333">
        <f>SUM(C137:I137)</f>
        <v>0</v>
      </c>
      <c r="K137" s="306"/>
      <c r="L137" s="307"/>
      <c r="M137" s="307"/>
      <c r="N137" s="307"/>
      <c r="O137" s="308"/>
    </row>
    <row r="138" spans="1:15" ht="15" outlineLevel="1">
      <c r="A138" s="4"/>
      <c r="B138" s="12" t="s">
        <v>307</v>
      </c>
      <c r="C138" s="333">
        <f t="shared" ref="C138:J138" si="12">SUM(C135:C137)</f>
        <v>0</v>
      </c>
      <c r="D138" s="333">
        <f t="shared" si="12"/>
        <v>0</v>
      </c>
      <c r="E138" s="333">
        <f t="shared" si="12"/>
        <v>0</v>
      </c>
      <c r="F138" s="333">
        <f t="shared" si="12"/>
        <v>0</v>
      </c>
      <c r="G138" s="333">
        <f t="shared" si="12"/>
        <v>0</v>
      </c>
      <c r="H138" s="333">
        <f t="shared" si="12"/>
        <v>0</v>
      </c>
      <c r="I138" s="333">
        <f t="shared" si="12"/>
        <v>0</v>
      </c>
      <c r="J138" s="333">
        <f t="shared" si="12"/>
        <v>0</v>
      </c>
      <c r="K138" s="2"/>
      <c r="L138" s="2"/>
    </row>
    <row r="139" spans="1:15" ht="15" outlineLevel="1">
      <c r="A139" s="4"/>
      <c r="B139" s="8" t="s">
        <v>349</v>
      </c>
      <c r="K139" s="2"/>
      <c r="L139" s="2"/>
    </row>
    <row r="140" spans="1:15" ht="15" outlineLevel="1">
      <c r="A140" s="4"/>
      <c r="B140" s="235" t="str">
        <f>CONCATENATE("Year 1 of this valuation period ended 31 March ",+$C$101)</f>
        <v>Year 1 of this valuation period ended 31 March 2023</v>
      </c>
      <c r="C140" s="314">
        <f t="shared" ref="C140:I140" si="13">IFERROR(C135/$J$135,0)</f>
        <v>0</v>
      </c>
      <c r="D140" s="314">
        <f t="shared" si="13"/>
        <v>0</v>
      </c>
      <c r="E140" s="314">
        <f t="shared" si="13"/>
        <v>0</v>
      </c>
      <c r="F140" s="314">
        <f t="shared" si="13"/>
        <v>0</v>
      </c>
      <c r="G140" s="314">
        <f t="shared" si="13"/>
        <v>0</v>
      </c>
      <c r="H140" s="314">
        <f t="shared" si="13"/>
        <v>0</v>
      </c>
      <c r="I140" s="314">
        <f t="shared" si="13"/>
        <v>0</v>
      </c>
      <c r="J140" s="314">
        <f>SUM(C140:I140)</f>
        <v>0</v>
      </c>
      <c r="K140" s="2"/>
      <c r="L140" s="2"/>
    </row>
    <row r="141" spans="1:15" ht="15" outlineLevel="1">
      <c r="A141" s="4"/>
      <c r="B141" s="235" t="str">
        <f>CONCATENATE("Year 2 of this valuation period ended 31 March ",+$D$101)</f>
        <v>Year 2 of this valuation period ended 31 March 2024</v>
      </c>
      <c r="C141" s="314">
        <f t="shared" ref="C141:I141" si="14">IFERROR(C136/$J$136,0)</f>
        <v>0</v>
      </c>
      <c r="D141" s="314">
        <f t="shared" si="14"/>
        <v>0</v>
      </c>
      <c r="E141" s="314">
        <f t="shared" si="14"/>
        <v>0</v>
      </c>
      <c r="F141" s="314">
        <f t="shared" si="14"/>
        <v>0</v>
      </c>
      <c r="G141" s="314">
        <f t="shared" si="14"/>
        <v>0</v>
      </c>
      <c r="H141" s="314">
        <f t="shared" si="14"/>
        <v>0</v>
      </c>
      <c r="I141" s="314">
        <f t="shared" si="14"/>
        <v>0</v>
      </c>
      <c r="J141" s="314">
        <f>SUM(C141:I141)</f>
        <v>0</v>
      </c>
      <c r="K141" s="2"/>
      <c r="L141" s="2"/>
    </row>
    <row r="142" spans="1:15" ht="15" outlineLevel="1">
      <c r="A142" s="4"/>
      <c r="B142" s="235" t="str">
        <f>CONCATENATE("Year 3 of this valuation period ended 31 March ",+$E$101)</f>
        <v>Year 3 of this valuation period ended 31 March 2025</v>
      </c>
      <c r="C142" s="314">
        <f t="shared" ref="C142:I142" si="15">IFERROR(C137/$J$137,0)</f>
        <v>0</v>
      </c>
      <c r="D142" s="314">
        <f t="shared" si="15"/>
        <v>0</v>
      </c>
      <c r="E142" s="314">
        <f t="shared" si="15"/>
        <v>0</v>
      </c>
      <c r="F142" s="314">
        <f t="shared" si="15"/>
        <v>0</v>
      </c>
      <c r="G142" s="314">
        <f t="shared" si="15"/>
        <v>0</v>
      </c>
      <c r="H142" s="314">
        <f t="shared" si="15"/>
        <v>0</v>
      </c>
      <c r="I142" s="314">
        <f t="shared" si="15"/>
        <v>0</v>
      </c>
      <c r="J142" s="314">
        <f>SUM(C142:I142)</f>
        <v>0</v>
      </c>
      <c r="K142" s="2"/>
      <c r="L142" s="2"/>
    </row>
    <row r="143" spans="1:15" ht="15" outlineLevel="1">
      <c r="A143" s="4"/>
      <c r="B143" s="7" t="s">
        <v>350</v>
      </c>
      <c r="C143" s="314">
        <f t="shared" ref="C143:I143" si="16">IFERROR(SUMPRODUCT(C140:C142,$J$135:$J$137)/$J$138,0)</f>
        <v>0</v>
      </c>
      <c r="D143" s="314">
        <f t="shared" si="16"/>
        <v>0</v>
      </c>
      <c r="E143" s="314">
        <f t="shared" si="16"/>
        <v>0</v>
      </c>
      <c r="F143" s="314">
        <f t="shared" si="16"/>
        <v>0</v>
      </c>
      <c r="G143" s="314">
        <f t="shared" si="16"/>
        <v>0</v>
      </c>
      <c r="H143" s="314">
        <f t="shared" si="16"/>
        <v>0</v>
      </c>
      <c r="I143" s="314">
        <f t="shared" si="16"/>
        <v>0</v>
      </c>
      <c r="J143" s="314">
        <f>SUM(C143:I143)</f>
        <v>0</v>
      </c>
      <c r="K143" s="2"/>
      <c r="L143" s="2"/>
    </row>
    <row r="144" spans="1:15" ht="15" outlineLevel="1">
      <c r="A144" s="4"/>
      <c r="B144" s="4"/>
      <c r="C144" s="4"/>
      <c r="D144" s="4"/>
      <c r="E144" s="4"/>
      <c r="F144" s="4"/>
      <c r="G144" s="4"/>
      <c r="H144" s="4"/>
      <c r="I144" s="4"/>
      <c r="J144" s="4"/>
      <c r="K144" s="2"/>
      <c r="L144" s="2"/>
    </row>
    <row r="145" spans="1:12" ht="15" outlineLevel="1">
      <c r="A145" s="4"/>
      <c r="B145" s="4"/>
      <c r="C145" s="4"/>
      <c r="D145" s="4"/>
      <c r="E145" s="4"/>
      <c r="F145" s="4"/>
      <c r="G145" s="4"/>
      <c r="H145" s="4"/>
      <c r="I145" s="4"/>
      <c r="J145" s="4"/>
      <c r="K145" s="2"/>
      <c r="L145" s="2"/>
    </row>
    <row r="146" spans="1:12" ht="15" customHeight="1" outlineLevel="1">
      <c r="A146" s="4"/>
      <c r="B146" s="9" t="s">
        <v>351</v>
      </c>
      <c r="C146" s="9"/>
      <c r="D146" s="11"/>
      <c r="E146" s="11"/>
      <c r="F146" s="4"/>
      <c r="G146" s="4"/>
      <c r="H146" s="4"/>
      <c r="I146" s="4"/>
      <c r="J146" s="4"/>
      <c r="K146" s="2"/>
      <c r="L146" s="2"/>
    </row>
    <row r="147" spans="1:12" ht="15" outlineLevel="1">
      <c r="A147" s="4"/>
      <c r="B147" s="4"/>
      <c r="C147" s="4"/>
      <c r="D147" s="4"/>
      <c r="E147" s="4"/>
      <c r="F147" s="4"/>
      <c r="G147" s="4"/>
      <c r="H147" s="4"/>
      <c r="I147" s="4"/>
      <c r="J147" s="4"/>
      <c r="K147" s="2"/>
      <c r="L147" s="2"/>
    </row>
    <row r="148" spans="1:12" ht="15" outlineLevel="1">
      <c r="A148" s="4"/>
      <c r="B148" s="136" t="str">
        <f>CONCATENATE("Closing Post Cut-Off Date Regulatory Proportion at ",(D9),"")</f>
        <v>Closing Post Cut-Off Date Regulatory Proportion at 31 March 2025</v>
      </c>
      <c r="C148" s="335" t="e">
        <f>(('P2.2 PDAM Actuary provided'!$D$81*C129)+('P2.2 PDAM Actuary provided'!$D$82*C143))/'P2.2 PDAM Actuary provided'!$D$83</f>
        <v>#DIV/0!</v>
      </c>
      <c r="D148" s="335" t="e">
        <f>(('P2.2 PDAM Actuary provided'!$D$81*D129)+('P2.2 PDAM Actuary provided'!$D$82*D143))/'P2.2 PDAM Actuary provided'!$D$83</f>
        <v>#DIV/0!</v>
      </c>
      <c r="E148" s="335" t="e">
        <f>(('P2.2 PDAM Actuary provided'!$D$81*E129)+('P2.2 PDAM Actuary provided'!$D$82*E143))/'P2.2 PDAM Actuary provided'!$D$83</f>
        <v>#DIV/0!</v>
      </c>
      <c r="F148" s="335" t="e">
        <f>(('P2.2 PDAM Actuary provided'!$D$81*F129)+('P2.2 PDAM Actuary provided'!$D$82*F143))/'P2.2 PDAM Actuary provided'!$D$83</f>
        <v>#DIV/0!</v>
      </c>
      <c r="G148" s="335" t="e">
        <f>(('P2.2 PDAM Actuary provided'!$D$81*G129)+('P2.2 PDAM Actuary provided'!$D$82*G143))/'P2.2 PDAM Actuary provided'!$D$83</f>
        <v>#DIV/0!</v>
      </c>
      <c r="H148" s="335" t="e">
        <f>(('P2.2 PDAM Actuary provided'!$D$81*H129)+('P2.2 PDAM Actuary provided'!$D$82*H143))/'P2.2 PDAM Actuary provided'!$D$83</f>
        <v>#DIV/0!</v>
      </c>
      <c r="I148" s="335" t="e">
        <f>(('P2.2 PDAM Actuary provided'!$D$81*I129)+('P2.2 PDAM Actuary provided'!$D$82*I143))/'P2.2 PDAM Actuary provided'!$D$83</f>
        <v>#DIV/0!</v>
      </c>
      <c r="J148" s="335" t="e">
        <f>(('P2.2 PDAM Actuary provided'!$D$81*J129)+('P2.2 PDAM Actuary provided'!$D$82*J143))/'P2.2 PDAM Actuary provided'!$D$83</f>
        <v>#DIV/0!</v>
      </c>
      <c r="K148" s="2"/>
      <c r="L148" s="2"/>
    </row>
    <row r="149" spans="1:12" ht="15" outlineLevel="1">
      <c r="A149" s="4"/>
      <c r="B149" s="4"/>
      <c r="C149" s="214"/>
      <c r="D149" s="2"/>
      <c r="E149" s="4"/>
      <c r="F149" s="4"/>
      <c r="G149" s="214"/>
      <c r="H149" s="2"/>
      <c r="I149" s="4"/>
      <c r="J149" s="4"/>
      <c r="K149" s="2"/>
      <c r="L149" s="2"/>
    </row>
    <row r="150" spans="1:12" ht="15" customHeight="1">
      <c r="A150" s="4"/>
      <c r="B150" s="4"/>
      <c r="C150" s="214"/>
      <c r="D150" s="2"/>
      <c r="E150" s="4"/>
      <c r="F150" s="4"/>
      <c r="G150" s="214"/>
      <c r="H150" s="2"/>
      <c r="I150" s="4"/>
      <c r="J150" s="4"/>
      <c r="K150" s="2"/>
      <c r="L150" s="2"/>
    </row>
    <row r="151" spans="1:12" ht="15.5">
      <c r="A151" s="4"/>
      <c r="B151" s="351" t="s">
        <v>352</v>
      </c>
      <c r="C151" s="351"/>
      <c r="D151" s="363"/>
      <c r="E151" s="363"/>
      <c r="F151" s="4"/>
      <c r="G151" s="214"/>
      <c r="H151" s="2"/>
      <c r="I151" s="4"/>
      <c r="J151" s="4"/>
      <c r="K151" s="2"/>
      <c r="L151" s="2"/>
    </row>
    <row r="152" spans="1:12" ht="15" outlineLevel="1">
      <c r="A152" s="4"/>
      <c r="B152" s="4"/>
      <c r="C152" s="214"/>
      <c r="D152" s="2"/>
      <c r="E152" s="4"/>
      <c r="F152" s="4"/>
      <c r="G152" s="214"/>
      <c r="H152" s="2"/>
      <c r="I152" s="4"/>
      <c r="J152" s="4"/>
      <c r="K152" s="2"/>
      <c r="L152" s="2"/>
    </row>
    <row r="153" spans="1:12" ht="15" outlineLevel="1">
      <c r="A153" s="4"/>
      <c r="B153" s="236" t="s">
        <v>305</v>
      </c>
      <c r="C153" s="231" t="str">
        <f>+C13</f>
        <v>Licensee 1</v>
      </c>
      <c r="D153" s="231" t="str">
        <f t="shared" ref="D153:J153" si="17">+D13</f>
        <v>Licensee 2</v>
      </c>
      <c r="E153" s="231" t="str">
        <f t="shared" si="17"/>
        <v>Licensee 3</v>
      </c>
      <c r="F153" s="231" t="str">
        <f t="shared" si="17"/>
        <v>Licensee 4</v>
      </c>
      <c r="G153" s="231" t="str">
        <f t="shared" si="17"/>
        <v>Licensee 5</v>
      </c>
      <c r="H153" s="231" t="str">
        <f t="shared" si="17"/>
        <v>Licensee 6</v>
      </c>
      <c r="I153" s="231" t="str">
        <f t="shared" si="17"/>
        <v>Non-regulated</v>
      </c>
      <c r="J153" s="231" t="str">
        <f t="shared" si="17"/>
        <v>Total</v>
      </c>
      <c r="K153" s="2"/>
      <c r="L153" s="2"/>
    </row>
    <row r="154" spans="1:12" ht="15.75" customHeight="1" outlineLevel="1">
      <c r="A154" s="4"/>
      <c r="B154" s="136" t="s">
        <v>353</v>
      </c>
      <c r="C154" s="314">
        <f>C123</f>
        <v>0</v>
      </c>
      <c r="D154" s="314">
        <f t="shared" ref="D154:I154" si="18">D123</f>
        <v>0</v>
      </c>
      <c r="E154" s="314">
        <f t="shared" si="18"/>
        <v>0</v>
      </c>
      <c r="F154" s="314">
        <f t="shared" si="18"/>
        <v>0</v>
      </c>
      <c r="G154" s="314">
        <f t="shared" si="18"/>
        <v>0</v>
      </c>
      <c r="H154" s="314">
        <f t="shared" si="18"/>
        <v>0</v>
      </c>
      <c r="I154" s="314">
        <f t="shared" si="18"/>
        <v>1</v>
      </c>
      <c r="J154" s="314">
        <f>SUM(C154:I154)</f>
        <v>1</v>
      </c>
      <c r="K154" s="2"/>
      <c r="L154" s="2"/>
    </row>
    <row r="155" spans="1:12" ht="15" outlineLevel="1">
      <c r="A155" s="4"/>
      <c r="B155" s="136" t="s">
        <v>354</v>
      </c>
      <c r="C155" s="314" t="e">
        <f>C148</f>
        <v>#DIV/0!</v>
      </c>
      <c r="D155" s="314" t="e">
        <f t="shared" ref="D155:I155" si="19">D148</f>
        <v>#DIV/0!</v>
      </c>
      <c r="E155" s="314" t="e">
        <f t="shared" si="19"/>
        <v>#DIV/0!</v>
      </c>
      <c r="F155" s="314" t="e">
        <f t="shared" si="19"/>
        <v>#DIV/0!</v>
      </c>
      <c r="G155" s="314" t="e">
        <f t="shared" si="19"/>
        <v>#DIV/0!</v>
      </c>
      <c r="H155" s="314" t="e">
        <f t="shared" si="19"/>
        <v>#DIV/0!</v>
      </c>
      <c r="I155" s="314" t="e">
        <f t="shared" si="19"/>
        <v>#DIV/0!</v>
      </c>
      <c r="J155" s="314" t="e">
        <f>SUM(C155:I155)</f>
        <v>#DIV/0!</v>
      </c>
      <c r="K155" s="2"/>
      <c r="L155" s="2"/>
    </row>
    <row r="156" spans="1:12" ht="15" outlineLevel="1">
      <c r="A156" s="4"/>
      <c r="B156" s="227" t="str">
        <f>CONCATENATE("Established Deficit at ",+D9)</f>
        <v>Established Deficit at 31 March 2025</v>
      </c>
      <c r="C156" s="336">
        <f>C154*'P2.2 PDAM Actuary provided'!$D$109</f>
        <v>0</v>
      </c>
      <c r="D156" s="336">
        <f>D154*'P2.2 PDAM Actuary provided'!$D$109</f>
        <v>0</v>
      </c>
      <c r="E156" s="336">
        <f>E154*'P2.2 PDAM Actuary provided'!$D$109</f>
        <v>0</v>
      </c>
      <c r="F156" s="336">
        <f>F154*'P2.2 PDAM Actuary provided'!$D$109</f>
        <v>0</v>
      </c>
      <c r="G156" s="336">
        <f>G154*'P2.2 PDAM Actuary provided'!$D$109</f>
        <v>0</v>
      </c>
      <c r="H156" s="336">
        <f>H154*'P2.2 PDAM Actuary provided'!$D$109</f>
        <v>0</v>
      </c>
      <c r="I156" s="336">
        <f>I154*'P2.2 PDAM Actuary provided'!$D$109</f>
        <v>0</v>
      </c>
      <c r="J156" s="336">
        <f>SUM(C156:I156)</f>
        <v>0</v>
      </c>
      <c r="K156" s="2"/>
      <c r="L156" s="2"/>
    </row>
    <row r="157" spans="1:12" ht="15" outlineLevel="1">
      <c r="A157" s="4"/>
      <c r="B157" s="227" t="str">
        <f>CONCATENATE("Incremental Deficit at ",+D9)</f>
        <v>Incremental Deficit at 31 March 2025</v>
      </c>
      <c r="C157" s="336" t="e">
        <f>C155*'P2.2 PDAM Actuary provided'!$D$111</f>
        <v>#DIV/0!</v>
      </c>
      <c r="D157" s="336" t="e">
        <f>D155*'P2.2 PDAM Actuary provided'!$D$111</f>
        <v>#DIV/0!</v>
      </c>
      <c r="E157" s="336" t="e">
        <f>E155*'P2.2 PDAM Actuary provided'!$D$111</f>
        <v>#DIV/0!</v>
      </c>
      <c r="F157" s="336" t="e">
        <f>F155*'P2.2 PDAM Actuary provided'!$D$111</f>
        <v>#DIV/0!</v>
      </c>
      <c r="G157" s="336" t="e">
        <f>G155*'P2.2 PDAM Actuary provided'!$D$111</f>
        <v>#DIV/0!</v>
      </c>
      <c r="H157" s="336" t="e">
        <f>H155*'P2.2 PDAM Actuary provided'!$D$111</f>
        <v>#DIV/0!</v>
      </c>
      <c r="I157" s="336" t="e">
        <f>I155*'P2.2 PDAM Actuary provided'!$D$111</f>
        <v>#DIV/0!</v>
      </c>
      <c r="J157" s="336" t="e">
        <f>SUM(C157:I157)</f>
        <v>#DIV/0!</v>
      </c>
      <c r="K157" s="2"/>
      <c r="L157" s="2"/>
    </row>
    <row r="158" spans="1:12" ht="15">
      <c r="A158" s="4"/>
      <c r="B158" s="4"/>
      <c r="C158" s="214"/>
      <c r="D158" s="2"/>
      <c r="E158" s="4"/>
      <c r="F158" s="4"/>
      <c r="G158" s="214"/>
      <c r="H158" s="2"/>
      <c r="I158" s="4"/>
      <c r="J158" s="4"/>
      <c r="K158" s="2"/>
      <c r="L158" s="2"/>
    </row>
    <row r="159" spans="1:12" s="19" customFormat="1" ht="15.5">
      <c r="A159" s="4"/>
      <c r="B159" s="30"/>
      <c r="C159" s="30"/>
      <c r="D159" s="30"/>
      <c r="E159" s="30"/>
      <c r="F159" s="30"/>
      <c r="G159" s="30"/>
      <c r="H159" s="30"/>
      <c r="I159" s="30"/>
      <c r="J159" s="30"/>
      <c r="K159" s="30"/>
      <c r="L159" s="30"/>
    </row>
    <row r="160" spans="1:12" s="19" customFormat="1" ht="14.5">
      <c r="A160" s="4"/>
      <c r="B160" s="31"/>
      <c r="C160" s="237"/>
      <c r="D160" s="237"/>
      <c r="E160" s="237"/>
      <c r="F160" s="237"/>
      <c r="G160" s="237"/>
      <c r="H160" s="237"/>
      <c r="I160" s="237"/>
      <c r="J160" s="237"/>
      <c r="K160" s="238"/>
      <c r="L160" s="238"/>
    </row>
    <row r="161" spans="1:12" s="19" customFormat="1" ht="15" customHeight="1">
      <c r="A161" s="4"/>
      <c r="B161" s="347"/>
      <c r="C161" s="347"/>
      <c r="D161" s="347"/>
      <c r="E161" s="347"/>
      <c r="F161" s="347"/>
      <c r="G161" s="347"/>
      <c r="H161" s="347"/>
      <c r="I161" s="347"/>
      <c r="J161" s="347"/>
      <c r="K161" s="238"/>
      <c r="L161" s="238"/>
    </row>
    <row r="162" spans="1:12" s="19" customFormat="1" ht="15" customHeight="1">
      <c r="A162" s="4"/>
      <c r="B162" s="347"/>
      <c r="C162" s="347"/>
      <c r="D162" s="347"/>
      <c r="E162" s="347"/>
      <c r="F162" s="347"/>
      <c r="G162" s="347"/>
      <c r="H162" s="347"/>
      <c r="I162" s="347"/>
      <c r="J162" s="347"/>
      <c r="K162" s="238"/>
      <c r="L162" s="238"/>
    </row>
    <row r="163" spans="1:12" s="19" customFormat="1" ht="15" customHeight="1">
      <c r="A163" s="4"/>
      <c r="B163" s="347"/>
      <c r="C163" s="347"/>
      <c r="D163" s="347"/>
      <c r="E163" s="347"/>
      <c r="F163" s="347"/>
      <c r="G163" s="347"/>
      <c r="H163" s="347"/>
      <c r="I163" s="347"/>
      <c r="J163" s="347"/>
      <c r="K163" s="238"/>
      <c r="L163" s="238"/>
    </row>
    <row r="164" spans="1:12" s="19" customFormat="1" ht="15" customHeight="1">
      <c r="A164" s="4"/>
      <c r="B164" s="347"/>
      <c r="C164" s="347"/>
      <c r="D164" s="347"/>
      <c r="E164" s="347"/>
      <c r="F164" s="347"/>
      <c r="G164" s="347"/>
      <c r="H164" s="347"/>
      <c r="I164" s="347"/>
      <c r="J164" s="347"/>
      <c r="K164" s="238"/>
      <c r="L164" s="238"/>
    </row>
    <row r="165" spans="1:12" s="19" customFormat="1" ht="15" customHeight="1">
      <c r="A165" s="4"/>
      <c r="B165" s="347"/>
      <c r="C165" s="347"/>
      <c r="D165" s="347"/>
      <c r="E165" s="347"/>
      <c r="F165" s="347"/>
      <c r="G165" s="347"/>
      <c r="H165" s="347"/>
      <c r="I165" s="347"/>
      <c r="J165" s="347"/>
      <c r="K165" s="238"/>
      <c r="L165" s="238"/>
    </row>
    <row r="166" spans="1:12" s="19" customFormat="1" ht="15" customHeight="1">
      <c r="A166" s="4"/>
      <c r="B166" s="237"/>
      <c r="C166" s="237"/>
      <c r="D166" s="237"/>
      <c r="E166" s="237"/>
      <c r="F166" s="237"/>
      <c r="G166" s="237"/>
      <c r="H166" s="237"/>
      <c r="I166" s="237"/>
      <c r="J166" s="237"/>
      <c r="K166" s="238"/>
      <c r="L166" s="238"/>
    </row>
    <row r="167" spans="1:12" s="19" customFormat="1" ht="32.25" customHeight="1">
      <c r="A167" s="4"/>
      <c r="B167" s="347"/>
      <c r="C167" s="347"/>
      <c r="D167" s="347"/>
      <c r="E167" s="347"/>
      <c r="F167" s="347"/>
      <c r="G167" s="347"/>
      <c r="H167" s="347"/>
      <c r="I167" s="347"/>
      <c r="J167" s="347"/>
      <c r="K167" s="238"/>
      <c r="L167" s="238"/>
    </row>
    <row r="168" spans="1:12" s="19" customFormat="1" ht="14.5">
      <c r="A168" s="4"/>
      <c r="B168" s="237"/>
      <c r="C168" s="237"/>
      <c r="D168" s="237"/>
      <c r="E168" s="237"/>
      <c r="F168" s="237"/>
      <c r="G168" s="237"/>
      <c r="H168" s="237"/>
      <c r="I168" s="237"/>
      <c r="J168" s="237"/>
      <c r="K168" s="238"/>
      <c r="L168" s="238"/>
    </row>
    <row r="169" spans="1:12" s="19" customFormat="1" ht="14.5">
      <c r="A169" s="4"/>
      <c r="B169" s="31"/>
      <c r="C169" s="237"/>
      <c r="D169" s="237"/>
      <c r="E169" s="237"/>
      <c r="F169" s="237"/>
      <c r="G169" s="237"/>
      <c r="H169" s="237"/>
      <c r="I169" s="237"/>
      <c r="J169" s="237"/>
      <c r="K169" s="238"/>
      <c r="L169" s="238"/>
    </row>
    <row r="170" spans="1:12" s="19" customFormat="1" ht="14.5">
      <c r="A170" s="4"/>
      <c r="B170" s="239"/>
      <c r="C170" s="237"/>
      <c r="D170" s="237"/>
      <c r="E170" s="237"/>
      <c r="F170" s="237"/>
      <c r="G170" s="237"/>
      <c r="H170" s="237"/>
      <c r="I170" s="237"/>
      <c r="J170" s="237"/>
      <c r="K170" s="238"/>
      <c r="L170" s="238"/>
    </row>
    <row r="171" spans="1:12" s="19" customFormat="1" ht="14.5">
      <c r="A171" s="4"/>
      <c r="B171" s="32"/>
      <c r="C171" s="237"/>
      <c r="D171" s="237"/>
      <c r="E171" s="237"/>
      <c r="F171" s="237"/>
      <c r="G171" s="237"/>
      <c r="H171" s="237"/>
      <c r="I171" s="237"/>
      <c r="J171" s="237"/>
      <c r="K171" s="238"/>
      <c r="L171" s="238"/>
    </row>
    <row r="172" spans="1:12" s="19" customFormat="1" ht="14.5">
      <c r="A172" s="4"/>
      <c r="B172" s="239"/>
      <c r="C172" s="237"/>
      <c r="D172" s="237"/>
      <c r="E172" s="237"/>
      <c r="F172" s="237"/>
      <c r="G172" s="237"/>
      <c r="H172" s="237"/>
      <c r="I172" s="237"/>
      <c r="J172" s="237"/>
      <c r="K172" s="238"/>
      <c r="L172" s="238"/>
    </row>
    <row r="173" spans="1:12" s="19" customFormat="1" ht="14.5">
      <c r="A173" s="4"/>
      <c r="B173" s="347"/>
      <c r="C173" s="370"/>
      <c r="D173" s="370"/>
      <c r="E173" s="370"/>
      <c r="F173" s="370"/>
      <c r="G173" s="370"/>
      <c r="H173" s="370"/>
      <c r="I173" s="370"/>
      <c r="J173" s="370"/>
      <c r="K173" s="238"/>
      <c r="L173" s="238"/>
    </row>
    <row r="174" spans="1:12" s="19" customFormat="1" ht="14.5">
      <c r="A174" s="4"/>
      <c r="B174" s="370"/>
      <c r="C174" s="370"/>
      <c r="D174" s="370"/>
      <c r="E174" s="370"/>
      <c r="F174" s="370"/>
      <c r="G174" s="370"/>
      <c r="H174" s="370"/>
      <c r="I174" s="370"/>
      <c r="J174" s="370"/>
      <c r="K174" s="238"/>
      <c r="L174" s="238"/>
    </row>
    <row r="175" spans="1:12" s="19" customFormat="1" ht="14.5">
      <c r="A175" s="4"/>
      <c r="B175" s="348"/>
      <c r="C175" s="370"/>
      <c r="D175" s="370"/>
      <c r="E175" s="370"/>
      <c r="F175" s="370"/>
      <c r="G175" s="370"/>
      <c r="H175" s="370"/>
      <c r="I175" s="370"/>
      <c r="J175" s="370"/>
      <c r="K175" s="238"/>
      <c r="L175" s="238"/>
    </row>
    <row r="176" spans="1:12" ht="14.5">
      <c r="A176" s="4"/>
      <c r="B176" s="370"/>
      <c r="C176" s="370"/>
      <c r="D176" s="370"/>
      <c r="E176" s="370"/>
      <c r="F176" s="370"/>
      <c r="G176" s="370"/>
      <c r="H176" s="370"/>
      <c r="I176" s="370"/>
      <c r="J176" s="370"/>
      <c r="K176" s="238"/>
      <c r="L176" s="238"/>
    </row>
  </sheetData>
  <mergeCells count="19">
    <mergeCell ref="D6:J6"/>
    <mergeCell ref="D8:E8"/>
    <mergeCell ref="D9:E9"/>
    <mergeCell ref="B11:E11"/>
    <mergeCell ref="D23:E23"/>
    <mergeCell ref="G23:H23"/>
    <mergeCell ref="J23:K23"/>
    <mergeCell ref="B175:J176"/>
    <mergeCell ref="C32:E32"/>
    <mergeCell ref="C54:E54"/>
    <mergeCell ref="C76:E76"/>
    <mergeCell ref="B98:E98"/>
    <mergeCell ref="B126:E126"/>
    <mergeCell ref="B132:E132"/>
    <mergeCell ref="B151:E151"/>
    <mergeCell ref="B161:J162"/>
    <mergeCell ref="B163:J165"/>
    <mergeCell ref="B167:J167"/>
    <mergeCell ref="B173:J174"/>
  </mergeCells>
  <dataValidations count="1">
    <dataValidation type="list" allowBlank="1" showInputMessage="1" showErrorMessage="1" sqref="C20" xr:uid="{00000000-0002-0000-0B00-000001000000}">
      <formula1>"Yes,No"</formula1>
    </dataValidation>
  </dataValidations>
  <pageMargins left="0.70866141732283472" right="0.70866141732283472" top="0.74803149606299213" bottom="0.74803149606299213" header="0.31496062992125984" footer="0.31496062992125984"/>
  <pageSetup paperSize="8" scale="38" orientation="portrait" r:id="rId1"/>
  <headerFooter>
    <oddFooter>&amp;C_x000D_&amp;1#&amp;"Calibri"&amp;10&amp;K000000 OFFICIAL-InternalOnly</oddFooter>
  </headerFooter>
  <rowBreaks count="1" manualBreakCount="1">
    <brk id="122" max="1638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7" tint="0.59999389629810485"/>
    <pageSetUpPr fitToPage="1"/>
  </sheetPr>
  <dimension ref="A1:J163"/>
  <sheetViews>
    <sheetView showGridLines="0" zoomScale="80" zoomScaleNormal="80" workbookViewId="0">
      <selection activeCell="F110" sqref="F110"/>
    </sheetView>
  </sheetViews>
  <sheetFormatPr defaultColWidth="9.1796875" defaultRowHeight="14.5" outlineLevelRow="1"/>
  <cols>
    <col min="1" max="1" width="9.81640625" customWidth="1"/>
    <col min="2" max="2" width="79.54296875" bestFit="1" customWidth="1"/>
    <col min="3" max="5" width="11.26953125" customWidth="1"/>
    <col min="6" max="6" width="60.54296875" customWidth="1"/>
    <col min="7" max="8" width="11.26953125" customWidth="1"/>
    <col min="9" max="9" width="12" customWidth="1"/>
    <col min="10" max="10" width="11.26953125" customWidth="1"/>
    <col min="15" max="15" width="12.81640625" customWidth="1"/>
  </cols>
  <sheetData>
    <row r="1" spans="1:6" ht="25">
      <c r="A1" s="79" t="s">
        <v>589</v>
      </c>
      <c r="B1" s="79"/>
      <c r="C1" s="21"/>
      <c r="D1" s="22"/>
      <c r="E1" s="22"/>
      <c r="F1" s="22"/>
    </row>
    <row r="2" spans="1:6" ht="30.75" customHeight="1">
      <c r="A2" s="79" t="str">
        <f>+'Pension Pack cover'!D12</f>
        <v>NGED (Central Networks ESPS)</v>
      </c>
      <c r="B2" s="135"/>
      <c r="C2" s="21"/>
      <c r="D2" s="22"/>
      <c r="E2" s="22"/>
      <c r="F2" s="22"/>
    </row>
    <row r="3" spans="1:6" ht="25">
      <c r="A3" s="135">
        <f>+'Pension Pack cover'!D24</f>
        <v>2026</v>
      </c>
      <c r="B3" s="135"/>
      <c r="C3" s="21"/>
      <c r="D3" s="22"/>
      <c r="E3" s="22"/>
      <c r="F3" s="22"/>
    </row>
    <row r="4" spans="1:6" ht="15.5">
      <c r="A4" s="6" t="s">
        <v>590</v>
      </c>
      <c r="B4" s="6"/>
      <c r="C4" s="240"/>
      <c r="D4" s="241"/>
      <c r="E4" s="242"/>
      <c r="F4" s="242"/>
    </row>
    <row r="5" spans="1:6" ht="15.5">
      <c r="A5" s="4"/>
      <c r="B5" s="4"/>
      <c r="C5" s="214"/>
      <c r="D5" s="241"/>
      <c r="E5" s="242"/>
      <c r="F5" s="242"/>
    </row>
    <row r="6" spans="1:6" ht="15" customHeight="1">
      <c r="A6" s="4"/>
      <c r="B6" s="243" t="s">
        <v>300</v>
      </c>
      <c r="C6" s="214"/>
      <c r="D6" s="361" t="str">
        <f>'P2.1 PDAM Licensee provided'!D6:J6</f>
        <v>DB Scheme 2</v>
      </c>
      <c r="E6" s="362"/>
      <c r="F6" s="362"/>
    </row>
    <row r="7" spans="1:6" ht="15.5">
      <c r="A7" s="4"/>
      <c r="B7" s="4"/>
      <c r="C7" s="214"/>
      <c r="D7" s="241"/>
      <c r="E7" s="242"/>
      <c r="F7" s="242"/>
    </row>
    <row r="8" spans="1:6" ht="15.5">
      <c r="A8" s="244" t="str">
        <f>CONCATENATE("Section A - Assets and Liabilities at ",'P1.1 PDAM Licensee provided'!D8," valuation")</f>
        <v>Section A - Assets and Liabilities at 31 March 2022 valuation</v>
      </c>
      <c r="B8" s="4"/>
      <c r="C8" s="214"/>
      <c r="D8" s="241"/>
      <c r="E8" s="242"/>
      <c r="F8" s="242"/>
    </row>
    <row r="9" spans="1:6" outlineLevel="1">
      <c r="A9" s="4"/>
      <c r="B9" s="4"/>
      <c r="C9" s="214"/>
      <c r="D9" s="4"/>
      <c r="E9" s="242"/>
      <c r="F9" s="242"/>
    </row>
    <row r="10" spans="1:6" ht="15.5" outlineLevel="1">
      <c r="A10" s="245"/>
      <c r="B10" s="243" t="s">
        <v>357</v>
      </c>
      <c r="C10" s="246" t="s">
        <v>317</v>
      </c>
      <c r="D10" s="299">
        <v>0</v>
      </c>
      <c r="E10" s="242"/>
      <c r="F10" s="242"/>
    </row>
    <row r="11" spans="1:6" ht="15.5" outlineLevel="1">
      <c r="A11" s="245"/>
      <c r="B11" s="243" t="s">
        <v>358</v>
      </c>
      <c r="C11" s="246" t="s">
        <v>317</v>
      </c>
      <c r="D11" s="299">
        <v>0</v>
      </c>
      <c r="E11" s="242"/>
      <c r="F11" s="242"/>
    </row>
    <row r="12" spans="1:6" ht="15.5" outlineLevel="1">
      <c r="A12" s="245"/>
      <c r="B12" s="247" t="str">
        <f>CONCATENATE("Scheme surplus (+ve)/ deficit (-ve) at ",'P1.1 PDAM Licensee provided'!D8)</f>
        <v>Scheme surplus (+ve)/ deficit (-ve) at 31 March 2022</v>
      </c>
      <c r="C12" s="246" t="s">
        <v>317</v>
      </c>
      <c r="D12" s="338">
        <f>SUM(D10:D11)</f>
        <v>0</v>
      </c>
      <c r="E12" s="242"/>
      <c r="F12" s="242"/>
    </row>
    <row r="13" spans="1:6" ht="15.5">
      <c r="A13" s="4"/>
      <c r="B13" s="4"/>
      <c r="C13" s="214"/>
      <c r="D13" s="241"/>
      <c r="E13" s="242"/>
      <c r="F13" s="242"/>
    </row>
    <row r="14" spans="1:6" ht="15.5">
      <c r="A14" s="244" t="str">
        <f>CONCATENATE("Section B - Assets and Liabilities at ",'P1.1 PDAM Licensee provided'!D9," valuation")</f>
        <v>Section B - Assets and Liabilities at 31 March 2025 valuation</v>
      </c>
      <c r="B14" s="4"/>
      <c r="C14" s="214"/>
      <c r="D14" s="241"/>
      <c r="E14" s="242"/>
      <c r="F14" s="242"/>
    </row>
    <row r="15" spans="1:6" ht="15.5" outlineLevel="1">
      <c r="A15" s="4"/>
      <c r="B15" s="4"/>
      <c r="C15" s="214"/>
      <c r="D15" s="241"/>
      <c r="E15" s="242"/>
      <c r="F15" s="242"/>
    </row>
    <row r="16" spans="1:6" outlineLevel="1">
      <c r="A16" s="4"/>
      <c r="B16" s="243" t="s">
        <v>357</v>
      </c>
      <c r="C16" s="246" t="s">
        <v>317</v>
      </c>
      <c r="D16" s="299">
        <v>0</v>
      </c>
      <c r="E16" s="242"/>
      <c r="F16" s="242"/>
    </row>
    <row r="17" spans="1:6" outlineLevel="1">
      <c r="A17" s="4"/>
      <c r="B17" s="243" t="s">
        <v>359</v>
      </c>
      <c r="C17" s="246" t="s">
        <v>317</v>
      </c>
      <c r="D17" s="299">
        <v>0</v>
      </c>
      <c r="E17" s="242"/>
      <c r="F17" s="242"/>
    </row>
    <row r="18" spans="1:6" outlineLevel="1">
      <c r="A18" s="4"/>
      <c r="B18" s="243" t="s">
        <v>360</v>
      </c>
      <c r="C18" s="246" t="s">
        <v>317</v>
      </c>
      <c r="D18" s="299">
        <v>0</v>
      </c>
      <c r="E18" s="242"/>
      <c r="F18" s="242"/>
    </row>
    <row r="19" spans="1:6" outlineLevel="1">
      <c r="A19" s="4"/>
      <c r="B19" s="243" t="s">
        <v>361</v>
      </c>
      <c r="C19" s="246" t="s">
        <v>317</v>
      </c>
      <c r="D19" s="299">
        <v>0</v>
      </c>
      <c r="E19" s="242"/>
      <c r="F19" s="242"/>
    </row>
    <row r="20" spans="1:6" outlineLevel="1">
      <c r="A20" s="4"/>
      <c r="B20" s="243" t="s">
        <v>362</v>
      </c>
      <c r="C20" s="246" t="s">
        <v>317</v>
      </c>
      <c r="D20" s="338">
        <f>SUM(D17:D19)</f>
        <v>0</v>
      </c>
      <c r="E20" s="242"/>
      <c r="F20" s="242"/>
    </row>
    <row r="21" spans="1:6" outlineLevel="1">
      <c r="A21" s="4"/>
      <c r="B21" s="247" t="str">
        <f>CONCATENATE("Scheme surplus (+ve)/ deficit (-ve) at ",'P1.1 PDAM Licensee provided'!D9)</f>
        <v>Scheme surplus (+ve)/ deficit (-ve) at 31 March 2025</v>
      </c>
      <c r="C21" s="246" t="s">
        <v>317</v>
      </c>
      <c r="D21" s="338">
        <f>D16+D20</f>
        <v>0</v>
      </c>
      <c r="E21" s="242"/>
      <c r="F21" s="242"/>
    </row>
    <row r="22" spans="1:6">
      <c r="A22" s="4"/>
      <c r="B22" s="247"/>
      <c r="C22" s="246"/>
      <c r="D22" s="246"/>
      <c r="E22" s="246"/>
      <c r="F22" s="242"/>
    </row>
    <row r="23" spans="1:6">
      <c r="A23" s="351" t="s">
        <v>363</v>
      </c>
      <c r="B23" s="351"/>
      <c r="C23" s="351"/>
      <c r="D23" s="351"/>
      <c r="E23" s="242"/>
      <c r="F23" s="242"/>
    </row>
    <row r="24" spans="1:6" ht="15.5" outlineLevel="1">
      <c r="A24" s="4"/>
      <c r="B24" s="4"/>
      <c r="C24" s="214"/>
      <c r="D24" s="241"/>
      <c r="E24" s="242"/>
      <c r="F24" s="242"/>
    </row>
    <row r="25" spans="1:6" outlineLevel="1">
      <c r="A25" s="4"/>
      <c r="B25" s="243" t="str">
        <f>CONCATENATE("Scheme surplus (+ve)/ deficit (-ve) at ",'P1.1 PDAM Licensee provided'!D8)</f>
        <v>Scheme surplus (+ve)/ deficit (-ve) at 31 March 2022</v>
      </c>
      <c r="C25" s="246" t="s">
        <v>317</v>
      </c>
      <c r="D25" s="338">
        <f>D12</f>
        <v>0</v>
      </c>
      <c r="E25" s="242"/>
      <c r="F25" s="242"/>
    </row>
    <row r="26" spans="1:6" outlineLevel="1">
      <c r="A26" s="4"/>
      <c r="B26" s="90" t="s">
        <v>364</v>
      </c>
      <c r="C26" s="246" t="s">
        <v>317</v>
      </c>
      <c r="D26" s="299">
        <v>0</v>
      </c>
      <c r="E26" s="242"/>
      <c r="F26" s="242"/>
    </row>
    <row r="27" spans="1:6" outlineLevel="1">
      <c r="A27" s="4"/>
      <c r="B27" s="90" t="s">
        <v>365</v>
      </c>
      <c r="C27" s="246" t="s">
        <v>317</v>
      </c>
      <c r="D27" s="299">
        <v>0</v>
      </c>
      <c r="E27" s="242"/>
      <c r="F27" s="242"/>
    </row>
    <row r="28" spans="1:6" outlineLevel="1">
      <c r="A28" s="4"/>
      <c r="B28" s="90" t="s">
        <v>366</v>
      </c>
      <c r="C28" s="246" t="s">
        <v>317</v>
      </c>
      <c r="D28" s="299">
        <v>0</v>
      </c>
      <c r="E28" s="242"/>
      <c r="F28" s="242"/>
    </row>
    <row r="29" spans="1:6" outlineLevel="1">
      <c r="A29" s="4"/>
      <c r="B29" s="90" t="s">
        <v>367</v>
      </c>
      <c r="C29" s="246" t="s">
        <v>317</v>
      </c>
      <c r="D29" s="299">
        <v>0</v>
      </c>
      <c r="E29" s="242"/>
      <c r="F29" s="242"/>
    </row>
    <row r="30" spans="1:6" outlineLevel="1">
      <c r="A30" s="4"/>
      <c r="B30" s="90" t="s">
        <v>368</v>
      </c>
      <c r="C30" s="246" t="s">
        <v>317</v>
      </c>
      <c r="D30" s="299">
        <v>0</v>
      </c>
      <c r="E30" s="242"/>
      <c r="F30" s="242"/>
    </row>
    <row r="31" spans="1:6" outlineLevel="1">
      <c r="A31" s="4"/>
      <c r="B31" s="90" t="s">
        <v>369</v>
      </c>
      <c r="C31" s="246" t="s">
        <v>317</v>
      </c>
      <c r="D31" s="299">
        <v>0</v>
      </c>
      <c r="E31" s="242"/>
      <c r="F31" s="242"/>
    </row>
    <row r="32" spans="1:6" outlineLevel="1">
      <c r="A32" s="4"/>
      <c r="B32" s="90" t="s">
        <v>370</v>
      </c>
      <c r="C32" s="246" t="s">
        <v>317</v>
      </c>
      <c r="D32" s="299">
        <v>0</v>
      </c>
      <c r="E32" s="242"/>
      <c r="F32" s="242"/>
    </row>
    <row r="33" spans="1:6" outlineLevel="1">
      <c r="A33" s="4"/>
      <c r="B33" s="90" t="s">
        <v>371</v>
      </c>
      <c r="C33" s="246" t="s">
        <v>317</v>
      </c>
      <c r="D33" s="299">
        <v>0</v>
      </c>
      <c r="E33" s="242"/>
      <c r="F33" s="242"/>
    </row>
    <row r="34" spans="1:6" outlineLevel="1">
      <c r="A34" s="4"/>
      <c r="B34" s="90" t="s">
        <v>372</v>
      </c>
      <c r="C34" s="246" t="s">
        <v>317</v>
      </c>
      <c r="D34" s="299">
        <v>0</v>
      </c>
      <c r="E34" s="242"/>
      <c r="F34" s="242"/>
    </row>
    <row r="35" spans="1:6" outlineLevel="1">
      <c r="A35" s="4"/>
      <c r="B35" s="90" t="s">
        <v>373</v>
      </c>
      <c r="C35" s="246" t="s">
        <v>317</v>
      </c>
      <c r="D35" s="299">
        <v>0</v>
      </c>
      <c r="E35" s="242"/>
      <c r="F35" s="242"/>
    </row>
    <row r="36" spans="1:6" outlineLevel="1">
      <c r="A36" s="4"/>
      <c r="B36" s="300" t="s">
        <v>374</v>
      </c>
      <c r="C36" s="246" t="s">
        <v>317</v>
      </c>
      <c r="D36" s="299">
        <v>0</v>
      </c>
      <c r="E36" s="242"/>
      <c r="F36" s="242"/>
    </row>
    <row r="37" spans="1:6" outlineLevel="1">
      <c r="A37" s="4"/>
      <c r="B37" s="300" t="s">
        <v>374</v>
      </c>
      <c r="C37" s="246" t="s">
        <v>317</v>
      </c>
      <c r="D37" s="299">
        <v>0</v>
      </c>
      <c r="E37" s="242"/>
      <c r="F37" s="242"/>
    </row>
    <row r="38" spans="1:6" outlineLevel="1">
      <c r="A38" s="4"/>
      <c r="B38" s="300" t="s">
        <v>374</v>
      </c>
      <c r="C38" s="246" t="s">
        <v>317</v>
      </c>
      <c r="D38" s="299">
        <v>0</v>
      </c>
      <c r="E38" s="242"/>
      <c r="F38" s="242"/>
    </row>
    <row r="39" spans="1:6" outlineLevel="1">
      <c r="A39" s="4"/>
      <c r="B39" s="300" t="s">
        <v>374</v>
      </c>
      <c r="C39" s="246" t="s">
        <v>317</v>
      </c>
      <c r="D39" s="299">
        <v>0</v>
      </c>
      <c r="E39" s="242"/>
      <c r="F39" s="242"/>
    </row>
    <row r="40" spans="1:6" outlineLevel="1">
      <c r="A40" s="4"/>
      <c r="B40" s="300" t="s">
        <v>374</v>
      </c>
      <c r="C40" s="246" t="s">
        <v>317</v>
      </c>
      <c r="D40" s="299">
        <v>0</v>
      </c>
      <c r="E40" s="242"/>
      <c r="F40" s="242"/>
    </row>
    <row r="41" spans="1:6" outlineLevel="1">
      <c r="A41" s="4"/>
      <c r="B41" s="247" t="str">
        <f>CONCATENATE("Scheme surplus (+ve)/ deficit (-ve) at ",'P1.1 PDAM Licensee provided'!D9)</f>
        <v>Scheme surplus (+ve)/ deficit (-ve) at 31 March 2025</v>
      </c>
      <c r="C41" s="246" t="s">
        <v>317</v>
      </c>
      <c r="D41" s="338">
        <f>SUM(D25:D40)</f>
        <v>0</v>
      </c>
      <c r="E41" s="242"/>
      <c r="F41" s="242"/>
    </row>
    <row r="42" spans="1:6" outlineLevel="1">
      <c r="A42" s="4"/>
      <c r="B42" s="182" t="s">
        <v>375</v>
      </c>
      <c r="D42" s="248" t="str">
        <f>IF(D41-D21&lt;0.1,"OK","ERROR")</f>
        <v>OK</v>
      </c>
      <c r="E42" s="242"/>
      <c r="F42" s="242"/>
    </row>
    <row r="43" spans="1:6">
      <c r="A43" s="4"/>
      <c r="B43" s="247"/>
      <c r="C43" s="246"/>
      <c r="D43" s="246"/>
      <c r="E43" s="246"/>
      <c r="F43" s="242"/>
    </row>
    <row r="44" spans="1:6" ht="15.75" customHeight="1">
      <c r="A44" s="351" t="s">
        <v>376</v>
      </c>
      <c r="B44" s="351"/>
      <c r="C44" s="363"/>
      <c r="D44" s="363"/>
      <c r="E44" s="242"/>
      <c r="F44" s="242"/>
    </row>
    <row r="45" spans="1:6" outlineLevel="1">
      <c r="A45" s="4"/>
      <c r="B45" s="4"/>
      <c r="C45" s="246"/>
      <c r="D45" s="249" t="s">
        <v>377</v>
      </c>
      <c r="E45" s="242"/>
      <c r="F45" s="242"/>
    </row>
    <row r="46" spans="1:6" ht="18.75" customHeight="1" outlineLevel="1">
      <c r="A46" s="250"/>
      <c r="B46" s="251" t="str">
        <f>CONCATENATE("Liabilities at ",+'P1.1 PDAM Licensee provided'!D8)</f>
        <v>Liabilities at 31 March 2022</v>
      </c>
      <c r="C46" s="246" t="s">
        <v>317</v>
      </c>
      <c r="D46" s="338">
        <f>-D11</f>
        <v>0</v>
      </c>
      <c r="E46" s="242"/>
      <c r="F46" s="242"/>
    </row>
    <row r="47" spans="1:6" outlineLevel="1">
      <c r="A47" s="250" t="s">
        <v>378</v>
      </c>
      <c r="B47" s="251" t="s">
        <v>379</v>
      </c>
      <c r="C47" s="246" t="s">
        <v>317</v>
      </c>
      <c r="D47" s="299">
        <v>0</v>
      </c>
      <c r="E47" s="242"/>
      <c r="F47" s="242"/>
    </row>
    <row r="48" spans="1:6" outlineLevel="1">
      <c r="A48" s="250" t="s">
        <v>378</v>
      </c>
      <c r="B48" s="251" t="s">
        <v>380</v>
      </c>
      <c r="C48" s="246" t="s">
        <v>317</v>
      </c>
      <c r="D48" s="299">
        <v>0</v>
      </c>
      <c r="E48" s="242"/>
      <c r="F48" s="242"/>
    </row>
    <row r="49" spans="1:6" outlineLevel="1">
      <c r="A49" s="250" t="s">
        <v>378</v>
      </c>
      <c r="B49" s="17" t="s">
        <v>381</v>
      </c>
      <c r="C49" s="246" t="s">
        <v>317</v>
      </c>
      <c r="D49" s="299">
        <v>0</v>
      </c>
      <c r="E49" s="242"/>
      <c r="F49" s="242"/>
    </row>
    <row r="50" spans="1:6" outlineLevel="1">
      <c r="A50" s="250" t="s">
        <v>382</v>
      </c>
      <c r="B50" s="251" t="s">
        <v>383</v>
      </c>
      <c r="C50" s="246" t="s">
        <v>317</v>
      </c>
      <c r="D50" s="299">
        <v>0</v>
      </c>
      <c r="E50" s="242"/>
      <c r="F50" s="242"/>
    </row>
    <row r="51" spans="1:6" outlineLevel="1">
      <c r="A51" s="250" t="s">
        <v>382</v>
      </c>
      <c r="B51" s="251" t="s">
        <v>384</v>
      </c>
      <c r="C51" s="246" t="s">
        <v>317</v>
      </c>
      <c r="D51" s="299">
        <v>0</v>
      </c>
      <c r="E51" s="242"/>
      <c r="F51" s="242"/>
    </row>
    <row r="52" spans="1:6" outlineLevel="1">
      <c r="A52" s="250" t="s">
        <v>378</v>
      </c>
      <c r="B52" s="17" t="s">
        <v>385</v>
      </c>
      <c r="C52" s="246" t="s">
        <v>317</v>
      </c>
      <c r="D52" s="299">
        <v>0</v>
      </c>
      <c r="E52" s="242"/>
      <c r="F52" s="242"/>
    </row>
    <row r="53" spans="1:6" outlineLevel="1">
      <c r="A53" s="250" t="s">
        <v>382</v>
      </c>
      <c r="B53" s="17" t="s">
        <v>386</v>
      </c>
      <c r="C53" s="246" t="s">
        <v>317</v>
      </c>
      <c r="D53" s="299">
        <v>0</v>
      </c>
      <c r="E53" s="242"/>
      <c r="F53" s="242"/>
    </row>
    <row r="54" spans="1:6" outlineLevel="1">
      <c r="A54" s="250" t="s">
        <v>378</v>
      </c>
      <c r="B54" s="251" t="s">
        <v>387</v>
      </c>
      <c r="C54" s="246" t="s">
        <v>317</v>
      </c>
      <c r="D54" s="299">
        <v>0</v>
      </c>
      <c r="E54" s="242"/>
      <c r="F54" s="242"/>
    </row>
    <row r="55" spans="1:6" outlineLevel="1">
      <c r="A55" s="250" t="s">
        <v>388</v>
      </c>
      <c r="B55" s="251" t="s">
        <v>389</v>
      </c>
      <c r="C55" s="246" t="s">
        <v>317</v>
      </c>
      <c r="D55" s="299">
        <v>0</v>
      </c>
      <c r="E55" s="242"/>
      <c r="F55" s="242"/>
    </row>
    <row r="56" spans="1:6" outlineLevel="1">
      <c r="A56" s="250" t="s">
        <v>388</v>
      </c>
      <c r="B56" s="251" t="s">
        <v>390</v>
      </c>
      <c r="C56" s="246" t="s">
        <v>317</v>
      </c>
      <c r="D56" s="299">
        <v>0</v>
      </c>
      <c r="E56" s="242"/>
      <c r="F56" s="242"/>
    </row>
    <row r="57" spans="1:6" outlineLevel="1">
      <c r="A57" s="250" t="s">
        <v>388</v>
      </c>
      <c r="B57" s="252" t="s">
        <v>391</v>
      </c>
      <c r="C57" s="246" t="s">
        <v>317</v>
      </c>
      <c r="D57" s="299">
        <v>0</v>
      </c>
      <c r="E57" s="242"/>
      <c r="F57" s="242"/>
    </row>
    <row r="58" spans="1:6" outlineLevel="1">
      <c r="A58" s="250" t="s">
        <v>388</v>
      </c>
      <c r="B58" s="252" t="s">
        <v>392</v>
      </c>
      <c r="C58" s="246" t="s">
        <v>317</v>
      </c>
      <c r="D58" s="299">
        <v>0</v>
      </c>
      <c r="E58" s="242"/>
      <c r="F58" s="242"/>
    </row>
    <row r="59" spans="1:6" outlineLevel="1">
      <c r="A59" s="250" t="s">
        <v>388</v>
      </c>
      <c r="B59" s="252" t="s">
        <v>393</v>
      </c>
      <c r="C59" s="246" t="s">
        <v>317</v>
      </c>
      <c r="D59" s="299">
        <v>0</v>
      </c>
      <c r="E59" s="242"/>
      <c r="F59" s="242"/>
    </row>
    <row r="60" spans="1:6" outlineLevel="1">
      <c r="A60" s="250" t="s">
        <v>388</v>
      </c>
      <c r="B60" s="251" t="s">
        <v>394</v>
      </c>
      <c r="C60" s="246" t="s">
        <v>317</v>
      </c>
      <c r="D60" s="299">
        <v>0</v>
      </c>
      <c r="E60" s="242"/>
      <c r="F60" s="242"/>
    </row>
    <row r="61" spans="1:6" outlineLevel="1">
      <c r="A61" s="250" t="s">
        <v>388</v>
      </c>
      <c r="B61" s="300" t="s">
        <v>374</v>
      </c>
      <c r="C61" s="246" t="s">
        <v>317</v>
      </c>
      <c r="D61" s="299">
        <v>0</v>
      </c>
      <c r="E61" s="242"/>
      <c r="F61" s="242"/>
    </row>
    <row r="62" spans="1:6" outlineLevel="1">
      <c r="A62" s="250" t="s">
        <v>388</v>
      </c>
      <c r="B62" s="300" t="s">
        <v>374</v>
      </c>
      <c r="C62" s="246" t="s">
        <v>317</v>
      </c>
      <c r="D62" s="299">
        <v>0</v>
      </c>
      <c r="E62" s="242"/>
      <c r="F62" s="242"/>
    </row>
    <row r="63" spans="1:6" ht="15.75" customHeight="1" outlineLevel="1">
      <c r="A63" s="250" t="s">
        <v>388</v>
      </c>
      <c r="B63" s="300" t="s">
        <v>374</v>
      </c>
      <c r="C63" s="246" t="s">
        <v>317</v>
      </c>
      <c r="D63" s="299">
        <v>0</v>
      </c>
      <c r="E63" s="242"/>
      <c r="F63" s="242"/>
    </row>
    <row r="64" spans="1:6" outlineLevel="1">
      <c r="A64" s="250" t="s">
        <v>388</v>
      </c>
      <c r="B64" s="300" t="s">
        <v>374</v>
      </c>
      <c r="C64" s="246" t="s">
        <v>317</v>
      </c>
      <c r="D64" s="299">
        <v>0</v>
      </c>
      <c r="E64" s="242"/>
      <c r="F64" s="242"/>
    </row>
    <row r="65" spans="1:6" ht="15.75" customHeight="1" outlineLevel="1">
      <c r="A65" s="250" t="s">
        <v>388</v>
      </c>
      <c r="B65" s="300" t="s">
        <v>374</v>
      </c>
      <c r="C65" s="246" t="s">
        <v>317</v>
      </c>
      <c r="D65" s="299">
        <v>0</v>
      </c>
      <c r="E65" s="242"/>
      <c r="F65" s="242"/>
    </row>
    <row r="66" spans="1:6" ht="6.75" customHeight="1" outlineLevel="1">
      <c r="A66" s="4"/>
      <c r="B66" s="16"/>
      <c r="C66" s="246"/>
      <c r="D66" s="242"/>
      <c r="E66" s="242"/>
      <c r="F66" s="242"/>
    </row>
    <row r="67" spans="1:6" outlineLevel="1">
      <c r="A67" s="4"/>
      <c r="B67" s="81" t="str">
        <f>CONCATENATE("Liabilities at ",+'P1.1 PDAM Licensee provided'!D9)</f>
        <v>Liabilities at 31 March 2025</v>
      </c>
      <c r="C67" s="246" t="s">
        <v>317</v>
      </c>
      <c r="D67" s="338">
        <f>SUM(D46:D65)</f>
        <v>0</v>
      </c>
      <c r="E67" s="242"/>
      <c r="F67" s="242"/>
    </row>
    <row r="68" spans="1:6" outlineLevel="1">
      <c r="A68" s="4"/>
      <c r="B68" s="182" t="s">
        <v>375</v>
      </c>
      <c r="C68" s="246"/>
      <c r="D68" s="23" t="str">
        <f>IF(ROUND(D67,1)=ROUND(-D20,1),"OK","ERROR")</f>
        <v>OK</v>
      </c>
      <c r="E68" s="242"/>
      <c r="F68" s="242"/>
    </row>
    <row r="69" spans="1:6">
      <c r="A69" s="4"/>
      <c r="B69" s="253"/>
      <c r="C69" s="246"/>
      <c r="D69" s="242"/>
      <c r="E69" s="242"/>
      <c r="F69" s="242"/>
    </row>
    <row r="70" spans="1:6" ht="27" customHeight="1">
      <c r="A70" s="351" t="s">
        <v>395</v>
      </c>
      <c r="B70" s="351"/>
      <c r="C70" s="363"/>
      <c r="D70" s="363"/>
      <c r="E70" s="242"/>
      <c r="F70" s="242"/>
    </row>
    <row r="71" spans="1:6" ht="15" customHeight="1" outlineLevel="1">
      <c r="A71" s="9"/>
      <c r="B71" s="9"/>
      <c r="C71" s="18"/>
      <c r="D71" s="18"/>
      <c r="E71" s="242"/>
      <c r="F71" s="242"/>
    </row>
    <row r="72" spans="1:6" outlineLevel="1">
      <c r="A72" s="4"/>
      <c r="B72" s="182" t="s">
        <v>396</v>
      </c>
      <c r="C72" s="246"/>
      <c r="D72" s="242"/>
      <c r="E72" s="242"/>
      <c r="F72" s="242"/>
    </row>
    <row r="73" spans="1:6" outlineLevel="1">
      <c r="A73" s="4"/>
      <c r="B73" s="254" t="s">
        <v>397</v>
      </c>
      <c r="C73" s="246" t="s">
        <v>318</v>
      </c>
      <c r="D73" s="301">
        <v>0</v>
      </c>
      <c r="E73" s="242"/>
      <c r="F73" s="242"/>
    </row>
    <row r="74" spans="1:6" outlineLevel="1">
      <c r="A74" s="4"/>
      <c r="B74" s="254" t="s">
        <v>398</v>
      </c>
      <c r="C74" s="246" t="s">
        <v>318</v>
      </c>
      <c r="D74" s="301">
        <v>0</v>
      </c>
      <c r="E74" s="242"/>
      <c r="F74" s="242"/>
    </row>
    <row r="75" spans="1:6" outlineLevel="1">
      <c r="A75" s="4"/>
      <c r="B75" s="254" t="s">
        <v>399</v>
      </c>
      <c r="C75" s="246" t="s">
        <v>318</v>
      </c>
      <c r="D75" s="301">
        <v>0</v>
      </c>
      <c r="E75" s="242"/>
      <c r="F75" s="242"/>
    </row>
    <row r="76" spans="1:6" outlineLevel="1">
      <c r="A76" s="4"/>
      <c r="B76" s="182"/>
      <c r="C76" s="246"/>
      <c r="D76" s="242"/>
      <c r="E76" s="242"/>
      <c r="F76" s="242"/>
    </row>
    <row r="77" spans="1:6" outlineLevel="1">
      <c r="A77" s="4"/>
      <c r="B77" s="243" t="s">
        <v>400</v>
      </c>
      <c r="C77" s="246" t="s">
        <v>317</v>
      </c>
      <c r="D77" s="338">
        <f>(D17*D73)+(D18*D74)+(D19*D75)</f>
        <v>0</v>
      </c>
      <c r="E77" s="242"/>
      <c r="F77" s="242"/>
    </row>
    <row r="78" spans="1:6" outlineLevel="1">
      <c r="A78" s="4"/>
      <c r="B78" s="182"/>
      <c r="C78" s="246"/>
      <c r="D78" s="246"/>
      <c r="E78" s="242"/>
      <c r="F78" s="242"/>
    </row>
    <row r="79" spans="1:6" outlineLevel="1">
      <c r="A79" s="4"/>
      <c r="B79" s="243" t="s">
        <v>401</v>
      </c>
      <c r="C79" s="246" t="s">
        <v>317</v>
      </c>
      <c r="D79" s="338">
        <f>D20-D77</f>
        <v>0</v>
      </c>
      <c r="E79" s="242"/>
      <c r="F79" s="242"/>
    </row>
    <row r="80" spans="1:6" outlineLevel="1">
      <c r="A80" s="182"/>
      <c r="B80" s="182"/>
      <c r="C80" s="246"/>
      <c r="D80" s="242"/>
      <c r="E80" s="242"/>
      <c r="F80" s="242"/>
    </row>
    <row r="81" spans="1:10" ht="27.5" outlineLevel="1">
      <c r="A81" s="182"/>
      <c r="B81" s="255" t="s">
        <v>402</v>
      </c>
      <c r="C81" s="246" t="s">
        <v>317</v>
      </c>
      <c r="D81" s="302">
        <v>0</v>
      </c>
      <c r="E81" s="242"/>
      <c r="F81" s="242"/>
    </row>
    <row r="82" spans="1:10" ht="27.5" outlineLevel="1">
      <c r="A82" s="182"/>
      <c r="B82" s="255" t="s">
        <v>403</v>
      </c>
      <c r="C82" s="246" t="s">
        <v>317</v>
      </c>
      <c r="D82" s="302">
        <v>0</v>
      </c>
      <c r="E82" s="242"/>
      <c r="F82" s="242"/>
    </row>
    <row r="83" spans="1:10" outlineLevel="1">
      <c r="A83" s="182"/>
      <c r="B83" s="255" t="s">
        <v>404</v>
      </c>
      <c r="C83" s="246" t="s">
        <v>317</v>
      </c>
      <c r="D83" s="339">
        <f>D81+D82</f>
        <v>0</v>
      </c>
      <c r="E83" s="242"/>
      <c r="F83" s="242"/>
    </row>
    <row r="84" spans="1:10" outlineLevel="1">
      <c r="A84" s="182"/>
      <c r="B84" s="182" t="s">
        <v>375</v>
      </c>
      <c r="D84" s="23" t="str">
        <f>IF(ROUND(D77,1)=ROUND(D83,1),"OK","ERROR")</f>
        <v>OK</v>
      </c>
      <c r="E84" s="242"/>
      <c r="F84" s="242"/>
    </row>
    <row r="85" spans="1:10">
      <c r="A85" s="182"/>
      <c r="B85" s="182"/>
      <c r="C85" s="246"/>
      <c r="D85" s="242"/>
      <c r="E85" s="242"/>
      <c r="F85" s="242"/>
    </row>
    <row r="86" spans="1:10" ht="30" customHeight="1">
      <c r="A86" s="351" t="s">
        <v>405</v>
      </c>
      <c r="B86" s="351"/>
      <c r="C86" s="363"/>
      <c r="D86" s="363"/>
      <c r="E86" s="242"/>
      <c r="F86" s="242"/>
    </row>
    <row r="87" spans="1:10" outlineLevel="1">
      <c r="A87" s="4"/>
      <c r="B87" s="4"/>
      <c r="C87" s="246"/>
      <c r="D87" s="242"/>
      <c r="E87" s="242"/>
      <c r="F87" s="242"/>
    </row>
    <row r="88" spans="1:10" ht="39" customHeight="1" outlineLevel="1">
      <c r="A88" s="4"/>
      <c r="B88" s="182" t="s">
        <v>406</v>
      </c>
      <c r="C88" s="256" t="s">
        <v>307</v>
      </c>
      <c r="D88" s="257" t="s">
        <v>407</v>
      </c>
      <c r="E88" s="257" t="s">
        <v>408</v>
      </c>
      <c r="F88" s="257" t="s">
        <v>409</v>
      </c>
    </row>
    <row r="89" spans="1:10" outlineLevel="1">
      <c r="A89" s="4"/>
      <c r="B89" s="182"/>
      <c r="C89" s="258" t="s">
        <v>317</v>
      </c>
      <c r="D89" s="258" t="s">
        <v>317</v>
      </c>
      <c r="E89" s="258" t="s">
        <v>317</v>
      </c>
      <c r="F89" s="259"/>
    </row>
    <row r="90" spans="1:10" s="5" customFormat="1" ht="30" customHeight="1" outlineLevel="1">
      <c r="A90" s="260"/>
      <c r="B90" s="261" t="str">
        <f>CONCATENATE("'a. assets attributable to post cut off date pensionable service at previous Valuation - ",'P1.1 PDAM Licensee provided'!D8,"")</f>
        <v>'a. assets attributable to post cut off date pensionable service at previous Valuation - 31 March 2022</v>
      </c>
      <c r="C90" s="304">
        <v>0</v>
      </c>
      <c r="D90" s="304">
        <v>0</v>
      </c>
      <c r="E90" s="340">
        <f>C90-D90</f>
        <v>0</v>
      </c>
      <c r="F90" s="303"/>
      <c r="G90"/>
      <c r="H90"/>
      <c r="I90"/>
      <c r="J90"/>
    </row>
    <row r="91" spans="1:10" s="5" customFormat="1" ht="30" customHeight="1" outlineLevel="1">
      <c r="A91" s="250" t="s">
        <v>378</v>
      </c>
      <c r="B91" s="138" t="s">
        <v>410</v>
      </c>
      <c r="C91" s="304">
        <v>0</v>
      </c>
      <c r="D91" s="304">
        <v>0</v>
      </c>
      <c r="E91" s="340">
        <f t="shared" ref="E91:E104" si="0">C91-D91</f>
        <v>0</v>
      </c>
      <c r="F91" s="303"/>
      <c r="G91"/>
      <c r="H91"/>
      <c r="I91"/>
      <c r="J91"/>
    </row>
    <row r="92" spans="1:10" s="5" customFormat="1" ht="54" outlineLevel="1">
      <c r="A92" s="250" t="s">
        <v>378</v>
      </c>
      <c r="B92" s="138" t="s">
        <v>411</v>
      </c>
      <c r="C92" s="304">
        <v>0</v>
      </c>
      <c r="D92" s="304">
        <v>0</v>
      </c>
      <c r="E92" s="340">
        <f t="shared" si="0"/>
        <v>0</v>
      </c>
      <c r="F92" s="303"/>
      <c r="G92"/>
      <c r="H92"/>
      <c r="I92"/>
      <c r="J92"/>
    </row>
    <row r="93" spans="1:10" s="5" customFormat="1" ht="30" customHeight="1" outlineLevel="1">
      <c r="A93" s="250" t="s">
        <v>378</v>
      </c>
      <c r="B93" s="261" t="s">
        <v>412</v>
      </c>
      <c r="C93" s="304">
        <v>0</v>
      </c>
      <c r="D93" s="304">
        <v>0</v>
      </c>
      <c r="E93" s="340">
        <f t="shared" si="0"/>
        <v>0</v>
      </c>
      <c r="F93" s="303"/>
      <c r="G93"/>
      <c r="H93"/>
      <c r="I93"/>
      <c r="J93"/>
    </row>
    <row r="94" spans="1:10" s="5" customFormat="1" ht="30" customHeight="1" outlineLevel="1">
      <c r="A94" s="250" t="s">
        <v>378</v>
      </c>
      <c r="B94" s="261" t="s">
        <v>413</v>
      </c>
      <c r="C94" s="304">
        <v>0</v>
      </c>
      <c r="D94" s="304">
        <v>0</v>
      </c>
      <c r="E94" s="340">
        <f t="shared" si="0"/>
        <v>0</v>
      </c>
      <c r="F94" s="303"/>
      <c r="G94"/>
      <c r="H94"/>
      <c r="I94"/>
      <c r="J94"/>
    </row>
    <row r="95" spans="1:10" s="5" customFormat="1" ht="39.75" customHeight="1" outlineLevel="1">
      <c r="A95" s="250" t="s">
        <v>378</v>
      </c>
      <c r="B95" s="262" t="s">
        <v>414</v>
      </c>
      <c r="C95" s="304">
        <v>0</v>
      </c>
      <c r="D95" s="304">
        <v>0</v>
      </c>
      <c r="E95" s="340">
        <f t="shared" si="0"/>
        <v>0</v>
      </c>
      <c r="F95" s="303"/>
      <c r="G95"/>
      <c r="H95"/>
      <c r="I95"/>
      <c r="J95"/>
    </row>
    <row r="96" spans="1:10" ht="27.5" outlineLevel="1">
      <c r="A96" s="250" t="s">
        <v>378</v>
      </c>
      <c r="B96" s="262" t="s">
        <v>415</v>
      </c>
      <c r="C96" s="304">
        <v>0</v>
      </c>
      <c r="D96" s="304">
        <v>0</v>
      </c>
      <c r="E96" s="340">
        <f t="shared" si="0"/>
        <v>0</v>
      </c>
      <c r="F96" s="303"/>
    </row>
    <row r="97" spans="1:6" ht="26.25" customHeight="1" outlineLevel="1">
      <c r="A97" s="250" t="s">
        <v>378</v>
      </c>
      <c r="B97" s="136" t="s">
        <v>416</v>
      </c>
      <c r="C97" s="304">
        <v>0</v>
      </c>
      <c r="D97" s="304">
        <v>0</v>
      </c>
      <c r="E97" s="340">
        <f t="shared" si="0"/>
        <v>0</v>
      </c>
      <c r="F97" s="303"/>
    </row>
    <row r="98" spans="1:6" ht="27.5" outlineLevel="1">
      <c r="A98" s="250" t="s">
        <v>378</v>
      </c>
      <c r="B98" s="262" t="s">
        <v>417</v>
      </c>
      <c r="C98" s="304">
        <v>0</v>
      </c>
      <c r="D98" s="304">
        <v>0</v>
      </c>
      <c r="E98" s="340">
        <f t="shared" si="0"/>
        <v>0</v>
      </c>
      <c r="F98" s="303"/>
    </row>
    <row r="99" spans="1:6" ht="27.5" outlineLevel="1">
      <c r="A99" s="250" t="s">
        <v>378</v>
      </c>
      <c r="B99" s="262" t="s">
        <v>418</v>
      </c>
      <c r="C99" s="304">
        <v>0</v>
      </c>
      <c r="D99" s="304">
        <v>0</v>
      </c>
      <c r="E99" s="340">
        <f t="shared" si="0"/>
        <v>0</v>
      </c>
      <c r="F99" s="303"/>
    </row>
    <row r="100" spans="1:6" ht="27" outlineLevel="1">
      <c r="A100" s="250" t="s">
        <v>382</v>
      </c>
      <c r="B100" s="263" t="s">
        <v>419</v>
      </c>
      <c r="C100" s="304">
        <v>0</v>
      </c>
      <c r="D100" s="304">
        <v>0</v>
      </c>
      <c r="E100" s="340">
        <f t="shared" si="0"/>
        <v>0</v>
      </c>
      <c r="F100" s="303"/>
    </row>
    <row r="101" spans="1:6" ht="27.5" outlineLevel="1">
      <c r="A101" s="250" t="s">
        <v>382</v>
      </c>
      <c r="B101" s="262" t="s">
        <v>420</v>
      </c>
      <c r="C101" s="304">
        <v>0</v>
      </c>
      <c r="D101" s="304">
        <v>0</v>
      </c>
      <c r="E101" s="340">
        <f t="shared" si="0"/>
        <v>0</v>
      </c>
      <c r="F101" s="303"/>
    </row>
    <row r="102" spans="1:6" ht="27.5" outlineLevel="1">
      <c r="A102" s="250" t="s">
        <v>382</v>
      </c>
      <c r="B102" s="262" t="s">
        <v>421</v>
      </c>
      <c r="C102" s="304">
        <v>0</v>
      </c>
      <c r="D102" s="304">
        <v>0</v>
      </c>
      <c r="E102" s="340">
        <f t="shared" si="0"/>
        <v>0</v>
      </c>
      <c r="F102" s="303"/>
    </row>
    <row r="103" spans="1:6" ht="27.5" outlineLevel="1">
      <c r="A103" s="250" t="s">
        <v>382</v>
      </c>
      <c r="B103" s="262" t="s">
        <v>422</v>
      </c>
      <c r="C103" s="304">
        <v>0</v>
      </c>
      <c r="D103" s="304">
        <v>0</v>
      </c>
      <c r="E103" s="340">
        <f t="shared" si="0"/>
        <v>0</v>
      </c>
      <c r="F103" s="303"/>
    </row>
    <row r="104" spans="1:6" ht="41" outlineLevel="1">
      <c r="A104" s="250" t="s">
        <v>378</v>
      </c>
      <c r="B104" s="262" t="s">
        <v>423</v>
      </c>
      <c r="C104" s="304">
        <v>0</v>
      </c>
      <c r="D104" s="304">
        <v>0</v>
      </c>
      <c r="E104" s="340">
        <f t="shared" si="0"/>
        <v>0</v>
      </c>
      <c r="F104" s="303"/>
    </row>
    <row r="105" spans="1:6" outlineLevel="1">
      <c r="A105" s="264" t="s">
        <v>424</v>
      </c>
      <c r="B105" s="255" t="str">
        <f>CONCATENATE("Assets attributable to pre / post cut-off date notional sub fund at ",'P1.1 PDAM Licensee provided'!D9,"")</f>
        <v>Assets attributable to pre / post cut-off date notional sub fund at 31 March 2025</v>
      </c>
      <c r="C105" s="339">
        <f>SUM(C90:C104)</f>
        <v>0</v>
      </c>
      <c r="D105" s="339">
        <f>SUM(D90:D104)</f>
        <v>0</v>
      </c>
      <c r="E105" s="339">
        <f>SUM(E90:E104)</f>
        <v>0</v>
      </c>
      <c r="F105" s="242"/>
    </row>
    <row r="106" spans="1:6" outlineLevel="1">
      <c r="A106" s="182"/>
      <c r="B106" s="182"/>
      <c r="C106" s="214"/>
      <c r="D106" s="1"/>
      <c r="E106" s="242"/>
      <c r="F106" s="242"/>
    </row>
    <row r="107" spans="1:6" ht="30" customHeight="1">
      <c r="A107" s="351" t="s">
        <v>425</v>
      </c>
      <c r="B107" s="351"/>
      <c r="C107" s="363"/>
      <c r="D107" s="363"/>
      <c r="E107" s="242"/>
      <c r="F107" s="242"/>
    </row>
    <row r="108" spans="1:6" outlineLevel="1">
      <c r="A108" s="4"/>
      <c r="B108" s="4"/>
      <c r="C108" s="246"/>
      <c r="D108" s="242"/>
      <c r="E108" s="242"/>
      <c r="F108" s="242"/>
    </row>
    <row r="109" spans="1:6" outlineLevel="1">
      <c r="A109" s="4"/>
      <c r="B109" s="227" t="s">
        <v>426</v>
      </c>
      <c r="C109" s="246" t="s">
        <v>317</v>
      </c>
      <c r="D109" s="338">
        <f>D79+E105</f>
        <v>0</v>
      </c>
      <c r="E109" s="242"/>
      <c r="F109" s="242"/>
    </row>
    <row r="110" spans="1:6" outlineLevel="1">
      <c r="A110" s="4"/>
      <c r="B110" s="4"/>
      <c r="C110" s="246"/>
      <c r="D110" s="242"/>
      <c r="E110" s="242"/>
      <c r="F110" s="242"/>
    </row>
    <row r="111" spans="1:6" outlineLevel="1">
      <c r="A111" s="4"/>
      <c r="B111" s="227" t="s">
        <v>427</v>
      </c>
      <c r="C111" s="246" t="s">
        <v>317</v>
      </c>
      <c r="D111" s="338">
        <f>D77+D105</f>
        <v>0</v>
      </c>
      <c r="E111" s="242"/>
      <c r="F111" s="242"/>
    </row>
    <row r="112" spans="1:6" outlineLevel="1">
      <c r="A112" s="4"/>
      <c r="B112" s="4"/>
      <c r="C112" s="246"/>
      <c r="D112" s="242"/>
      <c r="E112" s="242"/>
      <c r="F112" s="242"/>
    </row>
    <row r="162" spans="2:2">
      <c r="B162" s="197"/>
    </row>
    <row r="163" spans="2:2">
      <c r="B163" s="197"/>
    </row>
  </sheetData>
  <mergeCells count="6">
    <mergeCell ref="A107:D107"/>
    <mergeCell ref="D6:F6"/>
    <mergeCell ref="A23:D23"/>
    <mergeCell ref="A44:D44"/>
    <mergeCell ref="A70:D70"/>
    <mergeCell ref="A86:D86"/>
  </mergeCells>
  <pageMargins left="0.70866141732283472" right="0.70866141732283472" top="0.74803149606299213" bottom="0.74803149606299213" header="0.31496062992125984" footer="0.31496062992125984"/>
  <pageSetup paperSize="8" scale="47" orientation="portrait" r:id="rId1"/>
  <headerFooter>
    <oddFooter>&amp;C_x000D_&amp;1#&amp;"Calibri"&amp;10&amp;K000000 OFFICIAL-InternalOnly</oddFooter>
  </headerFooter>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499984740745262"/>
  </sheetPr>
  <dimension ref="A1:AB97"/>
  <sheetViews>
    <sheetView showGridLines="0" showZeros="0" workbookViewId="0">
      <pane xSplit="3" ySplit="14" topLeftCell="T65" activePane="bottomRight" state="frozenSplit"/>
      <selection pane="topRight" activeCell="C36" sqref="C36"/>
      <selection pane="bottomLeft" activeCell="C36" sqref="C36"/>
      <selection pane="bottomRight" activeCell="AB77" sqref="AB77"/>
    </sheetView>
  </sheetViews>
  <sheetFormatPr defaultRowHeight="14.5"/>
  <cols>
    <col min="1" max="1" width="10" customWidth="1"/>
    <col min="2" max="2" width="29.81640625" customWidth="1"/>
    <col min="3" max="3" width="22" customWidth="1"/>
    <col min="4" max="11" width="9.1796875" bestFit="1" customWidth="1"/>
    <col min="28" max="28" width="49.1796875" customWidth="1"/>
  </cols>
  <sheetData>
    <row r="1" spans="1:27" s="120" customFormat="1" ht="20">
      <c r="A1" s="79" t="s">
        <v>591</v>
      </c>
      <c r="B1" s="79"/>
      <c r="C1" s="74"/>
      <c r="D1" s="137" t="s">
        <v>429</v>
      </c>
      <c r="E1" s="74"/>
      <c r="F1" s="74"/>
      <c r="G1" s="74"/>
      <c r="H1" s="74"/>
      <c r="I1" s="74"/>
      <c r="J1" s="74"/>
      <c r="K1" s="74"/>
      <c r="L1" s="74"/>
      <c r="M1" s="74"/>
      <c r="N1" s="74"/>
      <c r="O1" s="74"/>
      <c r="P1" s="74"/>
      <c r="Q1" s="74"/>
      <c r="R1" s="74"/>
      <c r="S1" s="74"/>
      <c r="T1" s="33"/>
      <c r="U1" s="33"/>
      <c r="V1" s="33"/>
      <c r="W1" s="33"/>
      <c r="X1" s="33"/>
      <c r="Y1" s="33"/>
      <c r="Z1" s="33"/>
      <c r="AA1" s="33"/>
    </row>
    <row r="2" spans="1:27" s="120" customFormat="1" ht="20">
      <c r="A2" s="79" t="str">
        <f>+'Pension Pack cover'!D15</f>
        <v>Licensee 2</v>
      </c>
      <c r="B2" s="79"/>
      <c r="C2" s="74"/>
      <c r="D2" s="137" t="s">
        <v>430</v>
      </c>
      <c r="E2" s="74"/>
      <c r="F2" s="74"/>
      <c r="G2" s="74"/>
      <c r="H2" s="74"/>
      <c r="I2" s="74"/>
      <c r="J2" s="74"/>
      <c r="K2" s="74"/>
      <c r="L2" s="74"/>
      <c r="M2" s="74"/>
      <c r="N2" s="74"/>
      <c r="O2" s="74"/>
      <c r="P2" s="74"/>
      <c r="Q2" s="74"/>
      <c r="R2" s="74"/>
      <c r="S2" s="74"/>
      <c r="T2" s="33"/>
      <c r="U2" s="33"/>
      <c r="V2" s="33"/>
      <c r="W2" s="33"/>
      <c r="X2" s="33"/>
      <c r="Y2" s="33"/>
      <c r="Z2" s="33"/>
      <c r="AA2" s="33"/>
    </row>
    <row r="3" spans="1:27" s="120" customFormat="1" ht="20">
      <c r="A3" s="79">
        <f>+'Pension Pack cover'!D24</f>
        <v>2026</v>
      </c>
      <c r="B3" s="135"/>
      <c r="C3" s="74"/>
      <c r="D3" s="137" t="s">
        <v>431</v>
      </c>
      <c r="E3" s="74"/>
      <c r="F3" s="74"/>
      <c r="G3" s="74"/>
      <c r="H3" s="74"/>
      <c r="I3" s="74"/>
      <c r="J3" s="74"/>
      <c r="K3" s="74"/>
      <c r="L3" s="74"/>
      <c r="M3" s="74"/>
      <c r="N3" s="74"/>
      <c r="O3" s="74"/>
      <c r="P3" s="74"/>
      <c r="Q3" s="74"/>
      <c r="R3" s="74"/>
      <c r="S3" s="74"/>
      <c r="T3" s="33"/>
      <c r="U3" s="33"/>
      <c r="V3" s="33"/>
      <c r="W3" s="33"/>
      <c r="X3" s="33"/>
      <c r="Y3" s="33"/>
      <c r="Z3" s="33"/>
      <c r="AA3" s="33"/>
    </row>
    <row r="4" spans="1:27">
      <c r="S4" s="33"/>
      <c r="T4" s="33"/>
      <c r="U4" s="33"/>
      <c r="V4" s="33"/>
      <c r="W4" s="33"/>
      <c r="X4" s="33"/>
      <c r="Y4" s="33"/>
      <c r="Z4" s="33"/>
      <c r="AA4" s="33"/>
    </row>
    <row r="5" spans="1:27" ht="16.5" customHeight="1">
      <c r="B5" t="s">
        <v>432</v>
      </c>
      <c r="S5" s="33"/>
      <c r="T5" s="33"/>
      <c r="U5" s="33"/>
      <c r="V5" s="33"/>
      <c r="W5" s="33"/>
      <c r="X5" s="33"/>
      <c r="Y5" s="33"/>
      <c r="Z5" s="33"/>
      <c r="AA5" s="33"/>
    </row>
    <row r="6" spans="1:27" ht="16.5" customHeight="1">
      <c r="B6" t="s">
        <v>433</v>
      </c>
      <c r="T6" s="33"/>
      <c r="U6" s="33"/>
      <c r="V6" s="33"/>
      <c r="W6" s="33"/>
      <c r="X6" s="33"/>
      <c r="Y6" s="33"/>
      <c r="Z6" s="33"/>
      <c r="AA6" s="33"/>
    </row>
    <row r="7" spans="1:27">
      <c r="T7" s="33"/>
      <c r="U7" s="33"/>
      <c r="V7" s="33"/>
      <c r="W7" s="33"/>
      <c r="X7" s="33"/>
      <c r="Y7" s="33"/>
      <c r="Z7" s="33"/>
      <c r="AA7" s="33"/>
    </row>
    <row r="8" spans="1:27">
      <c r="B8" t="s">
        <v>434</v>
      </c>
      <c r="D8">
        <v>1</v>
      </c>
      <c r="E8">
        <v>2</v>
      </c>
      <c r="F8">
        <v>3</v>
      </c>
      <c r="G8">
        <v>4</v>
      </c>
      <c r="H8">
        <v>5</v>
      </c>
      <c r="I8">
        <v>6</v>
      </c>
      <c r="J8">
        <v>7</v>
      </c>
      <c r="K8">
        <v>8</v>
      </c>
      <c r="L8">
        <v>9</v>
      </c>
      <c r="M8">
        <v>10</v>
      </c>
      <c r="N8">
        <v>11</v>
      </c>
      <c r="O8">
        <v>12</v>
      </c>
      <c r="P8">
        <v>13</v>
      </c>
      <c r="Q8">
        <v>14</v>
      </c>
      <c r="R8">
        <v>15</v>
      </c>
      <c r="S8">
        <v>16</v>
      </c>
      <c r="T8">
        <v>17</v>
      </c>
      <c r="U8">
        <v>18</v>
      </c>
      <c r="V8">
        <v>19</v>
      </c>
      <c r="W8">
        <v>20</v>
      </c>
      <c r="X8">
        <v>21</v>
      </c>
      <c r="Y8">
        <v>22</v>
      </c>
      <c r="Z8">
        <v>23</v>
      </c>
      <c r="AA8">
        <v>24</v>
      </c>
    </row>
    <row r="9" spans="1:27">
      <c r="B9" t="s">
        <v>435</v>
      </c>
      <c r="D9">
        <f t="shared" ref="D9:U9" si="0">pco1_num+D8-1</f>
        <v>2</v>
      </c>
      <c r="E9">
        <f t="shared" si="0"/>
        <v>3</v>
      </c>
      <c r="F9">
        <f t="shared" si="0"/>
        <v>4</v>
      </c>
      <c r="G9">
        <f t="shared" si="0"/>
        <v>5</v>
      </c>
      <c r="H9">
        <f t="shared" si="0"/>
        <v>6</v>
      </c>
      <c r="I9">
        <f t="shared" si="0"/>
        <v>7</v>
      </c>
      <c r="J9">
        <f t="shared" si="0"/>
        <v>8</v>
      </c>
      <c r="K9">
        <f t="shared" si="0"/>
        <v>9</v>
      </c>
      <c r="L9">
        <f t="shared" si="0"/>
        <v>10</v>
      </c>
      <c r="M9">
        <f t="shared" si="0"/>
        <v>11</v>
      </c>
      <c r="N9">
        <f t="shared" si="0"/>
        <v>12</v>
      </c>
      <c r="O9">
        <f t="shared" si="0"/>
        <v>13</v>
      </c>
      <c r="P9">
        <f t="shared" si="0"/>
        <v>14</v>
      </c>
      <c r="Q9">
        <f t="shared" si="0"/>
        <v>15</v>
      </c>
      <c r="R9">
        <f t="shared" si="0"/>
        <v>16</v>
      </c>
      <c r="S9">
        <f t="shared" si="0"/>
        <v>17</v>
      </c>
      <c r="T9">
        <f t="shared" si="0"/>
        <v>18</v>
      </c>
      <c r="U9">
        <f t="shared" si="0"/>
        <v>19</v>
      </c>
      <c r="V9">
        <f t="shared" ref="V9" si="1">pco1_num+V8-1</f>
        <v>20</v>
      </c>
      <c r="W9">
        <f t="shared" ref="W9" si="2">pco1_num+W8-1</f>
        <v>21</v>
      </c>
      <c r="X9">
        <f t="shared" ref="X9" si="3">pco1_num+X8-1</f>
        <v>22</v>
      </c>
      <c r="Y9">
        <f t="shared" ref="Y9" si="4">pco1_num+Y8-1</f>
        <v>23</v>
      </c>
      <c r="Z9">
        <f t="shared" ref="Z9" si="5">pco1_num+Z8-1</f>
        <v>24</v>
      </c>
      <c r="AA9">
        <f t="shared" ref="AA9" si="6">pco1_num+AA8-1</f>
        <v>25</v>
      </c>
    </row>
    <row r="10" spans="1:27" ht="16">
      <c r="D10" s="119" t="str">
        <f t="shared" ref="D10:U10" si="7">INDEX(yearQ,D9)</f>
        <v>2010-11</v>
      </c>
      <c r="E10" s="119" t="str">
        <f t="shared" si="7"/>
        <v>2011-12</v>
      </c>
      <c r="F10" s="119" t="str">
        <f t="shared" si="7"/>
        <v>2012-13</v>
      </c>
      <c r="G10" s="119" t="str">
        <f t="shared" si="7"/>
        <v>2013-14</v>
      </c>
      <c r="H10" s="119" t="str">
        <f t="shared" si="7"/>
        <v>2014-15</v>
      </c>
      <c r="I10" s="119" t="str">
        <f t="shared" si="7"/>
        <v>2015-16</v>
      </c>
      <c r="J10" s="119" t="str">
        <f t="shared" si="7"/>
        <v>2016-17</v>
      </c>
      <c r="K10" s="119" t="str">
        <f t="shared" si="7"/>
        <v>2017-18</v>
      </c>
      <c r="L10" s="119" t="str">
        <f t="shared" si="7"/>
        <v>2018-19</v>
      </c>
      <c r="M10" s="119" t="str">
        <f t="shared" si="7"/>
        <v>2019-20</v>
      </c>
      <c r="N10" s="119" t="str">
        <f t="shared" si="7"/>
        <v>2020-21</v>
      </c>
      <c r="O10" s="119" t="str">
        <f t="shared" si="7"/>
        <v>2021-22</v>
      </c>
      <c r="P10" s="119" t="str">
        <f t="shared" si="7"/>
        <v>2022-23</v>
      </c>
      <c r="Q10" s="119" t="str">
        <f t="shared" si="7"/>
        <v>2023-24</v>
      </c>
      <c r="R10" s="119" t="str">
        <f t="shared" si="7"/>
        <v>2024-25</v>
      </c>
      <c r="S10" s="119" t="str">
        <f t="shared" si="7"/>
        <v>2025-26</v>
      </c>
      <c r="T10" s="119" t="str">
        <f t="shared" si="7"/>
        <v>2026-27</v>
      </c>
      <c r="U10" s="119" t="str">
        <f t="shared" si="7"/>
        <v>2027-28</v>
      </c>
      <c r="V10" s="119" t="str">
        <f t="shared" ref="V10" si="8">INDEX(yearQ,V9)</f>
        <v>2028-29</v>
      </c>
      <c r="W10" s="119" t="str">
        <f t="shared" ref="W10" si="9">INDEX(yearQ,W9)</f>
        <v>2029-30</v>
      </c>
      <c r="X10" s="119" t="str">
        <f t="shared" ref="X10" si="10">INDEX(yearQ,X9)</f>
        <v>2030-31</v>
      </c>
      <c r="Y10" s="119" t="str">
        <f t="shared" ref="Y10" si="11">INDEX(yearQ,Y9)</f>
        <v>2031-32</v>
      </c>
      <c r="Z10" s="119" t="str">
        <f t="shared" ref="Z10" si="12">INDEX(yearQ,Z9)</f>
        <v>2032-33</v>
      </c>
      <c r="AA10" s="119" t="str">
        <f t="shared" ref="AA10" si="13">INDEX(yearQ,AA9)</f>
        <v>2033-34</v>
      </c>
    </row>
    <row r="11" spans="1:27">
      <c r="B11" t="s">
        <v>436</v>
      </c>
      <c r="D11" s="164" t="str">
        <f t="shared" ref="D11:U11" si="14">IF(D9=rr_num,1,"")</f>
        <v/>
      </c>
      <c r="E11" s="164" t="str">
        <f t="shared" si="14"/>
        <v/>
      </c>
      <c r="F11" s="164" t="str">
        <f t="shared" si="14"/>
        <v/>
      </c>
      <c r="G11" s="164" t="str">
        <f t="shared" si="14"/>
        <v/>
      </c>
      <c r="H11" s="164" t="str">
        <f t="shared" si="14"/>
        <v/>
      </c>
      <c r="I11" s="164" t="str">
        <f t="shared" si="14"/>
        <v/>
      </c>
      <c r="J11" s="164" t="str">
        <f t="shared" si="14"/>
        <v/>
      </c>
      <c r="K11" s="164" t="str">
        <f t="shared" si="14"/>
        <v/>
      </c>
      <c r="L11" s="164" t="str">
        <f t="shared" si="14"/>
        <v/>
      </c>
      <c r="M11" s="164" t="str">
        <f t="shared" si="14"/>
        <v/>
      </c>
      <c r="N11" s="164" t="str">
        <f t="shared" si="14"/>
        <v/>
      </c>
      <c r="O11" s="164" t="str">
        <f t="shared" si="14"/>
        <v/>
      </c>
      <c r="P11" s="164" t="str">
        <f t="shared" si="14"/>
        <v/>
      </c>
      <c r="Q11" s="164" t="str">
        <f t="shared" si="14"/>
        <v/>
      </c>
      <c r="R11" s="164" t="str">
        <f t="shared" si="14"/>
        <v/>
      </c>
      <c r="S11" s="164" t="str">
        <f t="shared" si="14"/>
        <v/>
      </c>
      <c r="T11" s="164">
        <f t="shared" si="14"/>
        <v>1</v>
      </c>
      <c r="U11" s="164" t="str">
        <f t="shared" si="14"/>
        <v/>
      </c>
      <c r="V11" s="164" t="str">
        <f t="shared" ref="V11" si="15">IF(V9=rr_num,1,"")</f>
        <v/>
      </c>
      <c r="W11" s="164" t="str">
        <f t="shared" ref="W11" si="16">IF(W9=rr_num,1,"")</f>
        <v/>
      </c>
      <c r="X11" s="164" t="str">
        <f t="shared" ref="X11" si="17">IF(X9=rr_num,1,"")</f>
        <v/>
      </c>
      <c r="Y11" s="164" t="str">
        <f t="shared" ref="Y11" si="18">IF(Y9=rr_num,1,"")</f>
        <v/>
      </c>
      <c r="Z11" s="164" t="str">
        <f t="shared" ref="Z11" si="19">IF(Z9=rr_num,1,"")</f>
        <v/>
      </c>
      <c r="AA11" s="164" t="str">
        <f t="shared" ref="AA11" si="20">IF(AA9=rr_num,1,"")</f>
        <v/>
      </c>
    </row>
    <row r="12" spans="1:27">
      <c r="B12" t="s">
        <v>437</v>
      </c>
      <c r="D12" s="164">
        <f t="shared" ref="D12:U12" si="21">IF(D9&lt;=rr_num-2,1,0)</f>
        <v>1</v>
      </c>
      <c r="E12" s="164">
        <f t="shared" si="21"/>
        <v>1</v>
      </c>
      <c r="F12" s="164">
        <f t="shared" si="21"/>
        <v>1</v>
      </c>
      <c r="G12" s="164">
        <f t="shared" si="21"/>
        <v>1</v>
      </c>
      <c r="H12" s="164">
        <f t="shared" si="21"/>
        <v>1</v>
      </c>
      <c r="I12" s="164">
        <f t="shared" si="21"/>
        <v>1</v>
      </c>
      <c r="J12" s="164">
        <f t="shared" si="21"/>
        <v>1</v>
      </c>
      <c r="K12" s="164">
        <f t="shared" si="21"/>
        <v>1</v>
      </c>
      <c r="L12" s="164">
        <f t="shared" si="21"/>
        <v>1</v>
      </c>
      <c r="M12" s="164">
        <f t="shared" si="21"/>
        <v>1</v>
      </c>
      <c r="N12" s="164">
        <f t="shared" si="21"/>
        <v>1</v>
      </c>
      <c r="O12" s="164">
        <f t="shared" si="21"/>
        <v>1</v>
      </c>
      <c r="P12" s="164">
        <f t="shared" si="21"/>
        <v>1</v>
      </c>
      <c r="Q12" s="164">
        <f t="shared" si="21"/>
        <v>1</v>
      </c>
      <c r="R12" s="164">
        <f t="shared" si="21"/>
        <v>1</v>
      </c>
      <c r="S12" s="164">
        <f t="shared" si="21"/>
        <v>0</v>
      </c>
      <c r="T12" s="164">
        <f t="shared" si="21"/>
        <v>0</v>
      </c>
      <c r="U12" s="164">
        <f t="shared" si="21"/>
        <v>0</v>
      </c>
      <c r="V12" s="164">
        <f t="shared" ref="V12" si="22">IF(V9&lt;=rr_num-2,1,0)</f>
        <v>0</v>
      </c>
      <c r="W12" s="164">
        <f t="shared" ref="W12" si="23">IF(W9&lt;=rr_num-2,1,0)</f>
        <v>0</v>
      </c>
      <c r="X12" s="164">
        <f t="shared" ref="X12" si="24">IF(X9&lt;=rr_num-2,1,0)</f>
        <v>0</v>
      </c>
      <c r="Y12" s="164">
        <f t="shared" ref="Y12" si="25">IF(Y9&lt;=rr_num-2,1,0)</f>
        <v>0</v>
      </c>
      <c r="Z12" s="164">
        <f t="shared" ref="Z12" si="26">IF(Z9&lt;=rr_num-2,1,0)</f>
        <v>0</v>
      </c>
      <c r="AA12" s="164">
        <f t="shared" ref="AA12" si="27">IF(AA9&lt;=rr_num-2,1,0)</f>
        <v>0</v>
      </c>
    </row>
    <row r="13" spans="1:27">
      <c r="B13" t="s">
        <v>438</v>
      </c>
      <c r="D13" s="164">
        <f t="shared" ref="D13:U13" si="28">IF(OR(D9=rr_num,D9=rr_num-1),1,0)</f>
        <v>0</v>
      </c>
      <c r="E13" s="164">
        <f t="shared" si="28"/>
        <v>0</v>
      </c>
      <c r="F13" s="164">
        <f t="shared" si="28"/>
        <v>0</v>
      </c>
      <c r="G13" s="164">
        <f t="shared" si="28"/>
        <v>0</v>
      </c>
      <c r="H13" s="164">
        <f t="shared" si="28"/>
        <v>0</v>
      </c>
      <c r="I13" s="164">
        <f t="shared" si="28"/>
        <v>0</v>
      </c>
      <c r="J13" s="164">
        <f t="shared" si="28"/>
        <v>0</v>
      </c>
      <c r="K13" s="164">
        <f t="shared" si="28"/>
        <v>0</v>
      </c>
      <c r="L13" s="164">
        <f t="shared" si="28"/>
        <v>0</v>
      </c>
      <c r="M13" s="164">
        <f t="shared" si="28"/>
        <v>0</v>
      </c>
      <c r="N13" s="164">
        <f t="shared" si="28"/>
        <v>0</v>
      </c>
      <c r="O13" s="164">
        <f t="shared" si="28"/>
        <v>0</v>
      </c>
      <c r="P13" s="164">
        <f t="shared" si="28"/>
        <v>0</v>
      </c>
      <c r="Q13" s="164">
        <f t="shared" si="28"/>
        <v>0</v>
      </c>
      <c r="R13" s="164">
        <f t="shared" si="28"/>
        <v>0</v>
      </c>
      <c r="S13" s="164">
        <f t="shared" si="28"/>
        <v>1</v>
      </c>
      <c r="T13" s="164">
        <f t="shared" si="28"/>
        <v>1</v>
      </c>
      <c r="U13" s="164">
        <f t="shared" si="28"/>
        <v>0</v>
      </c>
      <c r="V13" s="164">
        <f t="shared" ref="V13" si="29">IF(OR(V9=rr_num,V9=rr_num-1),1,0)</f>
        <v>0</v>
      </c>
      <c r="W13" s="164">
        <f t="shared" ref="W13" si="30">IF(OR(W9=rr_num,W9=rr_num-1),1,0)</f>
        <v>0</v>
      </c>
      <c r="X13" s="164">
        <f t="shared" ref="X13" si="31">IF(OR(X9=rr_num,X9=rr_num-1),1,0)</f>
        <v>0</v>
      </c>
      <c r="Y13" s="164">
        <f t="shared" ref="Y13" si="32">IF(OR(Y9=rr_num,Y9=rr_num-1),1,0)</f>
        <v>0</v>
      </c>
      <c r="Z13" s="164">
        <f t="shared" ref="Z13" si="33">IF(OR(Z9=rr_num,Z9=rr_num-1),1,0)</f>
        <v>0</v>
      </c>
      <c r="AA13" s="164">
        <f t="shared" ref="AA13" si="34">IF(OR(AA9=rr_num,AA9=rr_num-1),1,0)</f>
        <v>0</v>
      </c>
    </row>
    <row r="14" spans="1:27">
      <c r="B14" t="s">
        <v>439</v>
      </c>
      <c r="D14" s="164">
        <f t="shared" ref="D14:U14" si="35">IF(D9&gt;rr_num,1,0)</f>
        <v>0</v>
      </c>
      <c r="E14" s="164">
        <f t="shared" si="35"/>
        <v>0</v>
      </c>
      <c r="F14" s="164">
        <f t="shared" si="35"/>
        <v>0</v>
      </c>
      <c r="G14" s="164">
        <f t="shared" si="35"/>
        <v>0</v>
      </c>
      <c r="H14" s="164">
        <f t="shared" si="35"/>
        <v>0</v>
      </c>
      <c r="I14" s="164">
        <f t="shared" si="35"/>
        <v>0</v>
      </c>
      <c r="J14" s="164">
        <f t="shared" si="35"/>
        <v>0</v>
      </c>
      <c r="K14" s="164">
        <f t="shared" si="35"/>
        <v>0</v>
      </c>
      <c r="L14" s="164">
        <f t="shared" si="35"/>
        <v>0</v>
      </c>
      <c r="M14" s="164">
        <f t="shared" si="35"/>
        <v>0</v>
      </c>
      <c r="N14" s="164">
        <f t="shared" si="35"/>
        <v>0</v>
      </c>
      <c r="O14" s="164">
        <f t="shared" si="35"/>
        <v>0</v>
      </c>
      <c r="P14" s="164">
        <f t="shared" si="35"/>
        <v>0</v>
      </c>
      <c r="Q14" s="164">
        <f t="shared" si="35"/>
        <v>0</v>
      </c>
      <c r="R14" s="164">
        <f t="shared" si="35"/>
        <v>0</v>
      </c>
      <c r="S14" s="164">
        <f t="shared" si="35"/>
        <v>0</v>
      </c>
      <c r="T14" s="164">
        <f t="shared" si="35"/>
        <v>0</v>
      </c>
      <c r="U14" s="164">
        <f t="shared" si="35"/>
        <v>1</v>
      </c>
      <c r="V14" s="164">
        <f t="shared" ref="V14" si="36">IF(V9&gt;rr_num,1,0)</f>
        <v>1</v>
      </c>
      <c r="W14" s="164">
        <f t="shared" ref="W14" si="37">IF(W9&gt;rr_num,1,0)</f>
        <v>1</v>
      </c>
      <c r="X14" s="164">
        <f t="shared" ref="X14" si="38">IF(X9&gt;rr_num,1,0)</f>
        <v>1</v>
      </c>
      <c r="Y14" s="164">
        <f t="shared" ref="Y14" si="39">IF(Y9&gt;rr_num,1,0)</f>
        <v>1</v>
      </c>
      <c r="Z14" s="164">
        <f t="shared" ref="Z14" si="40">IF(Z9&gt;rr_num,1,0)</f>
        <v>1</v>
      </c>
      <c r="AA14" s="164">
        <f t="shared" ref="AA14" si="41">IF(AA9&gt;rr_num,1,0)</f>
        <v>1</v>
      </c>
    </row>
    <row r="16" spans="1:27">
      <c r="B16" s="97" t="s">
        <v>440</v>
      </c>
    </row>
    <row r="17" spans="2:27">
      <c r="B17" t="s">
        <v>441</v>
      </c>
      <c r="D17" s="142"/>
      <c r="E17" s="142"/>
      <c r="F17" s="142"/>
      <c r="G17" s="142"/>
      <c r="H17" s="142"/>
      <c r="I17" s="142"/>
      <c r="J17" s="142"/>
      <c r="K17" s="142"/>
      <c r="L17" s="142"/>
      <c r="M17" s="142"/>
      <c r="N17" s="142"/>
      <c r="O17" s="142"/>
      <c r="P17" s="142"/>
      <c r="Q17" s="142"/>
      <c r="R17" s="142"/>
      <c r="S17" s="142"/>
      <c r="T17" s="142"/>
      <c r="U17" s="117"/>
      <c r="V17" s="117"/>
      <c r="W17" s="117"/>
      <c r="X17" s="117"/>
      <c r="Y17" s="117"/>
      <c r="Z17" s="117"/>
      <c r="AA17" s="117"/>
    </row>
    <row r="18" spans="2:27">
      <c r="B18" t="s">
        <v>442</v>
      </c>
      <c r="D18" s="142"/>
      <c r="E18" s="142">
        <v>0</v>
      </c>
      <c r="F18" s="142"/>
      <c r="G18" s="142"/>
      <c r="H18" s="142"/>
      <c r="I18" s="142"/>
      <c r="J18" s="142"/>
      <c r="K18" s="142"/>
      <c r="L18" s="142"/>
      <c r="M18" s="142"/>
      <c r="N18" s="142"/>
      <c r="O18" s="142"/>
      <c r="P18" s="142"/>
      <c r="Q18" s="142"/>
      <c r="R18" s="142"/>
      <c r="S18" s="142"/>
      <c r="T18" s="142"/>
      <c r="U18" s="117"/>
      <c r="V18" s="117"/>
      <c r="W18" s="117"/>
      <c r="X18" s="117"/>
      <c r="Y18" s="117"/>
      <c r="Z18" s="117"/>
      <c r="AA18" s="117"/>
    </row>
    <row r="19" spans="2:27">
      <c r="B19" s="118" t="s">
        <v>443</v>
      </c>
      <c r="C19" s="118"/>
      <c r="D19" s="146">
        <f t="shared" ref="D19:U19" si="42">SUM(D17:D18)</f>
        <v>0</v>
      </c>
      <c r="E19" s="146">
        <f t="shared" si="42"/>
        <v>0</v>
      </c>
      <c r="F19" s="146">
        <f t="shared" si="42"/>
        <v>0</v>
      </c>
      <c r="G19" s="146">
        <f t="shared" si="42"/>
        <v>0</v>
      </c>
      <c r="H19" s="146">
        <f t="shared" si="42"/>
        <v>0</v>
      </c>
      <c r="I19" s="146">
        <f t="shared" si="42"/>
        <v>0</v>
      </c>
      <c r="J19" s="146">
        <f t="shared" si="42"/>
        <v>0</v>
      </c>
      <c r="K19" s="146">
        <f t="shared" si="42"/>
        <v>0</v>
      </c>
      <c r="L19" s="146">
        <f t="shared" si="42"/>
        <v>0</v>
      </c>
      <c r="M19" s="146">
        <f t="shared" si="42"/>
        <v>0</v>
      </c>
      <c r="N19" s="146">
        <f t="shared" si="42"/>
        <v>0</v>
      </c>
      <c r="O19" s="146">
        <f t="shared" si="42"/>
        <v>0</v>
      </c>
      <c r="P19" s="146">
        <f t="shared" si="42"/>
        <v>0</v>
      </c>
      <c r="Q19" s="146">
        <f t="shared" si="42"/>
        <v>0</v>
      </c>
      <c r="R19" s="146">
        <f t="shared" si="42"/>
        <v>0</v>
      </c>
      <c r="S19" s="146">
        <f t="shared" si="42"/>
        <v>0</v>
      </c>
      <c r="T19" s="146">
        <f t="shared" si="42"/>
        <v>0</v>
      </c>
      <c r="U19" s="146">
        <f t="shared" si="42"/>
        <v>0</v>
      </c>
      <c r="V19" s="146">
        <f t="shared" ref="V19" si="43">SUM(V17:V18)</f>
        <v>0</v>
      </c>
      <c r="W19" s="146">
        <f t="shared" ref="W19" si="44">SUM(W17:W18)</f>
        <v>0</v>
      </c>
      <c r="X19" s="146">
        <f t="shared" ref="X19" si="45">SUM(X17:X18)</f>
        <v>0</v>
      </c>
      <c r="Y19" s="146">
        <f t="shared" ref="Y19" si="46">SUM(Y17:Y18)</f>
        <v>0</v>
      </c>
      <c r="Z19" s="146">
        <f t="shared" ref="Z19" si="47">SUM(Z17:Z18)</f>
        <v>0</v>
      </c>
      <c r="AA19" s="146">
        <f t="shared" ref="AA19" si="48">SUM(AA17:AA18)</f>
        <v>0</v>
      </c>
    </row>
    <row r="20" spans="2:27">
      <c r="B20" t="s">
        <v>444</v>
      </c>
      <c r="D20" s="142"/>
      <c r="E20" s="142"/>
      <c r="F20" s="142"/>
      <c r="G20" s="142"/>
      <c r="H20" s="142"/>
      <c r="I20" s="142"/>
      <c r="J20" s="142"/>
      <c r="K20" s="142"/>
      <c r="L20" s="142"/>
      <c r="M20" s="142"/>
      <c r="N20" s="142"/>
      <c r="O20" s="142"/>
      <c r="P20" s="142"/>
      <c r="Q20" s="142"/>
      <c r="R20" s="142"/>
      <c r="S20" s="142"/>
      <c r="T20" s="142"/>
      <c r="U20" s="117"/>
      <c r="V20" s="117"/>
      <c r="W20" s="117"/>
      <c r="X20" s="117"/>
      <c r="Y20" s="117"/>
      <c r="Z20" s="117"/>
      <c r="AA20" s="117"/>
    </row>
    <row r="21" spans="2:27">
      <c r="B21" s="118" t="s">
        <v>445</v>
      </c>
      <c r="C21" s="118"/>
      <c r="D21" s="146">
        <f t="shared" ref="D21:U21" si="49">D19-D20</f>
        <v>0</v>
      </c>
      <c r="E21" s="146">
        <f t="shared" si="49"/>
        <v>0</v>
      </c>
      <c r="F21" s="146">
        <f t="shared" si="49"/>
        <v>0</v>
      </c>
      <c r="G21" s="146">
        <f t="shared" si="49"/>
        <v>0</v>
      </c>
      <c r="H21" s="146">
        <f t="shared" si="49"/>
        <v>0</v>
      </c>
      <c r="I21" s="146">
        <f t="shared" si="49"/>
        <v>0</v>
      </c>
      <c r="J21" s="146">
        <f t="shared" si="49"/>
        <v>0</v>
      </c>
      <c r="K21" s="146">
        <f t="shared" si="49"/>
        <v>0</v>
      </c>
      <c r="L21" s="146">
        <f t="shared" si="49"/>
        <v>0</v>
      </c>
      <c r="M21" s="146">
        <f t="shared" si="49"/>
        <v>0</v>
      </c>
      <c r="N21" s="146">
        <f t="shared" si="49"/>
        <v>0</v>
      </c>
      <c r="O21" s="146">
        <f t="shared" si="49"/>
        <v>0</v>
      </c>
      <c r="P21" s="146">
        <f t="shared" si="49"/>
        <v>0</v>
      </c>
      <c r="Q21" s="146">
        <f t="shared" si="49"/>
        <v>0</v>
      </c>
      <c r="R21" s="146">
        <f t="shared" si="49"/>
        <v>0</v>
      </c>
      <c r="S21" s="146">
        <f t="shared" si="49"/>
        <v>0</v>
      </c>
      <c r="T21" s="146">
        <f t="shared" si="49"/>
        <v>0</v>
      </c>
      <c r="U21" s="146">
        <f t="shared" si="49"/>
        <v>0</v>
      </c>
      <c r="V21" s="146">
        <f t="shared" ref="V21" si="50">V19-V20</f>
        <v>0</v>
      </c>
      <c r="W21" s="146">
        <f t="shared" ref="W21" si="51">W19-W20</f>
        <v>0</v>
      </c>
      <c r="X21" s="146">
        <f t="shared" ref="X21" si="52">X19-X20</f>
        <v>0</v>
      </c>
      <c r="Y21" s="146">
        <f t="shared" ref="Y21" si="53">Y19-Y20</f>
        <v>0</v>
      </c>
      <c r="Z21" s="146">
        <f t="shared" ref="Z21" si="54">Z19-Z20</f>
        <v>0</v>
      </c>
      <c r="AA21" s="146">
        <f t="shared" ref="AA21" si="55">AA19-AA20</f>
        <v>0</v>
      </c>
    </row>
    <row r="22" spans="2:27">
      <c r="B22" t="s">
        <v>446</v>
      </c>
      <c r="D22" s="142"/>
      <c r="E22" s="142"/>
      <c r="F22" s="142"/>
      <c r="G22" s="142"/>
      <c r="H22" s="142"/>
      <c r="I22" s="142"/>
      <c r="J22" s="142"/>
      <c r="K22" s="142"/>
      <c r="L22" s="142"/>
      <c r="M22" s="142"/>
      <c r="N22" s="142"/>
      <c r="O22" s="142"/>
      <c r="P22" s="142"/>
      <c r="Q22" s="142"/>
      <c r="R22" s="142"/>
      <c r="S22" s="117"/>
      <c r="T22" s="117"/>
      <c r="U22" s="117"/>
      <c r="V22" s="117"/>
      <c r="W22" s="117"/>
      <c r="X22" s="117"/>
      <c r="Y22" s="117"/>
      <c r="Z22" s="117"/>
      <c r="AA22" s="117"/>
    </row>
    <row r="23" spans="2:27">
      <c r="B23" t="s">
        <v>447</v>
      </c>
      <c r="D23" s="92"/>
      <c r="E23" s="92"/>
      <c r="F23" s="92"/>
      <c r="G23" s="92"/>
      <c r="H23" s="92"/>
      <c r="I23" s="92"/>
      <c r="J23" s="92"/>
      <c r="K23" s="92"/>
      <c r="L23" s="92"/>
      <c r="M23" s="92"/>
      <c r="N23" s="92"/>
      <c r="O23" s="92"/>
      <c r="P23" s="92"/>
      <c r="Q23" s="92"/>
      <c r="R23" s="92"/>
      <c r="S23" s="92"/>
      <c r="T23" s="92"/>
      <c r="U23" s="92"/>
      <c r="V23" s="92"/>
      <c r="W23" s="92"/>
      <c r="X23" s="92"/>
      <c r="Y23" s="92"/>
      <c r="Z23" s="92"/>
      <c r="AA23" s="92"/>
    </row>
    <row r="24" spans="2:27" ht="15" thickBot="1">
      <c r="B24" s="103" t="s">
        <v>448</v>
      </c>
      <c r="C24" s="103"/>
      <c r="D24" s="147">
        <f t="shared" ref="D24:U24" si="56">D22-D21</f>
        <v>0</v>
      </c>
      <c r="E24" s="147">
        <f t="shared" si="56"/>
        <v>0</v>
      </c>
      <c r="F24" s="147">
        <f t="shared" si="56"/>
        <v>0</v>
      </c>
      <c r="G24" s="147">
        <f t="shared" si="56"/>
        <v>0</v>
      </c>
      <c r="H24" s="147">
        <f t="shared" si="56"/>
        <v>0</v>
      </c>
      <c r="I24" s="147">
        <f t="shared" si="56"/>
        <v>0</v>
      </c>
      <c r="J24" s="147">
        <f t="shared" si="56"/>
        <v>0</v>
      </c>
      <c r="K24" s="147">
        <f t="shared" si="56"/>
        <v>0</v>
      </c>
      <c r="L24" s="147">
        <f t="shared" si="56"/>
        <v>0</v>
      </c>
      <c r="M24" s="147">
        <f t="shared" si="56"/>
        <v>0</v>
      </c>
      <c r="N24" s="147">
        <f t="shared" si="56"/>
        <v>0</v>
      </c>
      <c r="O24" s="147">
        <f t="shared" si="56"/>
        <v>0</v>
      </c>
      <c r="P24" s="147">
        <f t="shared" si="56"/>
        <v>0</v>
      </c>
      <c r="Q24" s="147">
        <f t="shared" si="56"/>
        <v>0</v>
      </c>
      <c r="R24" s="147">
        <f t="shared" si="56"/>
        <v>0</v>
      </c>
      <c r="S24" s="147">
        <f t="shared" si="56"/>
        <v>0</v>
      </c>
      <c r="T24" s="147">
        <f t="shared" si="56"/>
        <v>0</v>
      </c>
      <c r="U24" s="147">
        <f t="shared" si="56"/>
        <v>0</v>
      </c>
      <c r="V24" s="147">
        <f t="shared" ref="V24" si="57">V22-V21</f>
        <v>0</v>
      </c>
      <c r="W24" s="147">
        <f t="shared" ref="W24" si="58">W22-W21</f>
        <v>0</v>
      </c>
      <c r="X24" s="147">
        <f t="shared" ref="X24" si="59">X22-X21</f>
        <v>0</v>
      </c>
      <c r="Y24" s="147">
        <f t="shared" ref="Y24" si="60">Y22-Y21</f>
        <v>0</v>
      </c>
      <c r="Z24" s="147">
        <f t="shared" ref="Z24" si="61">Z22-Z21</f>
        <v>0</v>
      </c>
      <c r="AA24" s="147">
        <f t="shared" ref="AA24" si="62">AA22-AA21</f>
        <v>0</v>
      </c>
    </row>
    <row r="26" spans="2:27">
      <c r="B26" s="97" t="s">
        <v>449</v>
      </c>
    </row>
    <row r="27" spans="2:27">
      <c r="B27" t="s">
        <v>450</v>
      </c>
      <c r="D27" s="167">
        <f t="shared" ref="D27:U27" si="63">INDEX(CT,D9)</f>
        <v>0.28000000000000003</v>
      </c>
      <c r="E27" s="167">
        <f t="shared" si="63"/>
        <v>0.26</v>
      </c>
      <c r="F27" s="167">
        <f t="shared" si="63"/>
        <v>0.24</v>
      </c>
      <c r="G27" s="167">
        <f t="shared" si="63"/>
        <v>0.23</v>
      </c>
      <c r="H27" s="167">
        <f t="shared" si="63"/>
        <v>0.21</v>
      </c>
      <c r="I27" s="167">
        <f t="shared" si="63"/>
        <v>0.2</v>
      </c>
      <c r="J27" s="167">
        <f t="shared" si="63"/>
        <v>0.2</v>
      </c>
      <c r="K27" s="167">
        <f t="shared" si="63"/>
        <v>0.19</v>
      </c>
      <c r="L27" s="167">
        <f t="shared" si="63"/>
        <v>0.19</v>
      </c>
      <c r="M27" s="167">
        <f t="shared" si="63"/>
        <v>0.19</v>
      </c>
      <c r="N27" s="167">
        <f t="shared" si="63"/>
        <v>0.19</v>
      </c>
      <c r="O27" s="167">
        <f t="shared" si="63"/>
        <v>0.19</v>
      </c>
      <c r="P27" s="167">
        <f t="shared" si="63"/>
        <v>0.19</v>
      </c>
      <c r="Q27" s="167">
        <f t="shared" si="63"/>
        <v>0.25</v>
      </c>
      <c r="R27" s="167">
        <f t="shared" si="63"/>
        <v>0.25</v>
      </c>
      <c r="S27" s="167">
        <f t="shared" si="63"/>
        <v>0.25</v>
      </c>
      <c r="T27" s="167">
        <f t="shared" si="63"/>
        <v>0.25</v>
      </c>
      <c r="U27" s="167">
        <f t="shared" si="63"/>
        <v>0</v>
      </c>
      <c r="V27" s="167">
        <f t="shared" ref="V27" si="64">INDEX(CT,V9)</f>
        <v>0</v>
      </c>
      <c r="W27" s="167">
        <f t="shared" ref="W27" si="65">INDEX(CT,W9)</f>
        <v>0</v>
      </c>
      <c r="X27" s="167">
        <f t="shared" ref="X27" si="66">INDEX(CT,X9)</f>
        <v>0</v>
      </c>
      <c r="Y27" s="167">
        <f t="shared" ref="Y27" si="67">INDEX(CT,Y9)</f>
        <v>0</v>
      </c>
      <c r="Z27" s="167">
        <f t="shared" ref="Z27" si="68">INDEX(CT,Z9)</f>
        <v>0</v>
      </c>
      <c r="AA27" s="167">
        <f t="shared" ref="AA27" si="69">INDEX(CT,AA9)</f>
        <v>0</v>
      </c>
    </row>
    <row r="28" spans="2:27">
      <c r="B28" t="s">
        <v>451</v>
      </c>
      <c r="D28" s="116">
        <v>0.17</v>
      </c>
      <c r="E28" s="116">
        <v>0.17</v>
      </c>
      <c r="F28" s="116">
        <v>0.17</v>
      </c>
      <c r="G28" s="116">
        <v>0.17</v>
      </c>
      <c r="H28" s="116">
        <v>0.17</v>
      </c>
      <c r="I28" s="116">
        <v>0.17</v>
      </c>
      <c r="J28" s="116">
        <v>0.17</v>
      </c>
      <c r="K28" s="116">
        <v>0.17</v>
      </c>
      <c r="L28" s="116">
        <v>0.17</v>
      </c>
      <c r="M28" s="116">
        <v>0.17</v>
      </c>
      <c r="N28" s="116">
        <v>0.17</v>
      </c>
      <c r="O28" s="139"/>
      <c r="P28" s="139"/>
      <c r="Q28" s="139"/>
      <c r="R28" s="139"/>
      <c r="S28" s="139"/>
      <c r="T28" s="139"/>
      <c r="U28" s="139"/>
      <c r="V28" s="139"/>
      <c r="W28" s="139"/>
      <c r="X28" s="139"/>
      <c r="Y28" s="139"/>
      <c r="Z28" s="139"/>
      <c r="AA28" s="139"/>
    </row>
    <row r="29" spans="2:27" ht="15" thickBot="1">
      <c r="B29" s="103" t="s">
        <v>452</v>
      </c>
      <c r="C29" s="103"/>
      <c r="D29" s="148">
        <f t="shared" ref="D29:U29" si="70">IF(D27=0,D28,D27)</f>
        <v>0.28000000000000003</v>
      </c>
      <c r="E29" s="148">
        <f t="shared" si="70"/>
        <v>0.26</v>
      </c>
      <c r="F29" s="148">
        <f t="shared" si="70"/>
        <v>0.24</v>
      </c>
      <c r="G29" s="148">
        <f t="shared" si="70"/>
        <v>0.23</v>
      </c>
      <c r="H29" s="148">
        <f t="shared" si="70"/>
        <v>0.21</v>
      </c>
      <c r="I29" s="148">
        <f t="shared" si="70"/>
        <v>0.2</v>
      </c>
      <c r="J29" s="148">
        <f t="shared" si="70"/>
        <v>0.2</v>
      </c>
      <c r="K29" s="148">
        <f t="shared" si="70"/>
        <v>0.19</v>
      </c>
      <c r="L29" s="148">
        <f t="shared" si="70"/>
        <v>0.19</v>
      </c>
      <c r="M29" s="148">
        <f t="shared" si="70"/>
        <v>0.19</v>
      </c>
      <c r="N29" s="148">
        <f t="shared" si="70"/>
        <v>0.19</v>
      </c>
      <c r="O29" s="148">
        <f t="shared" si="70"/>
        <v>0.19</v>
      </c>
      <c r="P29" s="148">
        <f t="shared" si="70"/>
        <v>0.19</v>
      </c>
      <c r="Q29" s="148">
        <f t="shared" si="70"/>
        <v>0.25</v>
      </c>
      <c r="R29" s="148">
        <f t="shared" si="70"/>
        <v>0.25</v>
      </c>
      <c r="S29" s="148">
        <f t="shared" si="70"/>
        <v>0.25</v>
      </c>
      <c r="T29" s="148">
        <f t="shared" si="70"/>
        <v>0.25</v>
      </c>
      <c r="U29" s="148">
        <f t="shared" si="70"/>
        <v>0</v>
      </c>
      <c r="V29" s="148">
        <f t="shared" ref="V29" si="71">IF(V27=0,V28,V27)</f>
        <v>0</v>
      </c>
      <c r="W29" s="148">
        <f t="shared" ref="W29" si="72">IF(W27=0,W28,W27)</f>
        <v>0</v>
      </c>
      <c r="X29" s="148">
        <f t="shared" ref="X29" si="73">IF(X27=0,X28,X27)</f>
        <v>0</v>
      </c>
      <c r="Y29" s="148">
        <f t="shared" ref="Y29" si="74">IF(Y27=0,Y28,Y27)</f>
        <v>0</v>
      </c>
      <c r="Z29" s="148">
        <f t="shared" ref="Z29" si="75">IF(Z27=0,Z28,Z27)</f>
        <v>0</v>
      </c>
      <c r="AA29" s="148">
        <f t="shared" ref="AA29" si="76">IF(AA27=0,AA28,AA27)</f>
        <v>0</v>
      </c>
    </row>
    <row r="30" spans="2:27" ht="14.5" hidden="1" customHeight="1"/>
    <row r="32" spans="2:27">
      <c r="B32" t="s">
        <v>453</v>
      </c>
      <c r="C32" s="173">
        <f>1-SUM(D32:U32)</f>
        <v>1</v>
      </c>
      <c r="D32" s="145"/>
      <c r="E32" s="172">
        <f t="shared" ref="E32:AA32" si="77">IF(D11=1,E29,0)</f>
        <v>0</v>
      </c>
      <c r="F32" s="172">
        <f t="shared" si="77"/>
        <v>0</v>
      </c>
      <c r="G32" s="172">
        <f t="shared" si="77"/>
        <v>0</v>
      </c>
      <c r="H32" s="172">
        <f t="shared" si="77"/>
        <v>0</v>
      </c>
      <c r="I32" s="172">
        <f t="shared" si="77"/>
        <v>0</v>
      </c>
      <c r="J32" s="172">
        <f t="shared" si="77"/>
        <v>0</v>
      </c>
      <c r="K32" s="172">
        <f t="shared" si="77"/>
        <v>0</v>
      </c>
      <c r="L32" s="172">
        <f t="shared" si="77"/>
        <v>0</v>
      </c>
      <c r="M32" s="172">
        <f t="shared" si="77"/>
        <v>0</v>
      </c>
      <c r="N32" s="172">
        <f t="shared" si="77"/>
        <v>0</v>
      </c>
      <c r="O32" s="172">
        <f t="shared" si="77"/>
        <v>0</v>
      </c>
      <c r="P32" s="172">
        <f t="shared" si="77"/>
        <v>0</v>
      </c>
      <c r="Q32" s="172">
        <f t="shared" si="77"/>
        <v>0</v>
      </c>
      <c r="R32" s="172">
        <f t="shared" si="77"/>
        <v>0</v>
      </c>
      <c r="S32" s="172">
        <f t="shared" si="77"/>
        <v>0</v>
      </c>
      <c r="T32" s="172">
        <f t="shared" si="77"/>
        <v>0</v>
      </c>
      <c r="U32" s="172">
        <f t="shared" si="77"/>
        <v>0</v>
      </c>
      <c r="V32" s="172">
        <f t="shared" si="77"/>
        <v>0</v>
      </c>
      <c r="W32" s="172">
        <f t="shared" si="77"/>
        <v>0</v>
      </c>
      <c r="X32" s="172">
        <f t="shared" si="77"/>
        <v>0</v>
      </c>
      <c r="Y32" s="172">
        <f t="shared" si="77"/>
        <v>0</v>
      </c>
      <c r="Z32" s="172">
        <f t="shared" si="77"/>
        <v>0</v>
      </c>
      <c r="AA32" s="172">
        <f t="shared" si="77"/>
        <v>0</v>
      </c>
    </row>
    <row r="34" spans="2:27">
      <c r="B34" s="97" t="s">
        <v>454</v>
      </c>
    </row>
    <row r="35" spans="2:27">
      <c r="B35" t="s">
        <v>455</v>
      </c>
      <c r="D35" s="140"/>
      <c r="E35" s="140"/>
      <c r="F35" s="140"/>
      <c r="G35" s="140"/>
      <c r="H35" s="140"/>
      <c r="I35" s="140"/>
      <c r="J35" s="140"/>
      <c r="K35" s="140"/>
      <c r="L35" s="140"/>
      <c r="M35" s="140"/>
      <c r="N35" s="140"/>
      <c r="O35" s="140"/>
      <c r="P35" s="140"/>
      <c r="Q35" s="140"/>
      <c r="R35" s="140"/>
      <c r="S35" s="140"/>
      <c r="T35" s="140"/>
      <c r="U35" s="115"/>
      <c r="V35" s="115"/>
      <c r="W35" s="115"/>
      <c r="X35" s="115"/>
      <c r="Y35" s="115"/>
      <c r="Z35" s="115"/>
      <c r="AA35" s="115"/>
    </row>
    <row r="36" spans="2:27">
      <c r="B36" t="s">
        <v>456</v>
      </c>
      <c r="D36" s="149">
        <f t="shared" ref="D36:U36" si="78">1/(2+D35)</f>
        <v>0.5</v>
      </c>
      <c r="E36" s="149">
        <f t="shared" si="78"/>
        <v>0.5</v>
      </c>
      <c r="F36" s="149">
        <f t="shared" si="78"/>
        <v>0.5</v>
      </c>
      <c r="G36" s="149">
        <f t="shared" si="78"/>
        <v>0.5</v>
      </c>
      <c r="H36" s="149">
        <f t="shared" si="78"/>
        <v>0.5</v>
      </c>
      <c r="I36" s="149">
        <f t="shared" si="78"/>
        <v>0.5</v>
      </c>
      <c r="J36" s="149">
        <f t="shared" si="78"/>
        <v>0.5</v>
      </c>
      <c r="K36" s="149">
        <f t="shared" si="78"/>
        <v>0.5</v>
      </c>
      <c r="L36" s="149">
        <f t="shared" si="78"/>
        <v>0.5</v>
      </c>
      <c r="M36" s="149">
        <f t="shared" si="78"/>
        <v>0.5</v>
      </c>
      <c r="N36" s="149">
        <f t="shared" si="78"/>
        <v>0.5</v>
      </c>
      <c r="O36" s="149">
        <f t="shared" si="78"/>
        <v>0.5</v>
      </c>
      <c r="P36" s="149">
        <f t="shared" si="78"/>
        <v>0.5</v>
      </c>
      <c r="Q36" s="149">
        <f t="shared" si="78"/>
        <v>0.5</v>
      </c>
      <c r="R36" s="149">
        <f t="shared" si="78"/>
        <v>0.5</v>
      </c>
      <c r="S36" s="149">
        <f t="shared" si="78"/>
        <v>0.5</v>
      </c>
      <c r="T36" s="149">
        <f t="shared" si="78"/>
        <v>0.5</v>
      </c>
      <c r="U36" s="149">
        <f t="shared" si="78"/>
        <v>0.5</v>
      </c>
      <c r="V36" s="149">
        <f t="shared" ref="V36" si="79">1/(2+V35)</f>
        <v>0.5</v>
      </c>
      <c r="W36" s="149">
        <f t="shared" ref="W36" si="80">1/(2+W35)</f>
        <v>0.5</v>
      </c>
      <c r="X36" s="149">
        <f t="shared" ref="X36" si="81">1/(2+X35)</f>
        <v>0.5</v>
      </c>
      <c r="Y36" s="149">
        <f t="shared" ref="Y36" si="82">1/(2+Y35)</f>
        <v>0.5</v>
      </c>
      <c r="Z36" s="149">
        <f t="shared" ref="Z36" si="83">1/(2+Z35)</f>
        <v>0.5</v>
      </c>
      <c r="AA36" s="149">
        <f t="shared" ref="AA36" si="84">1/(2+AA35)</f>
        <v>0.5</v>
      </c>
    </row>
    <row r="37" spans="2:27" ht="15" thickBot="1">
      <c r="B37" s="103" t="s">
        <v>457</v>
      </c>
      <c r="C37" s="103"/>
      <c r="D37" s="150">
        <f t="shared" ref="D37:U37" si="85">1+D36*D35</f>
        <v>1</v>
      </c>
      <c r="E37" s="150">
        <f t="shared" si="85"/>
        <v>1</v>
      </c>
      <c r="F37" s="150">
        <f t="shared" si="85"/>
        <v>1</v>
      </c>
      <c r="G37" s="150">
        <f t="shared" si="85"/>
        <v>1</v>
      </c>
      <c r="H37" s="150">
        <f t="shared" si="85"/>
        <v>1</v>
      </c>
      <c r="I37" s="150">
        <f t="shared" si="85"/>
        <v>1</v>
      </c>
      <c r="J37" s="150">
        <f t="shared" si="85"/>
        <v>1</v>
      </c>
      <c r="K37" s="150">
        <f t="shared" si="85"/>
        <v>1</v>
      </c>
      <c r="L37" s="150">
        <f t="shared" si="85"/>
        <v>1</v>
      </c>
      <c r="M37" s="150">
        <f t="shared" si="85"/>
        <v>1</v>
      </c>
      <c r="N37" s="150">
        <f t="shared" si="85"/>
        <v>1</v>
      </c>
      <c r="O37" s="150">
        <f t="shared" si="85"/>
        <v>1</v>
      </c>
      <c r="P37" s="150">
        <f t="shared" si="85"/>
        <v>1</v>
      </c>
      <c r="Q37" s="150">
        <f t="shared" si="85"/>
        <v>1</v>
      </c>
      <c r="R37" s="150">
        <f t="shared" si="85"/>
        <v>1</v>
      </c>
      <c r="S37" s="150">
        <f t="shared" si="85"/>
        <v>1</v>
      </c>
      <c r="T37" s="150">
        <f t="shared" si="85"/>
        <v>1</v>
      </c>
      <c r="U37" s="150">
        <f t="shared" si="85"/>
        <v>1</v>
      </c>
      <c r="V37" s="150">
        <f t="shared" ref="V37" si="86">1+V36*V35</f>
        <v>1</v>
      </c>
      <c r="W37" s="150">
        <f t="shared" ref="W37" si="87">1+W36*W35</f>
        <v>1</v>
      </c>
      <c r="X37" s="150">
        <f t="shared" ref="X37" si="88">1+X36*X35</f>
        <v>1</v>
      </c>
      <c r="Y37" s="150">
        <f t="shared" ref="Y37" si="89">1+Y36*Y35</f>
        <v>1</v>
      </c>
      <c r="Z37" s="150">
        <f t="shared" ref="Z37" si="90">1+Z36*Z35</f>
        <v>1</v>
      </c>
      <c r="AA37" s="150">
        <f t="shared" ref="AA37" si="91">1+AA36*AA35</f>
        <v>1</v>
      </c>
    </row>
    <row r="43" spans="2:27">
      <c r="B43" s="97" t="s">
        <v>458</v>
      </c>
    </row>
    <row r="44" spans="2:27" s="113" customFormat="1" ht="42.65" customHeight="1">
      <c r="D44" s="168">
        <f t="shared" ref="D44:Z44" si="92">IF(D9&gt;rr_num,0,IF(D9=rr_num,1+D35,(1+D35)*E44))</f>
        <v>1</v>
      </c>
      <c r="E44" s="168">
        <f t="shared" si="92"/>
        <v>1</v>
      </c>
      <c r="F44" s="168">
        <f t="shared" si="92"/>
        <v>1</v>
      </c>
      <c r="G44" s="168">
        <f t="shared" si="92"/>
        <v>1</v>
      </c>
      <c r="H44" s="168">
        <f t="shared" si="92"/>
        <v>1</v>
      </c>
      <c r="I44" s="168">
        <f t="shared" si="92"/>
        <v>1</v>
      </c>
      <c r="J44" s="168">
        <f t="shared" si="92"/>
        <v>1</v>
      </c>
      <c r="K44" s="168">
        <f t="shared" si="92"/>
        <v>1</v>
      </c>
      <c r="L44" s="168">
        <f t="shared" si="92"/>
        <v>1</v>
      </c>
      <c r="M44" s="168">
        <f t="shared" si="92"/>
        <v>1</v>
      </c>
      <c r="N44" s="168">
        <f t="shared" si="92"/>
        <v>1</v>
      </c>
      <c r="O44" s="168">
        <f t="shared" si="92"/>
        <v>1</v>
      </c>
      <c r="P44" s="168">
        <f t="shared" si="92"/>
        <v>1</v>
      </c>
      <c r="Q44" s="168">
        <f t="shared" si="92"/>
        <v>1</v>
      </c>
      <c r="R44" s="168">
        <f t="shared" si="92"/>
        <v>1</v>
      </c>
      <c r="S44" s="168">
        <f t="shared" si="92"/>
        <v>1</v>
      </c>
      <c r="T44" s="168">
        <f t="shared" si="92"/>
        <v>1</v>
      </c>
      <c r="U44" s="168">
        <f t="shared" si="92"/>
        <v>0</v>
      </c>
      <c r="V44" s="168">
        <f t="shared" si="92"/>
        <v>0</v>
      </c>
      <c r="W44" s="168">
        <f t="shared" si="92"/>
        <v>0</v>
      </c>
      <c r="X44" s="168">
        <f t="shared" si="92"/>
        <v>0</v>
      </c>
      <c r="Y44" s="168">
        <f t="shared" si="92"/>
        <v>0</v>
      </c>
      <c r="Z44" s="168">
        <f t="shared" si="92"/>
        <v>0</v>
      </c>
      <c r="AA44" s="168">
        <f>IF(AA9&gt;rr_num,0,IF(AA9=rr_num,1+AA35,(1+AA35)*#REF!))</f>
        <v>0</v>
      </c>
    </row>
    <row r="45" spans="2:27" s="113" customFormat="1">
      <c r="B45"/>
      <c r="D45" s="114"/>
      <c r="E45" s="114"/>
      <c r="F45" s="114"/>
      <c r="G45" s="114"/>
      <c r="H45" s="114"/>
      <c r="I45" s="112"/>
      <c r="J45" s="114"/>
      <c r="K45" s="114"/>
      <c r="L45" s="114"/>
      <c r="M45" s="114"/>
      <c r="N45" s="114"/>
      <c r="O45" s="114"/>
      <c r="P45" s="114"/>
      <c r="Q45" s="114"/>
      <c r="R45" s="114"/>
      <c r="S45" s="114"/>
      <c r="T45" s="114"/>
      <c r="U45" s="114"/>
      <c r="V45" s="114"/>
      <c r="W45" s="114"/>
      <c r="X45" s="114"/>
      <c r="Y45" s="114"/>
      <c r="Z45" s="114"/>
      <c r="AA45" s="114"/>
    </row>
    <row r="46" spans="2:27">
      <c r="B46" s="97" t="s">
        <v>459</v>
      </c>
    </row>
    <row r="47" spans="2:27">
      <c r="B47" t="s">
        <v>460</v>
      </c>
      <c r="C47" s="141"/>
    </row>
    <row r="48" spans="2:27">
      <c r="B48" t="s">
        <v>461</v>
      </c>
      <c r="C48" s="141" cm="1">
        <f t="array" ref="C48">-SUM(D12:AA12*D20:AA20*D44:AA44*(1-D29:AA29)/D37:AA37)/C32</f>
        <v>0</v>
      </c>
    </row>
    <row r="49" spans="2:27" ht="15" thickBot="1">
      <c r="B49" s="18" t="s">
        <v>462</v>
      </c>
      <c r="C49" s="165">
        <f>SUM(C47:C48)</f>
        <v>0</v>
      </c>
    </row>
    <row r="50" spans="2:27" s="113" customFormat="1">
      <c r="B50"/>
      <c r="D50" s="114"/>
      <c r="E50" s="114"/>
      <c r="F50" s="114"/>
      <c r="G50" s="114"/>
      <c r="H50" s="114"/>
      <c r="I50" s="112"/>
      <c r="J50" s="114"/>
      <c r="K50" s="114"/>
      <c r="L50" s="114"/>
      <c r="M50" s="114"/>
      <c r="N50" s="114"/>
      <c r="O50" s="114"/>
      <c r="P50" s="114"/>
      <c r="Q50" s="114"/>
      <c r="R50" s="114"/>
      <c r="S50" s="114"/>
      <c r="T50" s="114"/>
      <c r="U50" s="114"/>
      <c r="V50" s="114"/>
      <c r="W50" s="114"/>
      <c r="X50" s="114"/>
      <c r="Y50" s="114"/>
      <c r="Z50" s="114"/>
      <c r="AA50" s="114"/>
    </row>
    <row r="51" spans="2:27" s="113" customFormat="1" ht="21">
      <c r="B51" s="111" t="s">
        <v>463</v>
      </c>
      <c r="C51" s="110">
        <f>C49</f>
        <v>0</v>
      </c>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row>
    <row r="52" spans="2:27" s="113" customFormat="1">
      <c r="B52"/>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row>
    <row r="53" spans="2:27" ht="36.65" customHeight="1">
      <c r="D53" s="151">
        <f t="shared" ref="D53:U53" si="93">IF(D12=1,D24*(1-D29)/(D37*$C$32),0)</f>
        <v>0</v>
      </c>
      <c r="E53" s="151">
        <f t="shared" si="93"/>
        <v>0</v>
      </c>
      <c r="F53" s="151">
        <f t="shared" si="93"/>
        <v>0</v>
      </c>
      <c r="G53" s="151">
        <f t="shared" si="93"/>
        <v>0</v>
      </c>
      <c r="H53" s="151">
        <f t="shared" si="93"/>
        <v>0</v>
      </c>
      <c r="I53" s="151">
        <f t="shared" si="93"/>
        <v>0</v>
      </c>
      <c r="J53" s="151">
        <f t="shared" si="93"/>
        <v>0</v>
      </c>
      <c r="K53" s="151">
        <f t="shared" si="93"/>
        <v>0</v>
      </c>
      <c r="L53" s="151">
        <f t="shared" si="93"/>
        <v>0</v>
      </c>
      <c r="M53" s="151">
        <f t="shared" si="93"/>
        <v>0</v>
      </c>
      <c r="N53" s="151">
        <f t="shared" si="93"/>
        <v>0</v>
      </c>
      <c r="O53" s="151">
        <f t="shared" si="93"/>
        <v>0</v>
      </c>
      <c r="P53" s="151">
        <f t="shared" si="93"/>
        <v>0</v>
      </c>
      <c r="Q53" s="151">
        <f t="shared" si="93"/>
        <v>0</v>
      </c>
      <c r="R53" s="151">
        <f t="shared" si="93"/>
        <v>0</v>
      </c>
      <c r="S53" s="151">
        <f t="shared" si="93"/>
        <v>0</v>
      </c>
      <c r="T53" s="151">
        <f t="shared" si="93"/>
        <v>0</v>
      </c>
      <c r="U53" s="151">
        <f t="shared" si="93"/>
        <v>0</v>
      </c>
      <c r="V53" s="151">
        <f t="shared" ref="V53" si="94">IF(V12=1,V24*(1-V29)/(V37*$C$32),0)</f>
        <v>0</v>
      </c>
      <c r="W53" s="151">
        <f t="shared" ref="W53" si="95">IF(W12=1,W24*(1-W29)/(W37*$C$32),0)</f>
        <v>0</v>
      </c>
      <c r="X53" s="151">
        <f t="shared" ref="X53" si="96">IF(X12=1,X24*(1-X29)/(X37*$C$32),0)</f>
        <v>0</v>
      </c>
      <c r="Y53" s="151">
        <f t="shared" ref="Y53" si="97">IF(Y12=1,Y24*(1-Y29)/(Y37*$C$32),0)</f>
        <v>0</v>
      </c>
      <c r="Z53" s="151">
        <f t="shared" ref="Z53" si="98">IF(Z12=1,Z24*(1-Z29)/(Z37*$C$32),0)</f>
        <v>0</v>
      </c>
      <c r="AA53" s="151">
        <f t="shared" ref="AA53" si="99">IF(AA12=1,AA24*(1-AA29)/(AA37*$C$32),0)</f>
        <v>0</v>
      </c>
    </row>
    <row r="54" spans="2:27" ht="48.65" customHeight="1">
      <c r="D54" s="151">
        <f t="shared" ref="D54:U54" si="100">IF(D12=1,D53*D44,0)</f>
        <v>0</v>
      </c>
      <c r="E54" s="151">
        <f t="shared" si="100"/>
        <v>0</v>
      </c>
      <c r="F54" s="151">
        <f t="shared" si="100"/>
        <v>0</v>
      </c>
      <c r="G54" s="151">
        <f t="shared" si="100"/>
        <v>0</v>
      </c>
      <c r="H54" s="151">
        <f t="shared" si="100"/>
        <v>0</v>
      </c>
      <c r="I54" s="151">
        <f t="shared" si="100"/>
        <v>0</v>
      </c>
      <c r="J54" s="151">
        <f t="shared" si="100"/>
        <v>0</v>
      </c>
      <c r="K54" s="151">
        <f t="shared" si="100"/>
        <v>0</v>
      </c>
      <c r="L54" s="151">
        <f t="shared" si="100"/>
        <v>0</v>
      </c>
      <c r="M54" s="151">
        <f t="shared" si="100"/>
        <v>0</v>
      </c>
      <c r="N54" s="151">
        <f t="shared" si="100"/>
        <v>0</v>
      </c>
      <c r="O54" s="151">
        <f t="shared" si="100"/>
        <v>0</v>
      </c>
      <c r="P54" s="151">
        <f t="shared" si="100"/>
        <v>0</v>
      </c>
      <c r="Q54" s="151">
        <f t="shared" si="100"/>
        <v>0</v>
      </c>
      <c r="R54" s="151">
        <f t="shared" si="100"/>
        <v>0</v>
      </c>
      <c r="S54" s="151">
        <f t="shared" si="100"/>
        <v>0</v>
      </c>
      <c r="T54" s="151">
        <f t="shared" si="100"/>
        <v>0</v>
      </c>
      <c r="U54" s="151">
        <f t="shared" si="100"/>
        <v>0</v>
      </c>
      <c r="V54" s="151">
        <f t="shared" ref="V54" si="101">IF(V12=1,V53*V44,0)</f>
        <v>0</v>
      </c>
      <c r="W54" s="151">
        <f t="shared" ref="W54" si="102">IF(W12=1,W53*W44,0)</f>
        <v>0</v>
      </c>
      <c r="X54" s="151">
        <f t="shared" ref="X54" si="103">IF(X12=1,X53*X44,0)</f>
        <v>0</v>
      </c>
      <c r="Y54" s="151">
        <f t="shared" ref="Y54" si="104">IF(Y12=1,Y53*Y44,0)</f>
        <v>0</v>
      </c>
      <c r="Z54" s="151">
        <f t="shared" ref="Z54" si="105">IF(Z12=1,Z53*Z44,0)</f>
        <v>0</v>
      </c>
      <c r="AA54" s="151">
        <f t="shared" ref="AA54" si="106">IF(AA12=1,AA53*AA44,0)</f>
        <v>0</v>
      </c>
    </row>
    <row r="56" spans="2:27" ht="21">
      <c r="B56" s="111" t="s">
        <v>464</v>
      </c>
      <c r="C56" s="110">
        <f>SUM(D54:U54)</f>
        <v>0</v>
      </c>
    </row>
    <row r="58" spans="2:27" ht="35.15" customHeight="1">
      <c r="D58" s="151">
        <f t="shared" ref="D58:U58" si="107">IF(D13=1,D18*(1-D29)/(D37*$C$32),0)</f>
        <v>0</v>
      </c>
      <c r="E58" s="151">
        <f t="shared" si="107"/>
        <v>0</v>
      </c>
      <c r="F58" s="151">
        <f t="shared" si="107"/>
        <v>0</v>
      </c>
      <c r="G58" s="151">
        <f t="shared" si="107"/>
        <v>0</v>
      </c>
      <c r="H58" s="151">
        <f t="shared" si="107"/>
        <v>0</v>
      </c>
      <c r="I58" s="151">
        <f t="shared" si="107"/>
        <v>0</v>
      </c>
      <c r="J58" s="151">
        <f t="shared" si="107"/>
        <v>0</v>
      </c>
      <c r="K58" s="151">
        <f t="shared" si="107"/>
        <v>0</v>
      </c>
      <c r="L58" s="151">
        <f t="shared" si="107"/>
        <v>0</v>
      </c>
      <c r="M58" s="151">
        <f t="shared" si="107"/>
        <v>0</v>
      </c>
      <c r="N58" s="151">
        <f t="shared" si="107"/>
        <v>0</v>
      </c>
      <c r="O58" s="151">
        <f t="shared" si="107"/>
        <v>0</v>
      </c>
      <c r="P58" s="151">
        <f t="shared" si="107"/>
        <v>0</v>
      </c>
      <c r="Q58" s="151">
        <f t="shared" si="107"/>
        <v>0</v>
      </c>
      <c r="R58" s="151">
        <f t="shared" si="107"/>
        <v>0</v>
      </c>
      <c r="S58" s="151">
        <f t="shared" si="107"/>
        <v>0</v>
      </c>
      <c r="T58" s="151">
        <f t="shared" si="107"/>
        <v>0</v>
      </c>
      <c r="U58" s="151">
        <f t="shared" si="107"/>
        <v>0</v>
      </c>
      <c r="V58" s="151">
        <f t="shared" ref="V58" si="108">IF(V13=1,V18*(1-V29)/(V37*$C$32),0)</f>
        <v>0</v>
      </c>
      <c r="W58" s="151">
        <f t="shared" ref="W58" si="109">IF(W13=1,W18*(1-W29)/(W37*$C$32),0)</f>
        <v>0</v>
      </c>
      <c r="X58" s="151">
        <f t="shared" ref="X58" si="110">IF(X13=1,X18*(1-X29)/(X37*$C$32),0)</f>
        <v>0</v>
      </c>
      <c r="Y58" s="151">
        <f t="shared" ref="Y58" si="111">IF(Y13=1,Y18*(1-Y29)/(Y37*$C$32),0)</f>
        <v>0</v>
      </c>
      <c r="Z58" s="151">
        <f t="shared" ref="Z58" si="112">IF(Z13=1,Z18*(1-Z29)/(Z37*$C$32),0)</f>
        <v>0</v>
      </c>
      <c r="AA58" s="151">
        <f t="shared" ref="AA58" si="113">IF(AA13=1,AA18*(1-AA29)/(AA37*$C$32),0)</f>
        <v>0</v>
      </c>
    </row>
    <row r="59" spans="2:27" ht="48.65" customHeight="1">
      <c r="D59" s="151">
        <f t="shared" ref="D59:U59" si="114">IF(D13=1,-D58*D44,0)</f>
        <v>0</v>
      </c>
      <c r="E59" s="151">
        <f t="shared" si="114"/>
        <v>0</v>
      </c>
      <c r="F59" s="151">
        <f t="shared" si="114"/>
        <v>0</v>
      </c>
      <c r="G59" s="151">
        <f t="shared" si="114"/>
        <v>0</v>
      </c>
      <c r="H59" s="151">
        <f t="shared" si="114"/>
        <v>0</v>
      </c>
      <c r="I59" s="151">
        <f t="shared" si="114"/>
        <v>0</v>
      </c>
      <c r="J59" s="151">
        <f t="shared" si="114"/>
        <v>0</v>
      </c>
      <c r="K59" s="151">
        <f t="shared" si="114"/>
        <v>0</v>
      </c>
      <c r="L59" s="151">
        <f t="shared" si="114"/>
        <v>0</v>
      </c>
      <c r="M59" s="151">
        <f t="shared" si="114"/>
        <v>0</v>
      </c>
      <c r="N59" s="151">
        <f t="shared" si="114"/>
        <v>0</v>
      </c>
      <c r="O59" s="151">
        <f t="shared" si="114"/>
        <v>0</v>
      </c>
      <c r="P59" s="151">
        <f t="shared" si="114"/>
        <v>0</v>
      </c>
      <c r="Q59" s="151">
        <f t="shared" si="114"/>
        <v>0</v>
      </c>
      <c r="R59" s="151">
        <f t="shared" si="114"/>
        <v>0</v>
      </c>
      <c r="S59" s="151">
        <f t="shared" si="114"/>
        <v>0</v>
      </c>
      <c r="T59" s="151">
        <f t="shared" si="114"/>
        <v>0</v>
      </c>
      <c r="U59" s="151">
        <f t="shared" si="114"/>
        <v>0</v>
      </c>
      <c r="V59" s="151">
        <f t="shared" ref="V59" si="115">IF(V13=1,-V58*V44,0)</f>
        <v>0</v>
      </c>
      <c r="W59" s="151">
        <f t="shared" ref="W59" si="116">IF(W13=1,-W58*W44,0)</f>
        <v>0</v>
      </c>
      <c r="X59" s="151">
        <f t="shared" ref="X59" si="117">IF(X13=1,-X58*X44,0)</f>
        <v>0</v>
      </c>
      <c r="Y59" s="151">
        <f t="shared" ref="Y59" si="118">IF(Y13=1,-Y58*Y44,0)</f>
        <v>0</v>
      </c>
      <c r="Z59" s="151">
        <f t="shared" ref="Z59" si="119">IF(Z13=1,-Z58*Z44,0)</f>
        <v>0</v>
      </c>
      <c r="AA59" s="151">
        <f t="shared" ref="AA59" si="120">IF(AA13=1,-AA58*AA44,0)</f>
        <v>0</v>
      </c>
    </row>
    <row r="61" spans="2:27" ht="21">
      <c r="B61" s="111" t="s">
        <v>465</v>
      </c>
      <c r="C61" s="152">
        <f>SUM(D59:AA59)</f>
        <v>0</v>
      </c>
    </row>
    <row r="63" spans="2:27" ht="21.5" thickBot="1">
      <c r="B63" s="109" t="s">
        <v>466</v>
      </c>
      <c r="C63" s="153">
        <f>C51+C56+C61</f>
        <v>0</v>
      </c>
    </row>
    <row r="67" spans="1:28" ht="21">
      <c r="A67" s="94" t="s">
        <v>467</v>
      </c>
      <c r="B67" s="93"/>
      <c r="C67" s="93"/>
    </row>
    <row r="69" spans="1:28">
      <c r="B69" t="s">
        <v>468</v>
      </c>
      <c r="D69" s="108"/>
      <c r="E69" s="108"/>
      <c r="F69" s="108"/>
      <c r="G69" s="108"/>
      <c r="H69" s="108"/>
      <c r="I69" s="108"/>
      <c r="J69" s="108"/>
      <c r="K69" s="108"/>
      <c r="L69" s="160"/>
      <c r="M69" s="160"/>
      <c r="N69" s="160"/>
      <c r="O69" s="160"/>
      <c r="P69" s="160"/>
      <c r="Q69" s="160"/>
      <c r="R69" s="160"/>
      <c r="S69" s="160"/>
      <c r="T69" s="160"/>
      <c r="U69" s="160"/>
      <c r="V69" s="160"/>
      <c r="W69" s="160"/>
      <c r="X69" s="160"/>
      <c r="Y69" s="160"/>
      <c r="Z69" s="160"/>
      <c r="AA69" s="160"/>
    </row>
    <row r="70" spans="1:28">
      <c r="B70" t="s">
        <v>469</v>
      </c>
      <c r="D70" s="149">
        <f t="shared" ref="D70:U70" si="121">1/(2+D69)</f>
        <v>0.5</v>
      </c>
      <c r="E70" s="149">
        <f t="shared" si="121"/>
        <v>0.5</v>
      </c>
      <c r="F70" s="149">
        <f t="shared" si="121"/>
        <v>0.5</v>
      </c>
      <c r="G70" s="149">
        <f t="shared" si="121"/>
        <v>0.5</v>
      </c>
      <c r="H70" s="149">
        <f t="shared" si="121"/>
        <v>0.5</v>
      </c>
      <c r="I70" s="149">
        <f t="shared" si="121"/>
        <v>0.5</v>
      </c>
      <c r="J70" s="149">
        <f t="shared" si="121"/>
        <v>0.5</v>
      </c>
      <c r="K70" s="149">
        <f t="shared" si="121"/>
        <v>0.5</v>
      </c>
      <c r="L70" s="149">
        <f t="shared" si="121"/>
        <v>0.5</v>
      </c>
      <c r="M70" s="149">
        <f t="shared" si="121"/>
        <v>0.5</v>
      </c>
      <c r="N70" s="149">
        <f t="shared" si="121"/>
        <v>0.5</v>
      </c>
      <c r="O70" s="149">
        <f t="shared" si="121"/>
        <v>0.5</v>
      </c>
      <c r="P70" s="149">
        <f t="shared" si="121"/>
        <v>0.5</v>
      </c>
      <c r="Q70" s="149">
        <f t="shared" si="121"/>
        <v>0.5</v>
      </c>
      <c r="R70" s="149">
        <f t="shared" si="121"/>
        <v>0.5</v>
      </c>
      <c r="S70" s="149">
        <f t="shared" si="121"/>
        <v>0.5</v>
      </c>
      <c r="T70" s="149">
        <f t="shared" si="121"/>
        <v>0.5</v>
      </c>
      <c r="U70" s="149">
        <f t="shared" si="121"/>
        <v>0.5</v>
      </c>
      <c r="V70" s="149">
        <f t="shared" ref="V70" si="122">1/(2+V69)</f>
        <v>0.5</v>
      </c>
      <c r="W70" s="149">
        <f t="shared" ref="W70" si="123">1/(2+W69)</f>
        <v>0.5</v>
      </c>
      <c r="X70" s="149">
        <f t="shared" ref="X70" si="124">1/(2+X69)</f>
        <v>0.5</v>
      </c>
      <c r="Y70" s="149">
        <f t="shared" ref="Y70" si="125">1/(2+Y69)</f>
        <v>0.5</v>
      </c>
      <c r="Z70" s="149">
        <f t="shared" ref="Z70" si="126">1/(2+Z69)</f>
        <v>0.5</v>
      </c>
      <c r="AA70" s="149">
        <f t="shared" ref="AA70" si="127">1/(2+AA69)</f>
        <v>0.5</v>
      </c>
    </row>
    <row r="71" spans="1:28" ht="42.75" customHeight="1">
      <c r="D71" s="171">
        <f t="shared" ref="D71:AA71" si="128">IF(D9=rr_num+1,1/(1+D69),IF(D9&lt;=rr_num,0,C71/(1+D69)))</f>
        <v>0</v>
      </c>
      <c r="E71" s="171">
        <f t="shared" si="128"/>
        <v>0</v>
      </c>
      <c r="F71" s="171">
        <f t="shared" si="128"/>
        <v>0</v>
      </c>
      <c r="G71" s="171">
        <f t="shared" si="128"/>
        <v>0</v>
      </c>
      <c r="H71" s="171">
        <f t="shared" si="128"/>
        <v>0</v>
      </c>
      <c r="I71" s="171">
        <f t="shared" si="128"/>
        <v>0</v>
      </c>
      <c r="J71" s="171">
        <f t="shared" si="128"/>
        <v>0</v>
      </c>
      <c r="K71" s="171">
        <f t="shared" si="128"/>
        <v>0</v>
      </c>
      <c r="L71" s="171">
        <f t="shared" si="128"/>
        <v>0</v>
      </c>
      <c r="M71" s="171">
        <f t="shared" si="128"/>
        <v>0</v>
      </c>
      <c r="N71" s="171">
        <f t="shared" si="128"/>
        <v>0</v>
      </c>
      <c r="O71" s="171">
        <f t="shared" si="128"/>
        <v>0</v>
      </c>
      <c r="P71" s="171">
        <f t="shared" si="128"/>
        <v>0</v>
      </c>
      <c r="Q71" s="171">
        <f t="shared" si="128"/>
        <v>0</v>
      </c>
      <c r="R71" s="171">
        <f t="shared" si="128"/>
        <v>0</v>
      </c>
      <c r="S71" s="171">
        <f t="shared" si="128"/>
        <v>0</v>
      </c>
      <c r="T71" s="171">
        <f t="shared" si="128"/>
        <v>0</v>
      </c>
      <c r="U71" s="171">
        <f t="shared" si="128"/>
        <v>1</v>
      </c>
      <c r="V71" s="171">
        <f t="shared" si="128"/>
        <v>1</v>
      </c>
      <c r="W71" s="171">
        <f t="shared" si="128"/>
        <v>1</v>
      </c>
      <c r="X71" s="171">
        <f t="shared" si="128"/>
        <v>1</v>
      </c>
      <c r="Y71" s="171">
        <f t="shared" si="128"/>
        <v>1</v>
      </c>
      <c r="Z71" s="171">
        <f t="shared" si="128"/>
        <v>1</v>
      </c>
      <c r="AA71" s="171">
        <f t="shared" si="128"/>
        <v>1</v>
      </c>
    </row>
    <row r="72" spans="1:28" ht="42.75" customHeight="1">
      <c r="D72" s="154">
        <f t="shared" ref="D72:U72" si="129">(1+D70*D69)*D71</f>
        <v>0</v>
      </c>
      <c r="E72" s="154">
        <f t="shared" si="129"/>
        <v>0</v>
      </c>
      <c r="F72" s="154">
        <f t="shared" si="129"/>
        <v>0</v>
      </c>
      <c r="G72" s="154">
        <f t="shared" si="129"/>
        <v>0</v>
      </c>
      <c r="H72" s="154">
        <f t="shared" si="129"/>
        <v>0</v>
      </c>
      <c r="I72" s="154">
        <f t="shared" si="129"/>
        <v>0</v>
      </c>
      <c r="J72" s="154">
        <f t="shared" si="129"/>
        <v>0</v>
      </c>
      <c r="K72" s="154">
        <f t="shared" si="129"/>
        <v>0</v>
      </c>
      <c r="L72" s="154">
        <f t="shared" si="129"/>
        <v>0</v>
      </c>
      <c r="M72" s="154">
        <f t="shared" si="129"/>
        <v>0</v>
      </c>
      <c r="N72" s="154">
        <f t="shared" si="129"/>
        <v>0</v>
      </c>
      <c r="O72" s="154">
        <f t="shared" si="129"/>
        <v>0</v>
      </c>
      <c r="P72" s="154">
        <f t="shared" si="129"/>
        <v>0</v>
      </c>
      <c r="Q72" s="154">
        <f t="shared" si="129"/>
        <v>0</v>
      </c>
      <c r="R72" s="154">
        <f t="shared" si="129"/>
        <v>0</v>
      </c>
      <c r="S72" s="154">
        <f t="shared" si="129"/>
        <v>0</v>
      </c>
      <c r="T72" s="154">
        <f t="shared" si="129"/>
        <v>0</v>
      </c>
      <c r="U72" s="154">
        <f t="shared" si="129"/>
        <v>1</v>
      </c>
      <c r="V72" s="154">
        <f t="shared" ref="V72" si="130">(1+V70*V69)*V71</f>
        <v>1</v>
      </c>
      <c r="W72" s="154">
        <f t="shared" ref="W72" si="131">(1+W70*W69)*W71</f>
        <v>1</v>
      </c>
      <c r="X72" s="154">
        <f t="shared" ref="X72" si="132">(1+X70*X69)*X71</f>
        <v>1</v>
      </c>
      <c r="Y72" s="154">
        <f t="shared" ref="Y72" si="133">(1+Y70*Y69)*Y71</f>
        <v>1</v>
      </c>
      <c r="Z72" s="154">
        <f t="shared" ref="Z72" si="134">(1+Z70*Z69)*Z71</f>
        <v>1</v>
      </c>
      <c r="AA72" s="154">
        <f t="shared" ref="AA72" si="135">(1+AA70*AA69)*AA71</f>
        <v>1</v>
      </c>
    </row>
    <row r="73" spans="1:28" s="105" customFormat="1" ht="22.5" customHeight="1">
      <c r="B73" s="105" t="s">
        <v>470</v>
      </c>
      <c r="D73" s="106"/>
      <c r="E73" s="106"/>
      <c r="F73" s="106"/>
      <c r="G73" s="106"/>
      <c r="H73" s="106"/>
      <c r="I73" s="106"/>
      <c r="J73" s="106"/>
      <c r="K73" s="106"/>
      <c r="L73" s="161"/>
      <c r="M73" s="161"/>
      <c r="N73" s="161"/>
      <c r="O73" s="161"/>
      <c r="P73" s="161"/>
      <c r="Q73" s="161"/>
      <c r="R73" s="161"/>
      <c r="S73" s="161"/>
      <c r="T73" s="161"/>
      <c r="U73" s="161"/>
      <c r="V73" s="161"/>
      <c r="W73" s="161"/>
      <c r="X73" s="161"/>
      <c r="Y73" s="161"/>
      <c r="Z73" s="161"/>
      <c r="AA73" s="161" cm="1">
        <f t="array" ref="AA73">(C87-SUM(D73:Z73*D72:Z72))/AA72</f>
        <v>0</v>
      </c>
      <c r="AB73" s="345" t="s">
        <v>471</v>
      </c>
    </row>
    <row r="74" spans="1:28" ht="15" thickBot="1">
      <c r="B74" t="s">
        <v>472</v>
      </c>
      <c r="D74" s="104">
        <f t="shared" ref="D74:U74" si="136">D73*D72</f>
        <v>0</v>
      </c>
      <c r="E74" s="104">
        <f t="shared" si="136"/>
        <v>0</v>
      </c>
      <c r="F74" s="104">
        <f t="shared" si="136"/>
        <v>0</v>
      </c>
      <c r="G74" s="104">
        <f t="shared" si="136"/>
        <v>0</v>
      </c>
      <c r="H74" s="104">
        <f t="shared" si="136"/>
        <v>0</v>
      </c>
      <c r="I74" s="104">
        <f t="shared" si="136"/>
        <v>0</v>
      </c>
      <c r="J74" s="104">
        <f t="shared" si="136"/>
        <v>0</v>
      </c>
      <c r="K74" s="104">
        <f t="shared" si="136"/>
        <v>0</v>
      </c>
      <c r="L74" s="104">
        <f t="shared" si="136"/>
        <v>0</v>
      </c>
      <c r="M74" s="104">
        <f t="shared" si="136"/>
        <v>0</v>
      </c>
      <c r="N74" s="104">
        <f t="shared" si="136"/>
        <v>0</v>
      </c>
      <c r="O74" s="104">
        <f t="shared" si="136"/>
        <v>0</v>
      </c>
      <c r="P74" s="104">
        <f t="shared" si="136"/>
        <v>0</v>
      </c>
      <c r="Q74" s="104">
        <f t="shared" si="136"/>
        <v>0</v>
      </c>
      <c r="R74" s="104">
        <f t="shared" si="136"/>
        <v>0</v>
      </c>
      <c r="S74" s="104">
        <f t="shared" si="136"/>
        <v>0</v>
      </c>
      <c r="T74" s="104">
        <f t="shared" si="136"/>
        <v>0</v>
      </c>
      <c r="U74" s="104">
        <f t="shared" si="136"/>
        <v>0</v>
      </c>
      <c r="V74" s="104">
        <f t="shared" ref="V74" si="137">V73*V72</f>
        <v>0</v>
      </c>
      <c r="W74" s="104">
        <f t="shared" ref="W74" si="138">W73*W72</f>
        <v>0</v>
      </c>
      <c r="X74" s="104">
        <f t="shared" ref="X74" si="139">X73*X72</f>
        <v>0</v>
      </c>
      <c r="Y74" s="104">
        <f t="shared" ref="Y74" si="140">Y73*Y72</f>
        <v>0</v>
      </c>
      <c r="Z74" s="104">
        <f t="shared" ref="Z74" si="141">Z73*Z72</f>
        <v>0</v>
      </c>
      <c r="AA74" s="104">
        <f t="shared" ref="AA74" si="142">AA73*AA72</f>
        <v>0</v>
      </c>
      <c r="AB74" s="344"/>
    </row>
    <row r="75" spans="1:28" ht="15" thickBot="1">
      <c r="B75" s="103" t="s">
        <v>473</v>
      </c>
      <c r="C75" s="157">
        <f>SUM(D74:AA74)</f>
        <v>0</v>
      </c>
      <c r="D75" s="92"/>
      <c r="E75" s="92"/>
      <c r="F75" s="92"/>
      <c r="G75" s="92"/>
      <c r="H75" s="92"/>
      <c r="I75" s="92"/>
      <c r="J75" s="92"/>
      <c r="K75" s="92"/>
      <c r="L75" s="92"/>
      <c r="M75" s="92"/>
      <c r="N75" s="92"/>
      <c r="O75" s="92"/>
      <c r="P75" s="92"/>
      <c r="Q75" s="92"/>
      <c r="R75" s="92"/>
      <c r="S75" s="92"/>
      <c r="T75" s="92"/>
      <c r="U75" s="92"/>
      <c r="V75" s="92"/>
      <c r="W75" s="92"/>
      <c r="X75" s="92"/>
      <c r="Y75" s="92"/>
      <c r="Z75" s="92"/>
      <c r="AA75" s="92"/>
      <c r="AB75" s="344"/>
    </row>
    <row r="76" spans="1:28">
      <c r="C76" s="99"/>
      <c r="D76" s="92"/>
      <c r="E76" s="92"/>
      <c r="F76" s="92"/>
      <c r="G76" s="92"/>
      <c r="H76" s="92"/>
      <c r="I76" s="92"/>
      <c r="J76" s="92"/>
      <c r="K76" s="92"/>
      <c r="L76" s="92"/>
      <c r="M76" s="92"/>
      <c r="N76" s="92"/>
      <c r="O76" s="92"/>
      <c r="P76" s="92"/>
      <c r="Q76" s="92"/>
      <c r="R76" s="92"/>
      <c r="S76" s="92"/>
      <c r="T76" s="92"/>
      <c r="U76" s="92"/>
      <c r="V76" s="92"/>
      <c r="W76" s="92"/>
      <c r="X76" s="92"/>
      <c r="Y76" s="92"/>
      <c r="Z76" s="92"/>
      <c r="AA76" s="92"/>
      <c r="AB76" s="344"/>
    </row>
    <row r="77" spans="1:28" s="97" customFormat="1">
      <c r="B77" s="97" t="s">
        <v>474</v>
      </c>
      <c r="C77" s="101"/>
      <c r="D77" s="170" t="e">
        <f>D73+INDEX('P2.6 IBAPA and PBAPA - L2'!9:9,MATCH(D10,'P2.6 IBAPA and PBAPA - L2'!4:4,0))</f>
        <v>#N/A</v>
      </c>
      <c r="E77" s="170" t="e">
        <f>E73+INDEX('P2.6 IBAPA and PBAPA - L2'!9:9,MATCH(E10,'P2.6 IBAPA and PBAPA - L2'!4:4,0))</f>
        <v>#N/A</v>
      </c>
      <c r="F77" s="170" t="e">
        <f>F73+INDEX('P2.6 IBAPA and PBAPA - L2'!9:9,MATCH(F10,'P2.6 IBAPA and PBAPA - L2'!4:4,0))</f>
        <v>#N/A</v>
      </c>
      <c r="G77" s="170" t="e">
        <f>G73+INDEX('P2.6 IBAPA and PBAPA - L2'!9:9,MATCH(G10,'P2.6 IBAPA and PBAPA - L2'!4:4,0))</f>
        <v>#N/A</v>
      </c>
      <c r="H77" s="170" t="e">
        <f>H73+INDEX('P2.6 IBAPA and PBAPA - L2'!9:9,MATCH(H10,'P2.6 IBAPA and PBAPA - L2'!4:4,0))</f>
        <v>#N/A</v>
      </c>
      <c r="I77" s="170" t="e">
        <f>I73+INDEX('P2.6 IBAPA and PBAPA - L2'!9:9,MATCH(I10,'P2.6 IBAPA and PBAPA - L2'!4:4,0))</f>
        <v>#N/A</v>
      </c>
      <c r="J77" s="170" t="e">
        <f>J73+INDEX('P2.6 IBAPA and PBAPA - L2'!9:9,MATCH(J10,'P2.6 IBAPA and PBAPA - L2'!4:4,0))</f>
        <v>#N/A</v>
      </c>
      <c r="K77" s="170" t="e">
        <f>K73+INDEX('P2.6 IBAPA and PBAPA - L2'!9:9,MATCH(K10,'P2.6 IBAPA and PBAPA - L2'!4:4,0))</f>
        <v>#N/A</v>
      </c>
      <c r="L77" s="170" t="e">
        <f>L73+INDEX('P2.6 IBAPA and PBAPA - L2'!9:9,MATCH(L10,'P2.6 IBAPA and PBAPA - L2'!4:4,0))</f>
        <v>#N/A</v>
      </c>
      <c r="M77" s="170" t="e">
        <f>M73+INDEX('P2.6 IBAPA and PBAPA - L2'!9:9,MATCH(M10,'P2.6 IBAPA and PBAPA - L2'!4:4,0))</f>
        <v>#N/A</v>
      </c>
      <c r="N77" s="170" t="e">
        <f>N73+INDEX('P2.6 IBAPA and PBAPA - L2'!9:9,MATCH(N10,'P2.6 IBAPA and PBAPA - L2'!4:4,0))</f>
        <v>#N/A</v>
      </c>
      <c r="O77" s="170" t="e">
        <f>O73+INDEX('P2.6 IBAPA and PBAPA - L2'!9:9,MATCH(O10,'P2.6 IBAPA and PBAPA - L2'!4:4,0))</f>
        <v>#N/A</v>
      </c>
      <c r="P77" s="170" t="e">
        <f>P73+INDEX('P2.6 IBAPA and PBAPA - L2'!9:9,MATCH(P10,'P2.6 IBAPA and PBAPA - L2'!4:4,0))</f>
        <v>#N/A</v>
      </c>
      <c r="Q77" s="170" t="e">
        <f>Q73+INDEX('P2.6 IBAPA and PBAPA - L2'!9:9,MATCH(Q10,'P2.6 IBAPA and PBAPA - L2'!4:4,0))</f>
        <v>#N/A</v>
      </c>
      <c r="R77" s="170" t="e">
        <f>R73+INDEX('P2.6 IBAPA and PBAPA - L2'!9:9,MATCH(R10,'P2.6 IBAPA and PBAPA - L2'!4:4,0))</f>
        <v>#N/A</v>
      </c>
      <c r="S77" s="170">
        <f ca="1">S73+INDEX('P2.6 IBAPA and PBAPA - L2'!9:9,MATCH(S10,'P2.6 IBAPA and PBAPA - L2'!4:4,0))</f>
        <v>0</v>
      </c>
      <c r="T77" s="170">
        <f ca="1">T73+INDEX('P2.6 IBAPA and PBAPA - L2'!9:9,MATCH(T10,'P2.6 IBAPA and PBAPA - L2'!4:4,0))</f>
        <v>0</v>
      </c>
      <c r="U77" s="170">
        <f>U73+INDEX('P2.6 IBAPA and PBAPA - L2'!9:9,MATCH(U10,'P2.6 IBAPA and PBAPA - L2'!4:4,0))</f>
        <v>0</v>
      </c>
      <c r="V77" s="170">
        <f>V73+INDEX('P2.6 IBAPA and PBAPA - L2'!9:9,MATCH(V10,'P2.6 IBAPA and PBAPA - L2'!4:4,0))</f>
        <v>0</v>
      </c>
      <c r="W77" s="170">
        <f>W73+INDEX('P2.6 IBAPA and PBAPA - L2'!9:9,MATCH(W10,'P2.6 IBAPA and PBAPA - L2'!4:4,0))</f>
        <v>0</v>
      </c>
      <c r="X77" s="170">
        <f>X73+INDEX('P2.6 IBAPA and PBAPA - L2'!9:9,MATCH(X10,'P2.6 IBAPA and PBAPA - L2'!4:4,0))</f>
        <v>0</v>
      </c>
      <c r="Y77" s="170">
        <f>Y73+INDEX('P2.6 IBAPA and PBAPA - L2'!9:9,MATCH(Y10,'P2.6 IBAPA and PBAPA - L2'!4:4,0))</f>
        <v>0</v>
      </c>
      <c r="Z77" s="170">
        <f>Z73+INDEX('P2.6 IBAPA and PBAPA - L2'!9:9,MATCH(Z10,'P2.6 IBAPA and PBAPA - L2'!4:4,0))</f>
        <v>0</v>
      </c>
      <c r="AA77" s="170">
        <f>AA73+INDEX('P2.6 IBAPA and PBAPA - L2'!9:9,MATCH(AA10,'P2.6 IBAPA and PBAPA - L2'!4:4,0))</f>
        <v>0</v>
      </c>
      <c r="AB77" s="344"/>
    </row>
    <row r="78" spans="1:28" s="97" customFormat="1">
      <c r="B78" s="97" t="s">
        <v>475</v>
      </c>
      <c r="C78" s="101"/>
      <c r="D78" s="102"/>
      <c r="E78" s="102"/>
      <c r="F78" s="102"/>
      <c r="G78" s="102"/>
      <c r="H78" s="102"/>
      <c r="I78" s="102"/>
      <c r="J78" s="102"/>
      <c r="K78" s="102"/>
      <c r="L78" s="102"/>
      <c r="M78" s="102"/>
      <c r="N78" s="102"/>
      <c r="O78" s="102"/>
      <c r="P78" s="102"/>
      <c r="Q78" s="102"/>
      <c r="R78" s="102"/>
      <c r="S78" s="102"/>
      <c r="T78" s="102"/>
      <c r="U78" s="102"/>
      <c r="V78" s="102"/>
      <c r="W78" s="102"/>
      <c r="X78" s="102"/>
      <c r="Y78" s="102"/>
      <c r="Z78" s="102"/>
      <c r="AA78" s="102"/>
      <c r="AB78" s="344"/>
    </row>
    <row r="79" spans="1:28" s="97" customFormat="1" ht="15" thickBot="1">
      <c r="B79" s="97" t="s">
        <v>476</v>
      </c>
      <c r="C79" s="101"/>
      <c r="D79" s="166" t="e">
        <f t="shared" ref="D79:U79" si="143">SUM(D77:D78)</f>
        <v>#N/A</v>
      </c>
      <c r="E79" s="166" t="e">
        <f t="shared" si="143"/>
        <v>#N/A</v>
      </c>
      <c r="F79" s="166" t="e">
        <f t="shared" si="143"/>
        <v>#N/A</v>
      </c>
      <c r="G79" s="166" t="e">
        <f t="shared" si="143"/>
        <v>#N/A</v>
      </c>
      <c r="H79" s="166" t="e">
        <f t="shared" si="143"/>
        <v>#N/A</v>
      </c>
      <c r="I79" s="166" t="e">
        <f t="shared" si="143"/>
        <v>#N/A</v>
      </c>
      <c r="J79" s="166" t="e">
        <f t="shared" si="143"/>
        <v>#N/A</v>
      </c>
      <c r="K79" s="166" t="e">
        <f t="shared" si="143"/>
        <v>#N/A</v>
      </c>
      <c r="L79" s="166" t="e">
        <f t="shared" si="143"/>
        <v>#N/A</v>
      </c>
      <c r="M79" s="166" t="e">
        <f t="shared" si="143"/>
        <v>#N/A</v>
      </c>
      <c r="N79" s="166" t="e">
        <f t="shared" si="143"/>
        <v>#N/A</v>
      </c>
      <c r="O79" s="166" t="e">
        <f t="shared" si="143"/>
        <v>#N/A</v>
      </c>
      <c r="P79" s="166" t="e">
        <f t="shared" si="143"/>
        <v>#N/A</v>
      </c>
      <c r="Q79" s="166" t="e">
        <f t="shared" si="143"/>
        <v>#N/A</v>
      </c>
      <c r="R79" s="166" t="e">
        <f t="shared" si="143"/>
        <v>#N/A</v>
      </c>
      <c r="S79" s="166">
        <f t="shared" ca="1" si="143"/>
        <v>0</v>
      </c>
      <c r="T79" s="166">
        <f t="shared" ca="1" si="143"/>
        <v>0</v>
      </c>
      <c r="U79" s="166">
        <f t="shared" si="143"/>
        <v>0</v>
      </c>
      <c r="V79" s="166">
        <f t="shared" ref="V79" si="144">SUM(V77:V78)</f>
        <v>0</v>
      </c>
      <c r="W79" s="166">
        <f t="shared" ref="W79" si="145">SUM(W77:W78)</f>
        <v>0</v>
      </c>
      <c r="X79" s="166">
        <f t="shared" ref="X79" si="146">SUM(X77:X78)</f>
        <v>0</v>
      </c>
      <c r="Y79" s="166">
        <f t="shared" ref="Y79" si="147">SUM(Y77:Y78)</f>
        <v>0</v>
      </c>
      <c r="Z79" s="166">
        <f t="shared" ref="Z79" si="148">SUM(Z77:Z78)</f>
        <v>0</v>
      </c>
      <c r="AA79" s="166">
        <f t="shared" ref="AA79" si="149">SUM(AA77:AA78)</f>
        <v>0</v>
      </c>
      <c r="AB79" s="344"/>
    </row>
    <row r="80" spans="1:28">
      <c r="C80" s="100"/>
      <c r="D80" s="92"/>
      <c r="E80" s="92"/>
      <c r="F80" s="92"/>
      <c r="G80" s="92"/>
      <c r="H80" s="92"/>
      <c r="I80" s="92"/>
      <c r="J80" s="92"/>
      <c r="K80" s="92"/>
      <c r="L80" s="92"/>
      <c r="M80" s="92"/>
      <c r="N80" s="92"/>
      <c r="O80" s="92"/>
      <c r="P80" s="92"/>
      <c r="Q80" s="92"/>
      <c r="R80" s="92"/>
      <c r="S80" s="92"/>
      <c r="T80" s="92"/>
      <c r="U80" s="92"/>
      <c r="V80" s="92"/>
      <c r="W80" s="92"/>
      <c r="X80" s="92"/>
      <c r="Y80" s="92"/>
      <c r="Z80" s="92"/>
      <c r="AA80" s="92"/>
      <c r="AB80" s="344"/>
    </row>
    <row r="81" spans="1:27">
      <c r="B81" t="s">
        <v>477</v>
      </c>
      <c r="C81" s="99">
        <f>'P2.6 IBAPA and PBAPA - L2'!C16</f>
        <v>0</v>
      </c>
      <c r="D81" s="92"/>
      <c r="E81" s="92"/>
      <c r="F81" s="92"/>
      <c r="G81" s="92"/>
      <c r="H81" s="92"/>
      <c r="I81" s="92"/>
      <c r="J81" s="92"/>
      <c r="K81" s="92"/>
      <c r="L81" s="92"/>
      <c r="M81" s="92"/>
      <c r="N81" s="92"/>
      <c r="O81" s="92"/>
      <c r="P81" s="92"/>
      <c r="Q81" s="92"/>
      <c r="R81" s="92"/>
      <c r="S81" s="92"/>
      <c r="T81" s="92"/>
      <c r="U81" s="92"/>
      <c r="V81" s="92"/>
      <c r="W81" s="92"/>
      <c r="X81" s="92"/>
      <c r="Y81" s="92"/>
      <c r="Z81" s="92"/>
      <c r="AA81" s="92"/>
    </row>
    <row r="82" spans="1:27">
      <c r="B82" t="s">
        <v>478</v>
      </c>
      <c r="C82" s="169">
        <f>INDEX($D$44:$U$44,MATCH(rr_num-1,$D$9:$U$9,0))</f>
        <v>1</v>
      </c>
      <c r="D82" s="92"/>
      <c r="E82" s="92"/>
      <c r="F82" s="92"/>
      <c r="G82" s="92"/>
      <c r="H82" s="92"/>
      <c r="I82" s="92"/>
      <c r="J82" s="92"/>
      <c r="K82" s="92"/>
      <c r="L82" s="92"/>
      <c r="M82" s="92"/>
      <c r="N82" s="92"/>
      <c r="O82" s="92"/>
      <c r="P82" s="92"/>
      <c r="Q82" s="92"/>
      <c r="R82" s="92"/>
      <c r="S82" s="92"/>
      <c r="T82" s="92"/>
      <c r="U82" s="92"/>
      <c r="V82" s="92"/>
      <c r="W82" s="92"/>
      <c r="X82" s="92"/>
      <c r="Y82" s="92"/>
      <c r="Z82" s="92"/>
      <c r="AA82" s="92"/>
    </row>
    <row r="83" spans="1:27">
      <c r="B83" t="s">
        <v>479</v>
      </c>
      <c r="C83" s="155">
        <f>C81*C82</f>
        <v>0</v>
      </c>
      <c r="D83" s="92"/>
      <c r="E83" s="92"/>
      <c r="F83" s="92"/>
      <c r="G83" s="92"/>
      <c r="H83" s="92"/>
      <c r="I83" s="92"/>
      <c r="J83" s="92"/>
      <c r="K83" s="92"/>
      <c r="L83" s="92"/>
      <c r="M83" s="92"/>
      <c r="N83" s="92"/>
      <c r="O83" s="92"/>
      <c r="P83" s="92"/>
      <c r="Q83" s="92"/>
      <c r="R83" s="92"/>
      <c r="S83" s="92"/>
      <c r="T83" s="92"/>
      <c r="U83" s="92"/>
      <c r="V83" s="92"/>
      <c r="W83" s="92"/>
      <c r="X83" s="92"/>
      <c r="Y83" s="92"/>
      <c r="Z83" s="92"/>
      <c r="AA83" s="92"/>
    </row>
    <row r="84" spans="1:27">
      <c r="B84" t="s">
        <v>480</v>
      </c>
      <c r="C84" s="141"/>
      <c r="D84" s="92"/>
      <c r="E84" s="92"/>
      <c r="F84" s="92"/>
      <c r="G84" s="92"/>
      <c r="H84" s="92"/>
      <c r="I84" s="92"/>
      <c r="J84" s="92"/>
      <c r="K84" s="92"/>
      <c r="L84" s="92"/>
      <c r="M84" s="92"/>
      <c r="N84" s="92"/>
      <c r="O84" s="92"/>
      <c r="P84" s="92"/>
      <c r="Q84" s="92"/>
      <c r="R84" s="92"/>
      <c r="S84" s="92"/>
      <c r="T84" s="92"/>
      <c r="U84" s="92"/>
      <c r="V84" s="92"/>
      <c r="W84" s="92"/>
      <c r="X84" s="92"/>
      <c r="Y84" s="92"/>
      <c r="Z84" s="92"/>
      <c r="AA84" s="92"/>
    </row>
    <row r="85" spans="1:27">
      <c r="B85" t="s">
        <v>481</v>
      </c>
      <c r="C85" s="155">
        <f>C83+C84</f>
        <v>0</v>
      </c>
      <c r="D85" s="92"/>
      <c r="E85" s="92"/>
      <c r="F85" s="92"/>
      <c r="G85" s="92"/>
      <c r="H85" s="92"/>
      <c r="I85" s="92"/>
      <c r="J85" s="92"/>
      <c r="K85" s="92"/>
      <c r="L85" s="92"/>
      <c r="M85" s="92"/>
      <c r="N85" s="92"/>
      <c r="O85" s="92"/>
      <c r="P85" s="92"/>
      <c r="Q85" s="92"/>
      <c r="R85" s="92"/>
      <c r="S85" s="92"/>
      <c r="T85" s="92"/>
      <c r="U85" s="92"/>
      <c r="V85" s="92"/>
      <c r="W85" s="92"/>
      <c r="X85" s="92"/>
      <c r="Y85" s="92"/>
      <c r="Z85" s="92"/>
      <c r="AA85" s="92"/>
    </row>
    <row r="86" spans="1:27">
      <c r="B86" t="s">
        <v>482</v>
      </c>
      <c r="C86" s="156">
        <f>C63</f>
        <v>0</v>
      </c>
      <c r="D86" s="92"/>
      <c r="E86" s="92"/>
      <c r="F86" s="92"/>
      <c r="G86" s="92"/>
      <c r="H86" s="92"/>
      <c r="I86" s="92"/>
      <c r="J86" s="92"/>
      <c r="K86" s="92"/>
      <c r="L86" s="92"/>
      <c r="M86" s="92"/>
      <c r="N86" s="92"/>
      <c r="O86" s="92"/>
      <c r="P86" s="92"/>
      <c r="Q86" s="92"/>
      <c r="R86" s="92"/>
      <c r="S86" s="92"/>
      <c r="T86" s="92"/>
      <c r="U86" s="92"/>
      <c r="V86" s="92"/>
      <c r="W86" s="92"/>
      <c r="X86" s="92"/>
      <c r="Y86" s="92"/>
      <c r="Z86" s="92"/>
      <c r="AA86" s="92"/>
    </row>
    <row r="87" spans="1:27" ht="15" thickBot="1">
      <c r="B87" s="98" t="s">
        <v>483</v>
      </c>
      <c r="C87" s="157">
        <f>C85+C86</f>
        <v>0</v>
      </c>
      <c r="D87" s="92"/>
      <c r="E87" s="92"/>
      <c r="F87" s="92"/>
      <c r="G87" s="92"/>
      <c r="H87" s="92"/>
      <c r="I87" s="92"/>
      <c r="J87" s="92"/>
      <c r="K87" s="92"/>
      <c r="L87" s="92"/>
      <c r="M87" s="92"/>
      <c r="N87" s="92"/>
      <c r="O87" s="92"/>
      <c r="P87" s="92"/>
      <c r="Q87" s="92"/>
      <c r="R87" s="92"/>
      <c r="S87" s="92"/>
      <c r="T87" s="92"/>
      <c r="U87" s="92"/>
      <c r="V87" s="92"/>
      <c r="W87" s="92"/>
      <c r="X87" s="92"/>
      <c r="Y87" s="92"/>
      <c r="Z87" s="92"/>
      <c r="AA87" s="92"/>
    </row>
    <row r="88" spans="1:27">
      <c r="C88" s="92"/>
      <c r="D88" s="92"/>
      <c r="E88" s="92"/>
      <c r="F88" s="92"/>
      <c r="G88" s="92"/>
      <c r="H88" s="92"/>
      <c r="I88" s="92"/>
      <c r="J88" s="92"/>
      <c r="K88" s="92"/>
      <c r="L88" s="92"/>
      <c r="M88" s="92"/>
      <c r="N88" s="92"/>
      <c r="O88" s="92"/>
      <c r="P88" s="92"/>
      <c r="Q88" s="92"/>
      <c r="R88" s="92"/>
      <c r="S88" s="92"/>
      <c r="T88" s="92"/>
      <c r="U88" s="92"/>
      <c r="V88" s="92"/>
      <c r="W88" s="92"/>
      <c r="X88" s="92"/>
      <c r="Y88" s="92"/>
      <c r="Z88" s="92"/>
      <c r="AA88" s="92"/>
    </row>
    <row r="89" spans="1:27">
      <c r="C89" s="92"/>
      <c r="D89" s="92"/>
      <c r="E89" s="92"/>
      <c r="F89" s="92"/>
      <c r="G89" s="92"/>
      <c r="H89" s="92"/>
      <c r="I89" s="92"/>
      <c r="J89" s="92"/>
      <c r="K89" s="92"/>
      <c r="L89" s="92"/>
      <c r="M89" s="92"/>
      <c r="N89" s="92"/>
      <c r="O89" s="92"/>
      <c r="P89" s="92"/>
      <c r="Q89" s="92"/>
      <c r="R89" s="92"/>
      <c r="S89" s="92"/>
      <c r="T89" s="92"/>
      <c r="U89" s="92"/>
      <c r="V89" s="92"/>
      <c r="W89" s="92"/>
      <c r="X89" s="92"/>
      <c r="Y89" s="92"/>
      <c r="Z89" s="92"/>
      <c r="AA89" s="92"/>
    </row>
    <row r="90" spans="1:27">
      <c r="B90" s="97" t="s">
        <v>484</v>
      </c>
      <c r="C90" s="92"/>
      <c r="D90" s="92"/>
      <c r="E90" s="92"/>
      <c r="F90" s="92"/>
      <c r="G90" s="92"/>
      <c r="H90" s="92"/>
      <c r="I90" s="92"/>
      <c r="J90" s="92"/>
      <c r="K90" s="92"/>
      <c r="L90" s="92"/>
      <c r="M90" s="92"/>
      <c r="N90" s="92"/>
      <c r="O90" s="92"/>
      <c r="P90" s="92"/>
      <c r="Q90" s="92"/>
      <c r="R90" s="92"/>
      <c r="S90" s="92"/>
      <c r="T90" s="92"/>
      <c r="U90" s="92"/>
      <c r="V90" s="92"/>
      <c r="W90" s="92"/>
      <c r="X90" s="92"/>
      <c r="Y90" s="92"/>
      <c r="Z90" s="92"/>
      <c r="AA90" s="92"/>
    </row>
    <row r="91" spans="1:27" ht="21.5" thickBot="1">
      <c r="B91" s="96">
        <f>C75</f>
        <v>0</v>
      </c>
      <c r="C91" s="95">
        <f>C87</f>
        <v>0</v>
      </c>
    </row>
    <row r="94" spans="1:27" ht="21">
      <c r="A94" s="94" t="s">
        <v>485</v>
      </c>
      <c r="B94" s="93"/>
      <c r="C94" s="93"/>
    </row>
    <row r="96" spans="1:27">
      <c r="B96" t="s">
        <v>486</v>
      </c>
      <c r="C96" s="158">
        <f>C51</f>
        <v>0</v>
      </c>
    </row>
    <row r="97" spans="2:3" ht="15" thickBot="1">
      <c r="B97" s="91" t="s">
        <v>487</v>
      </c>
      <c r="C97" s="159">
        <f>C61</f>
        <v>0</v>
      </c>
    </row>
  </sheetData>
  <conditionalFormatting sqref="D13:U14">
    <cfRule type="cellIs" dxfId="14" priority="65" operator="equal">
      <formula>1</formula>
    </cfRule>
  </conditionalFormatting>
  <conditionalFormatting sqref="D11:AA11">
    <cfRule type="cellIs" dxfId="13" priority="70" operator="equal">
      <formula>1</formula>
    </cfRule>
  </conditionalFormatting>
  <conditionalFormatting sqref="D12:AA12">
    <cfRule type="cellIs" dxfId="12" priority="69" operator="equal">
      <formula>1</formula>
    </cfRule>
  </conditionalFormatting>
  <conditionalFormatting sqref="D14:AA14">
    <cfRule type="cellIs" dxfId="11" priority="62" operator="equal">
      <formula>1</formula>
    </cfRule>
  </conditionalFormatting>
  <conditionalFormatting sqref="D17:AA21">
    <cfRule type="expression" dxfId="10" priority="18">
      <formula>D$9&gt;rr_num</formula>
    </cfRule>
  </conditionalFormatting>
  <conditionalFormatting sqref="D22:AA24">
    <cfRule type="expression" dxfId="9" priority="20">
      <formula>D$9&gt;=rr_num-1</formula>
    </cfRule>
  </conditionalFormatting>
  <conditionalFormatting sqref="D28:AA28">
    <cfRule type="expression" dxfId="8" priority="68">
      <formula>D27&gt;0</formula>
    </cfRule>
  </conditionalFormatting>
  <conditionalFormatting sqref="D32:AA32">
    <cfRule type="cellIs" dxfId="7" priority="67" operator="equal">
      <formula>0</formula>
    </cfRule>
  </conditionalFormatting>
  <conditionalFormatting sqref="D35:AA37">
    <cfRule type="expression" dxfId="6" priority="21">
      <formula>D$14=1</formula>
    </cfRule>
  </conditionalFormatting>
  <conditionalFormatting sqref="D59:AA59">
    <cfRule type="expression" dxfId="5" priority="63">
      <formula>OR(D12=1,D13=1)</formula>
    </cfRule>
  </conditionalFormatting>
  <conditionalFormatting sqref="D69:AA70">
    <cfRule type="expression" dxfId="4" priority="22">
      <formula>D$14=0</formula>
    </cfRule>
  </conditionalFormatting>
  <conditionalFormatting sqref="D73:AA73">
    <cfRule type="expression" dxfId="3" priority="1">
      <formula>D$14=0</formula>
    </cfRule>
  </conditionalFormatting>
  <conditionalFormatting sqref="D77:AA79">
    <cfRule type="expression" dxfId="2" priority="19">
      <formula>D$14=0</formula>
    </cfRule>
  </conditionalFormatting>
  <conditionalFormatting sqref="I45">
    <cfRule type="expression" dxfId="1" priority="64">
      <formula>#REF!=1</formula>
    </cfRule>
  </conditionalFormatting>
  <conditionalFormatting sqref="I50 D54:AA54">
    <cfRule type="expression" dxfId="0" priority="66">
      <formula>D8=1</formula>
    </cfRule>
  </conditionalFormatting>
  <pageMargins left="0.7" right="0.7" top="0.75" bottom="0.75" header="0.3" footer="0.3"/>
  <pageSetup paperSize="9" orientation="portrait" r:id="rId1"/>
  <headerFooter>
    <oddFooter>&amp;C_x000D_&amp;1#&amp;"Calibri"&amp;10&amp;K000000 OFFICIAL-InternalOnly</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2529" r:id="rId4" name="Drop Down 1">
              <controlPr defaultSize="0" autoLine="0" autoPict="0" altText="drop down for 1st year cut-off selection">
                <anchor moveWithCells="1">
                  <from>
                    <xdr:col>2</xdr:col>
                    <xdr:colOff>0</xdr:colOff>
                    <xdr:row>3</xdr:row>
                    <xdr:rowOff>184150</xdr:rowOff>
                  </from>
                  <to>
                    <xdr:col>3</xdr:col>
                    <xdr:colOff>0</xdr:colOff>
                    <xdr:row>4</xdr:row>
                    <xdr:rowOff>203200</xdr:rowOff>
                  </to>
                </anchor>
              </controlPr>
            </control>
          </mc:Choice>
        </mc:AlternateContent>
        <mc:AlternateContent xmlns:mc="http://schemas.openxmlformats.org/markup-compatibility/2006">
          <mc:Choice Requires="x14">
            <control shapeId="22530" r:id="rId5" name="Drop Down 2">
              <controlPr defaultSize="0" autoLine="0" autoPict="0" altText="drop dpwm for reasonableness review year selection">
                <anchor moveWithCells="1">
                  <from>
                    <xdr:col>2</xdr:col>
                    <xdr:colOff>0</xdr:colOff>
                    <xdr:row>4</xdr:row>
                    <xdr:rowOff>203200</xdr:rowOff>
                  </from>
                  <to>
                    <xdr:col>3</xdr:col>
                    <xdr:colOff>0</xdr:colOff>
                    <xdr:row>5</xdr:row>
                    <xdr:rowOff>190500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499984740745262"/>
    <pageSetUpPr fitToPage="1"/>
  </sheetPr>
  <dimension ref="A1:AM50"/>
  <sheetViews>
    <sheetView showGridLines="0" zoomScaleNormal="100" workbookViewId="0">
      <pane xSplit="4" topLeftCell="E1" activePane="topRight" state="frozenSplit"/>
      <selection activeCell="I13" sqref="I13"/>
      <selection pane="topRight" activeCell="J10" sqref="J10"/>
    </sheetView>
  </sheetViews>
  <sheetFormatPr defaultRowHeight="14.5"/>
  <cols>
    <col min="1" max="1" width="10.54296875" customWidth="1"/>
    <col min="2" max="2" width="28.81640625" customWidth="1"/>
    <col min="3" max="3" width="15.1796875" customWidth="1"/>
    <col min="4" max="4" width="6.54296875" customWidth="1"/>
    <col min="5" max="5" width="35.54296875" customWidth="1"/>
    <col min="8" max="8" width="17.453125" bestFit="1" customWidth="1"/>
    <col min="9" max="9" width="14.1796875" customWidth="1"/>
    <col min="10" max="24" width="11.54296875" bestFit="1" customWidth="1"/>
    <col min="25" max="39" width="10.7265625" bestFit="1" customWidth="1"/>
  </cols>
  <sheetData>
    <row r="1" spans="1:39" s="120" customFormat="1" ht="20">
      <c r="A1" s="79" t="s">
        <v>592</v>
      </c>
      <c r="B1" s="79"/>
      <c r="C1" s="74"/>
      <c r="D1" s="137" t="s">
        <v>429</v>
      </c>
      <c r="E1" s="74"/>
      <c r="F1" s="74"/>
      <c r="G1" s="74"/>
      <c r="H1" s="74"/>
      <c r="I1" s="74"/>
      <c r="J1" s="74"/>
      <c r="K1" s="74"/>
      <c r="L1" s="74"/>
      <c r="M1" s="74"/>
      <c r="N1" s="74"/>
      <c r="O1" s="74"/>
      <c r="P1" s="74"/>
      <c r="Q1" s="74"/>
      <c r="R1" s="74"/>
      <c r="S1" s="74"/>
    </row>
    <row r="2" spans="1:39" s="120" customFormat="1" ht="20">
      <c r="A2" s="79" t="str">
        <f>+'Pension Pack cover'!D15</f>
        <v>Licensee 2</v>
      </c>
      <c r="B2" s="79"/>
      <c r="C2" s="74"/>
      <c r="D2" s="137" t="s">
        <v>430</v>
      </c>
      <c r="E2" s="74"/>
      <c r="F2" s="74"/>
      <c r="G2" s="74"/>
      <c r="H2" s="74"/>
      <c r="I2" s="74"/>
      <c r="J2" s="74"/>
      <c r="K2" s="74"/>
      <c r="L2" s="74"/>
      <c r="M2" s="74"/>
      <c r="N2" s="74"/>
      <c r="O2" s="74"/>
      <c r="P2" s="74"/>
      <c r="Q2" s="74"/>
      <c r="R2" s="74"/>
      <c r="S2" s="74"/>
    </row>
    <row r="3" spans="1:39" s="120" customFormat="1" ht="20">
      <c r="A3" s="135">
        <f>+'Pension Pack cover'!D24</f>
        <v>2026</v>
      </c>
      <c r="B3" s="79"/>
      <c r="C3" s="74"/>
      <c r="D3" s="137" t="s">
        <v>489</v>
      </c>
      <c r="E3" s="74"/>
      <c r="F3" s="74"/>
      <c r="G3" s="74"/>
      <c r="H3" s="74"/>
      <c r="I3" s="74"/>
      <c r="J3" s="74"/>
      <c r="K3" s="74"/>
      <c r="L3" s="74"/>
      <c r="M3" s="74"/>
      <c r="N3" s="74"/>
      <c r="O3" s="74"/>
      <c r="P3" s="74"/>
      <c r="Q3" s="74"/>
      <c r="R3" s="74"/>
      <c r="S3" s="74"/>
    </row>
    <row r="4" spans="1:39" ht="16">
      <c r="J4" s="119" t="str">
        <f t="shared" ref="J4:AM4" si="0">INDEX(yearQ,J6+rr_num-2)</f>
        <v>2025-26</v>
      </c>
      <c r="K4" s="119" t="str">
        <f t="shared" si="0"/>
        <v>2026-27</v>
      </c>
      <c r="L4" s="119" t="str">
        <f t="shared" si="0"/>
        <v>2027-28</v>
      </c>
      <c r="M4" s="119" t="str">
        <f t="shared" si="0"/>
        <v>2028-29</v>
      </c>
      <c r="N4" s="119" t="str">
        <f t="shared" si="0"/>
        <v>2029-30</v>
      </c>
      <c r="O4" s="119" t="str">
        <f t="shared" si="0"/>
        <v>2030-31</v>
      </c>
      <c r="P4" s="119" t="str">
        <f t="shared" si="0"/>
        <v>2031-32</v>
      </c>
      <c r="Q4" s="119" t="str">
        <f t="shared" si="0"/>
        <v>2032-33</v>
      </c>
      <c r="R4" s="119" t="str">
        <f t="shared" si="0"/>
        <v>2033-34</v>
      </c>
      <c r="S4" s="119" t="str">
        <f t="shared" si="0"/>
        <v>2034-35</v>
      </c>
      <c r="T4" s="119" t="str">
        <f t="shared" si="0"/>
        <v>2035-36</v>
      </c>
      <c r="U4" s="119" t="str">
        <f t="shared" si="0"/>
        <v>2036-37</v>
      </c>
      <c r="V4" s="119" t="str">
        <f t="shared" si="0"/>
        <v>2037-38</v>
      </c>
      <c r="W4" s="119" t="str">
        <f t="shared" si="0"/>
        <v>2038-39</v>
      </c>
      <c r="X4" s="119" t="str">
        <f t="shared" si="0"/>
        <v>2039-40</v>
      </c>
      <c r="Y4" s="119" t="str">
        <f t="shared" si="0"/>
        <v>2040-41</v>
      </c>
      <c r="Z4" s="119" t="str">
        <f t="shared" si="0"/>
        <v>2041-42</v>
      </c>
      <c r="AA4" s="119" t="str">
        <f t="shared" si="0"/>
        <v>2042-43</v>
      </c>
      <c r="AB4" s="119" t="str">
        <f t="shared" si="0"/>
        <v>2043-44</v>
      </c>
      <c r="AC4" s="119" t="str">
        <f t="shared" si="0"/>
        <v>2044-45</v>
      </c>
      <c r="AD4" s="119" t="str">
        <f t="shared" si="0"/>
        <v>2045-46</v>
      </c>
      <c r="AE4" s="119" t="str">
        <f t="shared" si="0"/>
        <v>2046-47</v>
      </c>
      <c r="AF4" s="119" t="str">
        <f t="shared" si="0"/>
        <v>2047-48</v>
      </c>
      <c r="AG4" s="119" t="str">
        <f t="shared" si="0"/>
        <v>2048-49</v>
      </c>
      <c r="AH4" s="119" t="str">
        <f t="shared" si="0"/>
        <v>2049-50</v>
      </c>
      <c r="AI4" s="119" t="str">
        <f t="shared" si="0"/>
        <v>2050-51</v>
      </c>
      <c r="AJ4" s="119" t="str">
        <f t="shared" si="0"/>
        <v>2051-52</v>
      </c>
      <c r="AK4" s="119" t="str">
        <f t="shared" si="0"/>
        <v>2052-53</v>
      </c>
      <c r="AL4" s="119" t="str">
        <f t="shared" si="0"/>
        <v>2053-54</v>
      </c>
      <c r="AM4" s="119" t="str">
        <f t="shared" si="0"/>
        <v>2054-55</v>
      </c>
    </row>
    <row r="5" spans="1:39" ht="16">
      <c r="B5" s="130" t="s">
        <v>490</v>
      </c>
      <c r="C5" s="119" t="s">
        <v>491</v>
      </c>
      <c r="E5" s="129" t="s">
        <v>492</v>
      </c>
      <c r="H5" s="130" t="s">
        <v>493</v>
      </c>
      <c r="I5" s="130"/>
      <c r="J5" s="119" t="s">
        <v>494</v>
      </c>
      <c r="K5" s="119" t="s">
        <v>495</v>
      </c>
      <c r="L5" s="119" t="s">
        <v>496</v>
      </c>
      <c r="M5" s="119" t="s">
        <v>497</v>
      </c>
      <c r="N5" s="119" t="s">
        <v>498</v>
      </c>
      <c r="O5" s="119" t="s">
        <v>499</v>
      </c>
      <c r="P5" s="119" t="s">
        <v>500</v>
      </c>
      <c r="Q5" s="119" t="s">
        <v>501</v>
      </c>
      <c r="R5" s="119" t="s">
        <v>502</v>
      </c>
      <c r="S5" s="119" t="s">
        <v>503</v>
      </c>
      <c r="T5" s="119" t="s">
        <v>504</v>
      </c>
      <c r="U5" s="119" t="s">
        <v>505</v>
      </c>
      <c r="V5" s="119" t="s">
        <v>506</v>
      </c>
      <c r="W5" s="119" t="s">
        <v>507</v>
      </c>
      <c r="X5" s="119" t="s">
        <v>508</v>
      </c>
      <c r="Y5" s="119" t="s">
        <v>509</v>
      </c>
      <c r="Z5" s="119" t="s">
        <v>510</v>
      </c>
      <c r="AA5" s="119" t="s">
        <v>511</v>
      </c>
      <c r="AB5" s="119" t="s">
        <v>512</v>
      </c>
      <c r="AC5" s="119" t="s">
        <v>513</v>
      </c>
      <c r="AD5" s="119" t="s">
        <v>514</v>
      </c>
      <c r="AE5" s="119" t="s">
        <v>515</v>
      </c>
      <c r="AF5" s="119" t="s">
        <v>516</v>
      </c>
      <c r="AG5" s="119" t="s">
        <v>517</v>
      </c>
      <c r="AH5" s="119" t="s">
        <v>518</v>
      </c>
      <c r="AI5" s="119" t="s">
        <v>519</v>
      </c>
      <c r="AJ5" s="119" t="s">
        <v>520</v>
      </c>
      <c r="AK5" s="119" t="s">
        <v>521</v>
      </c>
      <c r="AL5" s="119" t="s">
        <v>522</v>
      </c>
      <c r="AM5" s="119" t="s">
        <v>523</v>
      </c>
    </row>
    <row r="6" spans="1:39" ht="3" customHeight="1">
      <c r="B6" s="130"/>
      <c r="C6" s="119"/>
      <c r="E6" s="129"/>
      <c r="H6" s="130"/>
      <c r="I6" s="130"/>
      <c r="J6">
        <v>1</v>
      </c>
      <c r="K6">
        <v>2</v>
      </c>
      <c r="L6">
        <v>3</v>
      </c>
      <c r="M6">
        <v>4</v>
      </c>
      <c r="N6">
        <v>5</v>
      </c>
      <c r="O6">
        <v>6</v>
      </c>
      <c r="P6">
        <v>7</v>
      </c>
      <c r="Q6">
        <v>8</v>
      </c>
      <c r="R6">
        <v>9</v>
      </c>
      <c r="S6">
        <v>10</v>
      </c>
      <c r="T6">
        <v>11</v>
      </c>
      <c r="U6">
        <v>12</v>
      </c>
      <c r="V6">
        <v>13</v>
      </c>
      <c r="W6">
        <v>14</v>
      </c>
      <c r="X6">
        <v>15</v>
      </c>
      <c r="Y6">
        <v>16</v>
      </c>
      <c r="Z6">
        <v>17</v>
      </c>
      <c r="AA6">
        <v>18</v>
      </c>
      <c r="AB6">
        <v>19</v>
      </c>
      <c r="AC6">
        <v>20</v>
      </c>
      <c r="AD6">
        <v>21</v>
      </c>
      <c r="AE6">
        <v>22</v>
      </c>
      <c r="AF6">
        <v>23</v>
      </c>
      <c r="AG6">
        <v>24</v>
      </c>
      <c r="AH6">
        <v>25</v>
      </c>
      <c r="AI6">
        <v>26</v>
      </c>
      <c r="AJ6">
        <v>27</v>
      </c>
      <c r="AK6">
        <v>28</v>
      </c>
      <c r="AL6">
        <v>29</v>
      </c>
      <c r="AM6">
        <v>30</v>
      </c>
    </row>
    <row r="7" spans="1:39" ht="16">
      <c r="B7" t="s">
        <v>433</v>
      </c>
      <c r="E7" s="129"/>
      <c r="H7" t="s">
        <v>524</v>
      </c>
      <c r="J7" s="174">
        <f t="array" aca="1" ref="J7" ca="1">IF(J6&lt;=$C$23,flatBAPA2,IF(J6&gt;$C$23,(PSEDB-SUM($I7:I7*$I16:I16))/J16,0))</f>
        <v>0</v>
      </c>
      <c r="K7" s="174">
        <f t="array" aca="1" ref="K7" ca="1">IF(K6&lt;=$C$23,flatBAPA2,IF(K6&gt;$C$23,(PSEDB-SUM($I7:J7*$I16:J16))/K16,0))</f>
        <v>0</v>
      </c>
      <c r="L7" s="174">
        <f t="array" aca="1" ref="L7" ca="1">IF(L6&lt;=$C$23,flatBAPA2,IF(L6&gt;$C$23,(PSEDB-SUM($I7:K7*$I16:K16))/L16,0))</f>
        <v>0</v>
      </c>
      <c r="M7" s="174">
        <f t="array" aca="1" ref="M7" ca="1">IF(M6&lt;=$C$23,flatBAPA2,IF(M6&gt;$C$23,(PSEDB-SUM($I7:L7*$I16:L16))/M16,0))</f>
        <v>0</v>
      </c>
      <c r="N7" s="174">
        <f t="array" aca="1" ref="N7" ca="1">IF(N6&lt;=$C$23,flatBAPA2,IF(N6&gt;$C$23,(PSEDB-SUM($I7:M7*$I16:M16))/N16,0))</f>
        <v>0</v>
      </c>
      <c r="O7" s="174">
        <f t="array" aca="1" ref="O7" ca="1">IF(O6&lt;=$C$23,flatBAPA2,IF(O6&gt;$C$23,(PSEDB-SUM($I7:N7*$I16:N16))/O16,0))</f>
        <v>0</v>
      </c>
      <c r="P7" s="174">
        <f t="array" aca="1" ref="P7" ca="1">IF(P6&lt;=$C$23,flatBAPA2,IF(P6&gt;$C$23,(PSEDB-SUM($I7:O7*$I16:O16))/P16,0))</f>
        <v>0</v>
      </c>
      <c r="Q7" s="174">
        <f t="array" aca="1" ref="Q7" ca="1">IF(Q6&lt;=$C$23,flatBAPA2,IF(Q6&gt;$C$23,(PSEDB-SUM($I7:P7*$I16:P16))/Q16,0))</f>
        <v>0</v>
      </c>
      <c r="R7" s="174">
        <f t="array" aca="1" ref="R7" ca="1">IF(R6&lt;=$C$23,flatBAPA2,IF(R6&gt;$C$23,(PSEDB-SUM($I7:Q7*$I16:Q16))/R16,0))</f>
        <v>0</v>
      </c>
      <c r="S7" s="174">
        <f t="array" aca="1" ref="S7" ca="1">IF(S6&lt;=$C$23,flatBAPA2,IF(S6&gt;$C$23,(PSEDB-SUM($I7:R7*$I16:R16))/S16,0))</f>
        <v>0</v>
      </c>
      <c r="T7" s="174">
        <f t="array" aca="1" ref="T7" ca="1">IF(T6&lt;=$C$23,flatBAPA2,IF(T6&gt;$C$23,(PSEDB-SUM($I7:S7*$I16:S16))/T16,0))</f>
        <v>0</v>
      </c>
      <c r="U7" s="174">
        <f t="array" aca="1" ref="U7" ca="1">IF(U6&lt;=$C$23,flatBAPA2,IF(U6&gt;$C$23,(PSEDB-SUM($I7:T7*$I16:T16))/U16,0))</f>
        <v>0</v>
      </c>
      <c r="V7" s="174">
        <f t="array" aca="1" ref="V7" ca="1">IF(V6&lt;=$C$23,flatBAPA2,IF(V6&gt;$C$23,(PSEDB-SUM($I7:U7*$I16:U16))/V16,0))</f>
        <v>0</v>
      </c>
      <c r="W7" s="174">
        <f t="array" aca="1" ref="W7" ca="1">IF(W6&lt;=$C$23,flatBAPA2,IF(W6&gt;$C$23,(PSEDB-SUM($I7:V7*$I16:V16))/W16,0))</f>
        <v>0</v>
      </c>
      <c r="X7" s="174">
        <f t="array" aca="1" ref="X7" ca="1">IF(X6&lt;=$C$23,flatBAPA2,IF(X6&gt;$C$23,(PSEDB-SUM($I7:W7*$I16:W16))/X16,0))</f>
        <v>0</v>
      </c>
      <c r="Y7" s="174">
        <f t="array" aca="1" ref="Y7" ca="1">IF(Y6&lt;=$C$23,flatBAPA2,IF(Y6&gt;$C$23,(PSEDB-SUM($I7:X7*$I16:X16))/Y16,0))</f>
        <v>0</v>
      </c>
      <c r="Z7" s="174">
        <f t="array" aca="1" ref="Z7" ca="1">IF(Z6&lt;=$C$23,flatBAPA2,IF(Z6&gt;$C$23,(PSEDB-SUM($I7:Y7*$I16:Y16))/Z16,0))</f>
        <v>0</v>
      </c>
      <c r="AA7" s="174">
        <f t="array" aca="1" ref="AA7" ca="1">IF(AA6&lt;=$C$23,flatBAPA2,IF(AA6&gt;$C$23,(PSEDB-SUM($I7:Z7*$I16:Z16))/AA16,0))</f>
        <v>0</v>
      </c>
      <c r="AB7" s="174">
        <f t="array" aca="1" ref="AB7" ca="1">IF(AB6&lt;=$C$23,flatBAPA2,IF(AB6&gt;$C$23,(PSEDB-SUM($I7:AA7*$I16:AA16))/AB16,0))</f>
        <v>0</v>
      </c>
      <c r="AC7" s="174">
        <f t="array" aca="1" ref="AC7" ca="1">IF(AC6&lt;=$C$23,flatBAPA2,IF(AC6&gt;$C$23,(PSEDB-SUM($I7:AB7*$I16:AB16))/AC16,0))</f>
        <v>0</v>
      </c>
      <c r="AD7" s="174">
        <f t="array" aca="1" ref="AD7" ca="1">IF(AD6&lt;=$C$23,flatBAPA2,IF(AD6&gt;$C$23,(PSEDB-SUM($I7:AC7*$I16:AC16))/AD16,0))</f>
        <v>0</v>
      </c>
      <c r="AE7" s="174">
        <f t="array" aca="1" ref="AE7" ca="1">IF(AE6&lt;=$C$23,flatBAPA2,IF(AE6&gt;$C$23,(PSEDB-SUM($I7:AD7*$I16:AD16))/AE16,0))</f>
        <v>0</v>
      </c>
      <c r="AF7" s="174">
        <f t="array" aca="1" ref="AF7" ca="1">IF(AF6&lt;=$C$23,flatBAPA2,IF(AF6&gt;$C$23,(PSEDB-SUM($I7:AE7*$I16:AE16))/AF16,0))</f>
        <v>0</v>
      </c>
      <c r="AG7" s="174">
        <f t="array" aca="1" ref="AG7" ca="1">IF(AG6&lt;=$C$23,flatBAPA2,IF(AG6&gt;$C$23,(PSEDB-SUM($I7:AF7*$I16:AF16))/AG16,0))</f>
        <v>0</v>
      </c>
      <c r="AH7" s="174">
        <f t="array" aca="1" ref="AH7" ca="1">IF(AH6&lt;=$C$23,flatBAPA2,IF(AH6&gt;$C$23,(PSEDB-SUM($I7:AG7*$I16:AG16))/AH16,0))</f>
        <v>0</v>
      </c>
      <c r="AI7" s="174">
        <f t="array" aca="1" ref="AI7" ca="1">IF(AI6&lt;=$C$23,flatBAPA2,IF(AI6&gt;$C$23,(PSEDB-SUM($I7:AH7*$I16:AH16))/AI16,0))</f>
        <v>0</v>
      </c>
      <c r="AJ7" s="174">
        <f t="array" aca="1" ref="AJ7" ca="1">IF(AJ6&lt;=$C$23,flatBAPA2,IF(AJ6&gt;$C$23,(PSEDB-SUM($I7:AI7*$I16:AI16))/AJ16,0))</f>
        <v>0</v>
      </c>
      <c r="AK7" s="174">
        <f t="array" aca="1" ref="AK7" ca="1">IF(AK6&lt;=$C$23,flatBAPA2,IF(AK6&gt;$C$23,(PSEDB-SUM($I7:AJ7*$I16:AJ16))/AK16,0))</f>
        <v>0</v>
      </c>
      <c r="AL7" s="174">
        <f t="array" aca="1" ref="AL7" ca="1">IF(AL6&lt;=$C$23,flatBAPA2,IF(AL6&gt;$C$23,(PSEDB-SUM($I7:AK7*$I16:AK16))/AL16,0))</f>
        <v>0</v>
      </c>
      <c r="AM7" s="174">
        <f t="array" aca="1" ref="AM7" ca="1">IF(AM6&lt;=$C$23,flatBAPA2,IF(AM6&gt;$C$23,(PSEDB-SUM($I7:AL7*$I16:AL16))/AM16,0))</f>
        <v>0</v>
      </c>
    </row>
    <row r="8" spans="1:39" ht="16">
      <c r="B8" s="130"/>
      <c r="C8" s="119"/>
      <c r="E8" s="129"/>
      <c r="H8" t="s">
        <v>525</v>
      </c>
      <c r="J8" s="174" cm="1">
        <f t="array" aca="1" ref="J8" ca="1">IF(J6&lt;=y_2,flatPBAPA2,IF(J6&gt;$C$28,($C$17-SUM($I8:I8*$I16:I16))/J16,0))</f>
        <v>0</v>
      </c>
      <c r="K8" s="174" cm="1">
        <f t="array" aca="1" ref="K8" ca="1">IF(K6&lt;=y_2,flatPBAPA2,IF(K6&gt;$C$28,($C$17-SUM($I8:J8*$I16:J16))/K16,0))</f>
        <v>0</v>
      </c>
      <c r="L8" s="174" cm="1">
        <f t="array" aca="1" ref="L8" ca="1">IF(L6&lt;=y_2,flatPBAPA2,IF(L6&gt;$C$28,($C$17-SUM($I8:K8*$I16:K16))/L16,0))</f>
        <v>0</v>
      </c>
      <c r="M8" s="174" cm="1">
        <f t="array" aca="1" ref="M8" ca="1">IF(M6&lt;=y_2,flatPBAPA2,IF(M6&gt;$C$28,($C$17-SUM($I8:L8*$I16:L16))/M16,0))</f>
        <v>0</v>
      </c>
      <c r="N8" s="174" cm="1">
        <f t="array" aca="1" ref="N8" ca="1">IF(N6&lt;=y_2,flatPBAPA2,IF(N6&gt;$C$28,($C$17-SUM($I8:M8*$I16:M16))/N16,0))</f>
        <v>0</v>
      </c>
      <c r="O8" s="174" cm="1">
        <f t="array" aca="1" ref="O8" ca="1">IF(O6&lt;=y_2,flatPBAPA2,IF(O6&gt;$C$28,($C$17-SUM($I8:N8*$I16:N16))/O16,0))</f>
        <v>0</v>
      </c>
      <c r="P8" s="174" cm="1">
        <f t="array" aca="1" ref="P8" ca="1">IF(P6&lt;=y_2,flatPBAPA2,IF(P6&gt;$C$28,($C$17-SUM($I8:O8*$I16:O16))/P16,0))</f>
        <v>0</v>
      </c>
      <c r="Q8" s="174" cm="1">
        <f t="array" aca="1" ref="Q8" ca="1">IF(Q6&lt;=y_2,flatPBAPA2,IF(Q6&gt;$C$28,($C$17-SUM($I8:P8*$I16:P16))/Q16,0))</f>
        <v>0</v>
      </c>
      <c r="R8" s="174" cm="1">
        <f t="array" aca="1" ref="R8" ca="1">IF(R6&lt;=y_2,flatPBAPA2,IF(R6&gt;$C$28,($C$17-SUM($I8:Q8*$I16:Q16))/R16,0))</f>
        <v>0</v>
      </c>
      <c r="S8" s="174" cm="1">
        <f t="array" aca="1" ref="S8" ca="1">IF(S6&lt;=y_2,flatPBAPA2,IF(S6&gt;$C$28,($C$17-SUM($I8:R8*$I16:R16))/S16,0))</f>
        <v>0</v>
      </c>
      <c r="T8" s="174" cm="1">
        <f t="array" aca="1" ref="T8" ca="1">IF(T6&lt;=y_2,flatPBAPA2,IF(T6&gt;$C$28,($C$17-SUM($I8:S8*$I16:S16))/T16,0))</f>
        <v>0</v>
      </c>
      <c r="U8" s="174" cm="1">
        <f t="array" aca="1" ref="U8" ca="1">IF(U6&lt;=y_2,flatPBAPA2,IF(U6&gt;$C$28,($C$17-SUM($I8:T8*$I16:T16))/U16,0))</f>
        <v>0</v>
      </c>
      <c r="V8" s="174" cm="1">
        <f t="array" aca="1" ref="V8" ca="1">IF(V6&lt;=y_2,flatPBAPA2,IF(V6&gt;$C$28,($C$17-SUM($I8:U8*$I16:U16))/V16,0))</f>
        <v>0</v>
      </c>
      <c r="W8" s="174" cm="1">
        <f t="array" aca="1" ref="W8" ca="1">IF(W6&lt;=y_2,flatPBAPA2,IF(W6&gt;$C$28,($C$17-SUM($I8:V8*$I16:V16))/W16,0))</f>
        <v>0</v>
      </c>
      <c r="X8" s="174" cm="1">
        <f t="array" aca="1" ref="X8" ca="1">IF(X6&lt;=y_2,flatPBAPA2,IF(X6&gt;$C$28,($C$17-SUM($I8:W8*$I16:W16))/X16,0))</f>
        <v>0</v>
      </c>
      <c r="Y8" s="174" cm="1">
        <f t="array" aca="1" ref="Y8" ca="1">IF(Y6&lt;=y_2,flatPBAPA2,IF(Y6&gt;$C$28,($C$17-SUM($I8:X8*$I16:X16))/Y16,0))</f>
        <v>0</v>
      </c>
      <c r="Z8" s="174" cm="1">
        <f t="array" aca="1" ref="Z8" ca="1">IF(Z6&lt;=y_2,flatPBAPA2,IF(Z6&gt;$C$28,($C$17-SUM($I8:Y8*$I16:Y16))/Z16,0))</f>
        <v>0</v>
      </c>
      <c r="AA8" s="174" cm="1">
        <f t="array" aca="1" ref="AA8" ca="1">IF(AA6&lt;=y_2,flatPBAPA2,IF(AA6&gt;$C$28,($C$17-SUM($I8:Z8*$I16:Z16))/AA16,0))</f>
        <v>0</v>
      </c>
      <c r="AB8" s="174" cm="1">
        <f t="array" aca="1" ref="AB8" ca="1">IF(AB6&lt;=y_2,flatPBAPA2,IF(AB6&gt;$C$28,($C$17-SUM($I8:AA8*$I16:AA16))/AB16,0))</f>
        <v>0</v>
      </c>
      <c r="AC8" s="174" cm="1">
        <f t="array" aca="1" ref="AC8" ca="1">IF(AC6&lt;=y_2,flatPBAPA2,IF(AC6&gt;$C$28,($C$17-SUM($I8:AB8*$I16:AB16))/AC16,0))</f>
        <v>0</v>
      </c>
      <c r="AD8" s="174" cm="1">
        <f t="array" aca="1" ref="AD8" ca="1">IF(AD6&lt;=y_2,flatPBAPA2,IF(AD6&gt;$C$28,($C$17-SUM($I8:AC8*$I16:AC16))/AD16,0))</f>
        <v>0</v>
      </c>
      <c r="AE8" s="174" cm="1">
        <f t="array" aca="1" ref="AE8" ca="1">IF(AE6&lt;=y_2,flatPBAPA2,IF(AE6&gt;$C$28,($C$17-SUM($I8:AD8*$I16:AD16))/AE16,0))</f>
        <v>0</v>
      </c>
      <c r="AF8" s="174" cm="1">
        <f t="array" aca="1" ref="AF8" ca="1">IF(AF6&lt;=y_2,flatPBAPA2,IF(AF6&gt;$C$28,($C$17-SUM($I8:AE8*$I16:AE16))/AF16,0))</f>
        <v>0</v>
      </c>
      <c r="AG8" s="174" cm="1">
        <f t="array" aca="1" ref="AG8" ca="1">IF(AG6&lt;=y_2,flatPBAPA2,IF(AG6&gt;$C$28,($C$17-SUM($I8:AF8*$I16:AF16))/AG16,0))</f>
        <v>0</v>
      </c>
      <c r="AH8" s="174" cm="1">
        <f t="array" aca="1" ref="AH8" ca="1">IF(AH6&lt;=y_2,flatPBAPA2,IF(AH6&gt;$C$28,($C$17-SUM($I8:AG8*$I16:AG16))/AH16,0))</f>
        <v>0</v>
      </c>
      <c r="AI8" s="174" cm="1">
        <f t="array" aca="1" ref="AI8" ca="1">IF(AI6&lt;=y_2,flatPBAPA2,IF(AI6&gt;$C$28,($C$17-SUM($I8:AH8*$I16:AH16))/AI16,0))</f>
        <v>0</v>
      </c>
      <c r="AJ8" s="174" cm="1">
        <f t="array" aca="1" ref="AJ8" ca="1">IF(AJ6&lt;=y_2,flatPBAPA2,IF(AJ6&gt;$C$28,($C$17-SUM($I8:AI8*$I16:AI16))/AJ16,0))</f>
        <v>0</v>
      </c>
      <c r="AK8" s="174" cm="1">
        <f t="array" aca="1" ref="AK8" ca="1">IF(AK6&lt;=y_2,flatPBAPA2,IF(AK6&gt;$C$28,($C$17-SUM($I8:AJ8*$I16:AJ16))/AK16,0))</f>
        <v>0</v>
      </c>
      <c r="AL8" s="174" cm="1">
        <f t="array" aca="1" ref="AL8" ca="1">IF(AL6&lt;=y_2,flatPBAPA2,IF(AL6&gt;$C$28,($C$17-SUM($I8:AK8*$I16:AK16))/AL16,0))</f>
        <v>0</v>
      </c>
      <c r="AM8" s="174" cm="1">
        <f t="array" aca="1" ref="AM8" ca="1">IF(AM6&lt;=y_2,flatPBAPA2,IF(AM6&gt;$C$28,($C$17-SUM($I8:AL8*$I16:AL16))/AM16,0))</f>
        <v>0</v>
      </c>
    </row>
    <row r="9" spans="1:39">
      <c r="B9" s="364" t="s">
        <v>526</v>
      </c>
      <c r="C9" s="365"/>
      <c r="H9" t="s">
        <v>527</v>
      </c>
      <c r="J9" s="174">
        <f ca="1">OFFSET('P2.5 Calculation of Vrr - L2'!$D$17,,rr_num-2+J6-'P2.5 Calculation of Vrr - L2'!$D$9)</f>
        <v>0</v>
      </c>
      <c r="K9" s="174">
        <f ca="1">OFFSET('P2.5 Calculation of Vrr - L2'!$D$17,,rr_num-2+K6-'P2.5 Calculation of Vrr - L2'!$D$9)</f>
        <v>0</v>
      </c>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row>
    <row r="10" spans="1:39">
      <c r="B10" s="366"/>
      <c r="C10" s="367"/>
      <c r="J10" s="343" t="s">
        <v>528</v>
      </c>
      <c r="K10" s="127"/>
    </row>
    <row r="11" spans="1:39">
      <c r="B11" s="366"/>
      <c r="C11" s="367"/>
      <c r="J11" s="274" t="s">
        <v>529</v>
      </c>
      <c r="K11" s="275"/>
      <c r="L11" s="276"/>
      <c r="M11" s="276"/>
      <c r="N11" s="276"/>
      <c r="O11" s="276"/>
      <c r="P11" s="276"/>
      <c r="Q11" s="276"/>
      <c r="R11" s="276"/>
      <c r="S11" s="276"/>
    </row>
    <row r="12" spans="1:39">
      <c r="B12" s="366"/>
      <c r="C12" s="367"/>
      <c r="J12" s="128"/>
      <c r="K12" s="127"/>
    </row>
    <row r="13" spans="1:39">
      <c r="B13" s="366"/>
      <c r="C13" s="367"/>
      <c r="J13" s="128"/>
      <c r="K13" s="127"/>
    </row>
    <row r="14" spans="1:39">
      <c r="B14" s="368"/>
      <c r="C14" s="369"/>
      <c r="J14" s="128"/>
      <c r="K14" s="127"/>
    </row>
    <row r="15" spans="1:39">
      <c r="B15" t="s">
        <v>593</v>
      </c>
      <c r="C15" s="143"/>
      <c r="J15" s="128"/>
      <c r="K15" s="127"/>
    </row>
    <row r="16" spans="1:39">
      <c r="B16" t="s">
        <v>531</v>
      </c>
      <c r="C16" s="143"/>
      <c r="D16" s="126"/>
      <c r="H16" t="s">
        <v>532</v>
      </c>
      <c r="I16" s="174">
        <f>(1+DRB*f_2)/(1+DRB)^I5</f>
        <v>1</v>
      </c>
      <c r="J16" s="174">
        <f t="shared" ref="J16:AM16" si="1">(1+DRB*f_2)/(1+DRB)^J6</f>
        <v>1</v>
      </c>
      <c r="K16" s="174">
        <f t="shared" si="1"/>
        <v>1</v>
      </c>
      <c r="L16" s="174">
        <f t="shared" si="1"/>
        <v>1</v>
      </c>
      <c r="M16" s="174">
        <f t="shared" si="1"/>
        <v>1</v>
      </c>
      <c r="N16" s="174">
        <f t="shared" si="1"/>
        <v>1</v>
      </c>
      <c r="O16" s="174">
        <f t="shared" si="1"/>
        <v>1</v>
      </c>
      <c r="P16" s="174">
        <f t="shared" si="1"/>
        <v>1</v>
      </c>
      <c r="Q16" s="174">
        <f t="shared" si="1"/>
        <v>1</v>
      </c>
      <c r="R16" s="174">
        <f t="shared" si="1"/>
        <v>1</v>
      </c>
      <c r="S16" s="174">
        <f t="shared" si="1"/>
        <v>1</v>
      </c>
      <c r="T16" s="174">
        <f t="shared" si="1"/>
        <v>1</v>
      </c>
      <c r="U16" s="174">
        <f t="shared" si="1"/>
        <v>1</v>
      </c>
      <c r="V16" s="174">
        <f t="shared" si="1"/>
        <v>1</v>
      </c>
      <c r="W16" s="174">
        <f t="shared" si="1"/>
        <v>1</v>
      </c>
      <c r="X16" s="174">
        <f t="shared" si="1"/>
        <v>1</v>
      </c>
      <c r="Y16" s="174">
        <f t="shared" si="1"/>
        <v>1</v>
      </c>
      <c r="Z16" s="174">
        <f t="shared" si="1"/>
        <v>1</v>
      </c>
      <c r="AA16" s="174">
        <f t="shared" si="1"/>
        <v>1</v>
      </c>
      <c r="AB16" s="174">
        <f t="shared" si="1"/>
        <v>1</v>
      </c>
      <c r="AC16" s="174">
        <f t="shared" si="1"/>
        <v>1</v>
      </c>
      <c r="AD16" s="174">
        <f t="shared" si="1"/>
        <v>1</v>
      </c>
      <c r="AE16" s="174">
        <f t="shared" si="1"/>
        <v>1</v>
      </c>
      <c r="AF16" s="174">
        <f t="shared" si="1"/>
        <v>1</v>
      </c>
      <c r="AG16" s="174">
        <f t="shared" si="1"/>
        <v>1</v>
      </c>
      <c r="AH16" s="174">
        <f t="shared" si="1"/>
        <v>1</v>
      </c>
      <c r="AI16" s="174">
        <f t="shared" si="1"/>
        <v>1</v>
      </c>
      <c r="AJ16" s="174">
        <f t="shared" si="1"/>
        <v>1</v>
      </c>
      <c r="AK16" s="174">
        <f t="shared" si="1"/>
        <v>1</v>
      </c>
      <c r="AL16" s="174">
        <f t="shared" si="1"/>
        <v>1</v>
      </c>
      <c r="AM16" s="174">
        <f t="shared" si="1"/>
        <v>1</v>
      </c>
    </row>
    <row r="17" spans="2:39" ht="15" thickBot="1">
      <c r="B17" s="103" t="s">
        <v>533</v>
      </c>
      <c r="C17" s="176">
        <f>PSEDB-C16</f>
        <v>0</v>
      </c>
      <c r="H17" t="s">
        <v>534</v>
      </c>
      <c r="J17" s="149">
        <f t="shared" ref="J17:AM17" ca="1" si="2">J9*J16</f>
        <v>0</v>
      </c>
      <c r="K17" s="149">
        <f t="shared" ca="1" si="2"/>
        <v>0</v>
      </c>
      <c r="L17" s="149">
        <f t="shared" si="2"/>
        <v>0</v>
      </c>
      <c r="M17" s="149">
        <f t="shared" si="2"/>
        <v>0</v>
      </c>
      <c r="N17" s="149">
        <f t="shared" si="2"/>
        <v>0</v>
      </c>
      <c r="O17" s="149">
        <f t="shared" si="2"/>
        <v>0</v>
      </c>
      <c r="P17" s="149">
        <f t="shared" si="2"/>
        <v>0</v>
      </c>
      <c r="Q17" s="149">
        <f t="shared" si="2"/>
        <v>0</v>
      </c>
      <c r="R17" s="149">
        <f t="shared" si="2"/>
        <v>0</v>
      </c>
      <c r="S17" s="149">
        <f t="shared" si="2"/>
        <v>0</v>
      </c>
      <c r="T17" s="149">
        <f t="shared" si="2"/>
        <v>0</v>
      </c>
      <c r="U17" s="149">
        <f t="shared" si="2"/>
        <v>0</v>
      </c>
      <c r="V17" s="149">
        <f t="shared" si="2"/>
        <v>0</v>
      </c>
      <c r="W17" s="149">
        <f t="shared" si="2"/>
        <v>0</v>
      </c>
      <c r="X17" s="149">
        <f t="shared" si="2"/>
        <v>0</v>
      </c>
      <c r="Y17" s="149">
        <f t="shared" si="2"/>
        <v>0</v>
      </c>
      <c r="Z17" s="149">
        <f t="shared" si="2"/>
        <v>0</v>
      </c>
      <c r="AA17" s="149">
        <f t="shared" si="2"/>
        <v>0</v>
      </c>
      <c r="AB17" s="149">
        <f t="shared" si="2"/>
        <v>0</v>
      </c>
      <c r="AC17" s="149">
        <f t="shared" si="2"/>
        <v>0</v>
      </c>
      <c r="AD17" s="149">
        <f t="shared" si="2"/>
        <v>0</v>
      </c>
      <c r="AE17" s="149">
        <f t="shared" si="2"/>
        <v>0</v>
      </c>
      <c r="AF17" s="149">
        <f t="shared" si="2"/>
        <v>0</v>
      </c>
      <c r="AG17" s="149">
        <f t="shared" si="2"/>
        <v>0</v>
      </c>
      <c r="AH17" s="149">
        <f t="shared" si="2"/>
        <v>0</v>
      </c>
      <c r="AI17" s="149">
        <f t="shared" si="2"/>
        <v>0</v>
      </c>
      <c r="AJ17" s="149">
        <f t="shared" si="2"/>
        <v>0</v>
      </c>
      <c r="AK17" s="149">
        <f t="shared" si="2"/>
        <v>0</v>
      </c>
      <c r="AL17" s="149">
        <f t="shared" si="2"/>
        <v>0</v>
      </c>
      <c r="AM17" s="149">
        <f t="shared" si="2"/>
        <v>0</v>
      </c>
    </row>
    <row r="18" spans="2:39">
      <c r="J18" s="274" t="s">
        <v>529</v>
      </c>
      <c r="K18" s="275"/>
      <c r="L18" s="276"/>
      <c r="M18" s="276"/>
      <c r="N18" s="276"/>
      <c r="O18" s="276"/>
      <c r="P18" s="276"/>
      <c r="Q18" s="276"/>
      <c r="R18" s="276"/>
      <c r="S18" s="276"/>
      <c r="T18" s="125"/>
      <c r="U18" s="125"/>
      <c r="V18" s="125"/>
      <c r="W18" s="125"/>
      <c r="X18" s="125"/>
      <c r="Y18" s="125"/>
      <c r="Z18" s="125"/>
      <c r="AA18" s="125"/>
      <c r="AB18" s="125"/>
      <c r="AC18" s="125"/>
      <c r="AD18" s="125"/>
      <c r="AE18" s="125"/>
      <c r="AF18" s="125"/>
      <c r="AG18" s="125"/>
      <c r="AH18" s="125"/>
      <c r="AI18" s="125"/>
      <c r="AJ18" s="125"/>
      <c r="AK18" s="125"/>
      <c r="AL18" s="125"/>
      <c r="AM18" s="125"/>
    </row>
    <row r="19" spans="2:39">
      <c r="B19" t="s">
        <v>535</v>
      </c>
      <c r="C19" s="149">
        <f ca="1">AVERAGE(J9:K9)</f>
        <v>0</v>
      </c>
      <c r="J19" s="125"/>
      <c r="K19" s="125"/>
      <c r="L19" s="125"/>
      <c r="M19" s="125"/>
      <c r="N19" s="125"/>
      <c r="O19" s="125"/>
      <c r="P19" s="125"/>
      <c r="Q19" s="125"/>
      <c r="R19" s="125"/>
      <c r="S19" s="125"/>
      <c r="T19" s="125"/>
      <c r="U19" s="125"/>
      <c r="V19" s="125"/>
      <c r="W19" s="125"/>
      <c r="X19" s="125"/>
      <c r="Y19" s="125"/>
      <c r="Z19" s="125"/>
      <c r="AA19" s="125"/>
      <c r="AB19" s="125"/>
      <c r="AC19" s="125"/>
      <c r="AD19" s="125"/>
      <c r="AE19" s="125"/>
      <c r="AF19" s="125"/>
      <c r="AG19" s="125"/>
      <c r="AH19" s="125"/>
      <c r="AI19" s="125"/>
      <c r="AJ19" s="125"/>
      <c r="AK19" s="125"/>
      <c r="AL19" s="125"/>
      <c r="AM19" s="125"/>
    </row>
    <row r="20" spans="2:39">
      <c r="B20" t="s">
        <v>536</v>
      </c>
      <c r="C20" s="144"/>
    </row>
    <row r="21" spans="2:39" ht="15" thickBot="1"/>
    <row r="22" spans="2:39">
      <c r="B22" t="s">
        <v>537</v>
      </c>
      <c r="C22" s="174">
        <f ca="1">IF(PSEDB&lt;0,0,IF(EBAPA2=0,9999,IF(DRB=0,PSEDB/EBAPA2,-LN(1-LN(1+DRB)*PSEDB/C19)/LN(1+DRB))))</f>
        <v>9999</v>
      </c>
      <c r="H22" s="124" t="s">
        <v>538</v>
      </c>
      <c r="I22" s="162">
        <f ca="1">SUM(J17:AM17)</f>
        <v>0</v>
      </c>
    </row>
    <row r="23" spans="2:39" ht="15" thickBot="1">
      <c r="B23" t="s">
        <v>539</v>
      </c>
      <c r="C23" s="149">
        <f ca="1">MIN(C22,15)</f>
        <v>15</v>
      </c>
      <c r="H23" s="123" t="s">
        <v>540</v>
      </c>
      <c r="I23" s="163">
        <f ca="1">I22-C17</f>
        <v>0</v>
      </c>
      <c r="J23" s="276" t="s">
        <v>541</v>
      </c>
      <c r="K23" s="276"/>
      <c r="L23" s="276"/>
      <c r="M23" s="276"/>
      <c r="N23" s="276"/>
      <c r="O23" s="276"/>
      <c r="P23" s="276"/>
      <c r="Q23" s="276"/>
      <c r="R23" s="276"/>
      <c r="S23" s="276"/>
      <c r="T23" s="276"/>
    </row>
    <row r="24" spans="2:39" ht="15" thickBot="1">
      <c r="B24" s="103" t="s">
        <v>542</v>
      </c>
      <c r="C24" s="175">
        <f ca="1">IF(DRB=0,PSEDB/C23,PSEDB*LN(1+DRB)/(1-(1+DRB)^-C23))</f>
        <v>0</v>
      </c>
      <c r="E24" s="122" t="s">
        <v>543</v>
      </c>
    </row>
    <row r="25" spans="2:39">
      <c r="E25" s="122"/>
    </row>
    <row r="26" spans="2:39">
      <c r="E26" s="122" t="s">
        <v>544</v>
      </c>
    </row>
    <row r="27" spans="2:39">
      <c r="B27" t="s">
        <v>545</v>
      </c>
      <c r="C27" s="107">
        <f ca="1">IF(EBAPA2=0,9999,MIN(IF(DRB=0,C17/EBAPA2,-LN(1-LN(1+DRB)*C17/C19)/LN(1+DRB)),15))</f>
        <v>9999</v>
      </c>
    </row>
    <row r="28" spans="2:39">
      <c r="B28" t="s">
        <v>546</v>
      </c>
      <c r="C28" s="143">
        <f ca="1">C27</f>
        <v>9999</v>
      </c>
      <c r="E28" s="122" t="s">
        <v>547</v>
      </c>
    </row>
    <row r="29" spans="2:39" ht="15" thickBot="1">
      <c r="B29" s="103" t="s">
        <v>548</v>
      </c>
      <c r="C29" s="175">
        <f ca="1">IF(DRB=0,C17/C28,C17*LN(1+DRB)/(1-(1+DRB)^-C28))</f>
        <v>0</v>
      </c>
      <c r="E29" s="122"/>
    </row>
    <row r="31" spans="2:39">
      <c r="B31" t="s">
        <v>549</v>
      </c>
      <c r="C31" s="174">
        <f>IF(DRB=0,0.5,1/LN(1+DRB)-1/DRB)</f>
        <v>0.5</v>
      </c>
      <c r="E31" s="122" t="s">
        <v>550</v>
      </c>
    </row>
    <row r="32" spans="2:39">
      <c r="B32" t="s">
        <v>532</v>
      </c>
      <c r="E32" s="122" t="s">
        <v>551</v>
      </c>
    </row>
    <row r="34" spans="5:5">
      <c r="E34" s="122" t="s">
        <v>552</v>
      </c>
    </row>
    <row r="35" spans="5:5">
      <c r="E35" s="122" t="s">
        <v>553</v>
      </c>
    </row>
    <row r="50" spans="5:5">
      <c r="E50" s="121"/>
    </row>
  </sheetData>
  <mergeCells count="1">
    <mergeCell ref="B9:C14"/>
  </mergeCells>
  <dataValidations disablePrompts="1" count="4">
    <dataValidation type="decimal" allowBlank="1" showInputMessage="1" showErrorMessage="1" sqref="C28" xr:uid="{00000000-0002-0000-1000-000000000000}">
      <formula1>0.001</formula1>
      <formula2>30</formula2>
    </dataValidation>
    <dataValidation type="decimal" operator="notEqual" allowBlank="1" showInputMessage="1" showErrorMessage="1" sqref="C27 C15:C17 C23" xr:uid="{00000000-0002-0000-1000-000001000000}">
      <formula1>0</formula1>
    </dataValidation>
    <dataValidation type="decimal" operator="notEqual" allowBlank="1" showInputMessage="1" showErrorMessage="1" sqref="C20" xr:uid="{00000000-0002-0000-1000-000002000000}">
      <formula1>-1</formula1>
    </dataValidation>
    <dataValidation type="decimal" operator="equal" allowBlank="1" showInputMessage="1" showErrorMessage="1" sqref="I17:I19 I5:I8" xr:uid="{00000000-0002-0000-1000-000003000000}">
      <formula1>0</formula1>
    </dataValidation>
  </dataValidations>
  <pageMargins left="0.70866141732283472" right="0.70866141732283472" top="0.74803149606299213" bottom="0.74803149606299213" header="0.31496062992125984" footer="0.31496062992125984"/>
  <pageSetup paperSize="9" scale="17" orientation="portrait" r:id="rId1"/>
  <headerFooter>
    <oddFooter>&amp;C_x000D_&amp;1#&amp;"Calibri"&amp;10&amp;K000000 OFFICIAL-InternalOnly</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3553" r:id="rId4" name="Drop Down 1">
              <controlPr defaultSize="0" autoLine="0" autoPict="0" altText="drop down for Reasonableness review year">
                <anchor moveWithCells="1">
                  <from>
                    <xdr:col>2</xdr:col>
                    <xdr:colOff>0</xdr:colOff>
                    <xdr:row>5</xdr:row>
                    <xdr:rowOff>0</xdr:rowOff>
                  </from>
                  <to>
                    <xdr:col>3</xdr:col>
                    <xdr:colOff>393700</xdr:colOff>
                    <xdr:row>6</xdr:row>
                    <xdr:rowOff>152400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3">
    <pageSetUpPr fitToPage="1"/>
  </sheetPr>
  <dimension ref="A1:I24"/>
  <sheetViews>
    <sheetView zoomScaleNormal="100" workbookViewId="0">
      <selection activeCell="I26" sqref="I26"/>
    </sheetView>
  </sheetViews>
  <sheetFormatPr defaultColWidth="9.1796875" defaultRowHeight="13.5"/>
  <cols>
    <col min="1" max="1" width="56" style="85" customWidth="1"/>
    <col min="2" max="2" width="6.54296875" style="85" customWidth="1"/>
    <col min="3" max="3" width="10.1796875" style="85" customWidth="1"/>
    <col min="4" max="16384" width="9.1796875" style="85"/>
  </cols>
  <sheetData>
    <row r="1" spans="1:9" ht="19.5">
      <c r="A1" s="79" t="s">
        <v>594</v>
      </c>
      <c r="B1" s="79"/>
      <c r="C1" s="79"/>
      <c r="D1" s="79"/>
      <c r="E1" s="79"/>
      <c r="F1" s="79"/>
      <c r="G1" s="79"/>
      <c r="H1" s="79"/>
      <c r="I1" s="79"/>
    </row>
    <row r="2" spans="1:9" ht="19.5">
      <c r="A2" s="79" t="str">
        <f>+'Pension Pack cover'!D12</f>
        <v>NGED (Central Networks ESPS)</v>
      </c>
      <c r="B2" s="79"/>
      <c r="C2" s="79"/>
      <c r="D2" s="79"/>
      <c r="E2" s="79"/>
      <c r="F2" s="79"/>
      <c r="G2" s="79"/>
      <c r="H2" s="79"/>
      <c r="I2" s="79"/>
    </row>
    <row r="3" spans="1:9" ht="19.5">
      <c r="A3" s="135">
        <f>+'Pension Pack cover'!D24</f>
        <v>2026</v>
      </c>
      <c r="B3" s="79"/>
      <c r="C3" s="79"/>
      <c r="D3" s="79"/>
      <c r="E3" s="79"/>
      <c r="F3" s="79"/>
      <c r="G3" s="79"/>
      <c r="H3" s="79"/>
      <c r="I3" s="79"/>
    </row>
    <row r="4" spans="1:9" ht="17.5">
      <c r="A4" s="84" t="s">
        <v>595</v>
      </c>
      <c r="B4" s="10"/>
      <c r="C4" s="10"/>
      <c r="D4" s="10"/>
      <c r="E4" s="10"/>
      <c r="F4" s="10"/>
      <c r="G4" s="10"/>
      <c r="H4" s="10"/>
      <c r="I4" s="10"/>
    </row>
    <row r="5" spans="1:9">
      <c r="A5" s="265" t="s">
        <v>596</v>
      </c>
      <c r="B5" s="10"/>
      <c r="C5" s="10"/>
      <c r="D5" s="10"/>
      <c r="E5" s="10"/>
      <c r="F5" s="10"/>
      <c r="G5" s="10"/>
      <c r="H5" s="10"/>
      <c r="I5" s="10"/>
    </row>
    <row r="7" spans="1:9" ht="14">
      <c r="A7" s="227" t="s">
        <v>597</v>
      </c>
      <c r="B7" s="220" t="s">
        <v>318</v>
      </c>
      <c r="C7" s="86"/>
      <c r="D7" s="86"/>
      <c r="E7" s="86"/>
      <c r="F7" s="10"/>
      <c r="G7" s="10"/>
      <c r="H7" s="10"/>
      <c r="I7" s="10"/>
    </row>
    <row r="8" spans="1:9" ht="14">
      <c r="A8" s="227" t="s">
        <v>598</v>
      </c>
      <c r="B8" s="220" t="s">
        <v>318</v>
      </c>
      <c r="C8" s="86"/>
      <c r="D8" s="86"/>
      <c r="E8" s="86"/>
      <c r="F8" s="10"/>
      <c r="G8" s="10"/>
      <c r="H8" s="10"/>
      <c r="I8" s="10"/>
    </row>
    <row r="9" spans="1:9" ht="27">
      <c r="A9" s="87" t="s">
        <v>599</v>
      </c>
      <c r="B9" s="220" t="s">
        <v>318</v>
      </c>
      <c r="C9" s="86"/>
      <c r="D9" s="86"/>
      <c r="E9" s="86"/>
      <c r="F9" s="10"/>
      <c r="G9" s="10"/>
      <c r="H9" s="10"/>
      <c r="I9" s="10"/>
    </row>
    <row r="10" spans="1:9" ht="27">
      <c r="A10" s="87" t="s">
        <v>600</v>
      </c>
      <c r="B10" s="220" t="s">
        <v>318</v>
      </c>
      <c r="C10" s="86"/>
      <c r="D10" s="86"/>
      <c r="E10" s="86"/>
      <c r="F10" s="10"/>
      <c r="G10" s="10"/>
      <c r="H10" s="10"/>
      <c r="I10" s="10"/>
    </row>
    <row r="11" spans="1:9" ht="29.25" customHeight="1">
      <c r="A11" s="87" t="s">
        <v>601</v>
      </c>
      <c r="B11" s="220" t="s">
        <v>318</v>
      </c>
      <c r="C11" s="86"/>
      <c r="D11" s="86"/>
      <c r="E11" s="86"/>
      <c r="F11" s="10"/>
      <c r="G11" s="10"/>
      <c r="H11" s="10"/>
      <c r="I11" s="10"/>
    </row>
    <row r="12" spans="1:9" ht="26.25" customHeight="1">
      <c r="A12" s="87" t="s">
        <v>602</v>
      </c>
      <c r="B12" s="220" t="s">
        <v>318</v>
      </c>
      <c r="C12" s="86"/>
      <c r="D12" s="86"/>
      <c r="E12" s="86"/>
      <c r="F12" s="10"/>
      <c r="G12" s="10"/>
      <c r="H12" s="10"/>
      <c r="I12" s="10"/>
    </row>
    <row r="13" spans="1:9" ht="27">
      <c r="A13" s="87" t="s">
        <v>603</v>
      </c>
      <c r="B13" s="220" t="s">
        <v>318</v>
      </c>
      <c r="C13" s="86"/>
      <c r="D13" s="86"/>
      <c r="E13" s="86"/>
      <c r="F13" s="10"/>
      <c r="G13" s="10"/>
      <c r="H13" s="10"/>
      <c r="I13" s="10"/>
    </row>
    <row r="14" spans="1:9" ht="27">
      <c r="A14" s="266" t="s">
        <v>604</v>
      </c>
      <c r="B14" s="225" t="s">
        <v>318</v>
      </c>
      <c r="C14" s="86"/>
      <c r="D14" s="86"/>
      <c r="E14" s="86"/>
      <c r="F14" s="10"/>
      <c r="G14" s="10"/>
      <c r="H14" s="10"/>
      <c r="I14" s="10"/>
    </row>
    <row r="15" spans="1:9" ht="14.5">
      <c r="A15" s="341" t="s">
        <v>605</v>
      </c>
      <c r="B15" s="342"/>
      <c r="C15" s="267">
        <f>+'P1.1 PDAM Licensee provided'!C101</f>
        <v>2023</v>
      </c>
      <c r="D15" s="268">
        <f>+'P1.1 PDAM Licensee provided'!D101</f>
        <v>2024</v>
      </c>
      <c r="E15" s="268">
        <f>+'P1.1 PDAM Licensee provided'!E101</f>
        <v>2025</v>
      </c>
      <c r="F15" s="10"/>
      <c r="G15" s="10"/>
      <c r="H15" s="10"/>
      <c r="I15" s="10"/>
    </row>
    <row r="16" spans="1:9" ht="14">
      <c r="A16" s="88" t="s">
        <v>606</v>
      </c>
      <c r="B16" s="269" t="s">
        <v>318</v>
      </c>
      <c r="C16" s="86"/>
      <c r="D16" s="86"/>
      <c r="E16" s="86"/>
      <c r="F16" s="10"/>
      <c r="G16" s="10"/>
      <c r="H16" s="10"/>
      <c r="I16" s="10"/>
    </row>
    <row r="18" spans="1:5">
      <c r="A18" s="265" t="s">
        <v>607</v>
      </c>
      <c r="B18" s="10"/>
      <c r="C18" s="10"/>
      <c r="D18" s="10"/>
      <c r="E18" s="10"/>
    </row>
    <row r="19" spans="1:5" ht="27">
      <c r="A19" s="87" t="s">
        <v>608</v>
      </c>
      <c r="B19" s="83"/>
      <c r="C19" s="312">
        <f>(+C7*C9)+(C8*C10)</f>
        <v>0</v>
      </c>
      <c r="D19" s="312">
        <f t="shared" ref="D19:E19" si="0">(+D7*D9)+(D8*D10)</f>
        <v>0</v>
      </c>
      <c r="E19" s="312">
        <f t="shared" si="0"/>
        <v>0</v>
      </c>
    </row>
    <row r="20" spans="1:5" ht="27">
      <c r="A20" s="87" t="s">
        <v>609</v>
      </c>
      <c r="B20" s="197"/>
      <c r="C20" s="312">
        <f>(+C7*C11)+(C8*C12)</f>
        <v>0</v>
      </c>
      <c r="D20" s="312">
        <f t="shared" ref="D20:E20" si="1">(+D7*D11)+(D8*D12)</f>
        <v>0</v>
      </c>
      <c r="E20" s="312">
        <f t="shared" si="1"/>
        <v>0</v>
      </c>
    </row>
    <row r="21" spans="1:5" ht="27">
      <c r="A21" s="87" t="s">
        <v>610</v>
      </c>
      <c r="B21" s="197"/>
      <c r="C21" s="312">
        <f>(C19*C13)+(C20*C14)</f>
        <v>0</v>
      </c>
      <c r="D21" s="312">
        <f t="shared" ref="D21:E21" si="2">(D19*D13)+(D20*D14)</f>
        <v>0</v>
      </c>
      <c r="E21" s="312">
        <f t="shared" si="2"/>
        <v>0</v>
      </c>
    </row>
    <row r="22" spans="1:5" ht="14.5">
      <c r="A22" s="341" t="s">
        <v>605</v>
      </c>
      <c r="B22" s="342"/>
      <c r="C22" s="267">
        <f>+C15</f>
        <v>2023</v>
      </c>
      <c r="D22" s="267">
        <f>+D15</f>
        <v>2024</v>
      </c>
      <c r="E22" s="267">
        <f>+E15</f>
        <v>2025</v>
      </c>
    </row>
    <row r="23" spans="1:5" ht="27">
      <c r="A23" s="87" t="s">
        <v>611</v>
      </c>
      <c r="B23" s="197"/>
      <c r="C23" s="312" t="e">
        <f>(C16*$C19)/$C21</f>
        <v>#DIV/0!</v>
      </c>
      <c r="D23" s="313" t="e">
        <f>(D16*$D19)/$D21</f>
        <v>#DIV/0!</v>
      </c>
      <c r="E23" s="313" t="e">
        <f>(E16*$E19)/$E21</f>
        <v>#DIV/0!</v>
      </c>
    </row>
    <row r="24" spans="1:5" ht="27">
      <c r="A24" s="87" t="s">
        <v>612</v>
      </c>
      <c r="B24" s="197"/>
      <c r="C24" s="312" t="e">
        <f>(+C16*$C20)/$C21</f>
        <v>#DIV/0!</v>
      </c>
      <c r="D24" s="312" t="e">
        <f>(+D16*$D20)/$D21</f>
        <v>#DIV/0!</v>
      </c>
      <c r="E24" s="312" t="e">
        <f>(+E16*$E20)/$E21</f>
        <v>#DIV/0!</v>
      </c>
    </row>
  </sheetData>
  <phoneticPr fontId="21" type="noConversion"/>
  <printOptions gridLines="1"/>
  <pageMargins left="0.70866141732283472" right="0.70866141732283472" top="0.74803149606299213" bottom="0.74803149606299213" header="0.31496062992125984" footer="0.31496062992125984"/>
  <pageSetup paperSize="9" scale="99" orientation="landscape" r:id="rId1"/>
  <headerFooter>
    <oddFooter>&amp;C_x000D_&amp;1#&amp;"Calibri"&amp;10&amp;K000000 OFFICIAL-InternalOnly</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O18"/>
  <sheetViews>
    <sheetView showGridLines="0" zoomScaleNormal="100" workbookViewId="0">
      <selection activeCell="D27" sqref="D27"/>
    </sheetView>
  </sheetViews>
  <sheetFormatPr defaultColWidth="9.1796875" defaultRowHeight="13.5"/>
  <cols>
    <col min="1" max="1" width="4.26953125" style="38" customWidth="1"/>
    <col min="2" max="2" width="40.7265625" style="38" customWidth="1"/>
    <col min="3" max="3" width="31.7265625" style="38" customWidth="1"/>
    <col min="4" max="4" width="73" style="38" customWidth="1"/>
    <col min="5" max="9" width="18.26953125" style="38" customWidth="1"/>
    <col min="10" max="16384" width="9.1796875" style="38"/>
  </cols>
  <sheetData>
    <row r="1" spans="1:15" s="72" customFormat="1" ht="20">
      <c r="A1" s="70" t="s">
        <v>90</v>
      </c>
      <c r="B1" s="70"/>
      <c r="C1" s="70"/>
      <c r="D1" s="70"/>
      <c r="E1" s="70"/>
      <c r="F1" s="70"/>
      <c r="G1" s="70"/>
      <c r="H1" s="70"/>
      <c r="I1" s="71"/>
      <c r="J1" s="71"/>
      <c r="O1" s="71" t="s">
        <v>91</v>
      </c>
    </row>
    <row r="2" spans="1:15" s="72" customFormat="1" ht="20">
      <c r="A2" s="70" t="str">
        <f>+'Pension Pack cover'!D12</f>
        <v>NGED (Central Networks ESPS)</v>
      </c>
      <c r="B2" s="70"/>
      <c r="C2" s="70"/>
      <c r="D2" s="70"/>
      <c r="E2" s="70"/>
      <c r="F2" s="70"/>
      <c r="G2" s="70"/>
      <c r="H2" s="70"/>
    </row>
    <row r="3" spans="1:15" s="73" customFormat="1" ht="20">
      <c r="A3" s="70"/>
      <c r="B3" s="70"/>
      <c r="C3" s="70"/>
      <c r="D3" s="70"/>
      <c r="E3" s="70"/>
      <c r="F3" s="70"/>
      <c r="G3" s="70"/>
      <c r="H3" s="70"/>
    </row>
    <row r="6" spans="1:15">
      <c r="A6" s="196"/>
      <c r="B6" s="198" t="s">
        <v>92</v>
      </c>
      <c r="C6" s="196"/>
      <c r="D6" s="196"/>
      <c r="E6" s="196"/>
      <c r="F6" s="196"/>
      <c r="G6" s="196"/>
      <c r="H6" s="196"/>
      <c r="I6" s="196"/>
      <c r="J6" s="196"/>
      <c r="K6" s="196"/>
      <c r="L6" s="196"/>
      <c r="M6" s="196"/>
      <c r="N6" s="196"/>
      <c r="O6" s="196"/>
    </row>
    <row r="8" spans="1:15">
      <c r="A8" s="196"/>
      <c r="B8" s="199" t="s">
        <v>93</v>
      </c>
      <c r="C8" s="199" t="s">
        <v>94</v>
      </c>
      <c r="D8" s="200" t="s">
        <v>95</v>
      </c>
      <c r="E8" s="196"/>
      <c r="F8" s="196"/>
      <c r="G8" s="196"/>
      <c r="H8" s="196"/>
      <c r="I8" s="196"/>
      <c r="J8" s="196"/>
      <c r="K8" s="196"/>
      <c r="L8" s="196"/>
      <c r="M8" s="196"/>
      <c r="N8" s="196"/>
      <c r="O8" s="196"/>
    </row>
    <row r="9" spans="1:15">
      <c r="A9" s="196"/>
      <c r="B9" s="201" t="s">
        <v>96</v>
      </c>
      <c r="C9" s="280"/>
      <c r="D9" s="281"/>
      <c r="E9" s="196"/>
      <c r="F9" s="196"/>
      <c r="G9" s="196"/>
      <c r="H9" s="196"/>
      <c r="I9" s="196"/>
      <c r="J9" s="196"/>
      <c r="K9" s="196"/>
      <c r="L9" s="196"/>
      <c r="M9" s="196"/>
      <c r="N9" s="196"/>
      <c r="O9" s="196"/>
    </row>
    <row r="10" spans="1:15">
      <c r="A10" s="196"/>
      <c r="B10" s="201" t="s">
        <v>97</v>
      </c>
      <c r="C10" s="280"/>
      <c r="D10" s="281"/>
      <c r="E10" s="196"/>
      <c r="F10" s="196"/>
      <c r="G10" s="196"/>
      <c r="H10" s="196"/>
      <c r="I10" s="196"/>
      <c r="J10" s="196"/>
      <c r="K10" s="196"/>
      <c r="L10" s="196"/>
      <c r="M10" s="196"/>
      <c r="N10" s="196"/>
      <c r="O10" s="196"/>
    </row>
    <row r="11" spans="1:15">
      <c r="A11" s="196"/>
      <c r="B11" s="201" t="s">
        <v>98</v>
      </c>
      <c r="C11" s="280"/>
      <c r="D11" s="281"/>
      <c r="E11" s="196"/>
      <c r="F11" s="196"/>
      <c r="G11" s="196"/>
      <c r="H11" s="196"/>
      <c r="I11" s="196"/>
      <c r="J11" s="196"/>
      <c r="K11" s="196"/>
      <c r="L11" s="196"/>
      <c r="M11" s="196"/>
      <c r="N11" s="196"/>
      <c r="O11" s="196"/>
    </row>
    <row r="12" spans="1:15">
      <c r="A12" s="196"/>
      <c r="B12" s="201" t="s">
        <v>99</v>
      </c>
      <c r="C12" s="280"/>
      <c r="D12" s="281"/>
      <c r="E12" s="196"/>
      <c r="F12" s="196"/>
      <c r="G12" s="196"/>
      <c r="H12" s="196"/>
      <c r="I12" s="196"/>
      <c r="J12" s="196"/>
      <c r="K12" s="196"/>
      <c r="L12" s="196"/>
      <c r="M12" s="196"/>
      <c r="N12" s="196"/>
      <c r="O12" s="196"/>
    </row>
    <row r="13" spans="1:15">
      <c r="A13" s="196"/>
      <c r="B13" s="201" t="s">
        <v>100</v>
      </c>
      <c r="C13" s="280"/>
      <c r="D13" s="281"/>
      <c r="E13" s="196"/>
      <c r="F13" s="196"/>
      <c r="G13" s="196"/>
      <c r="H13" s="196"/>
      <c r="I13" s="196"/>
      <c r="J13" s="196"/>
      <c r="K13" s="196"/>
      <c r="L13" s="196"/>
      <c r="M13" s="196"/>
      <c r="N13" s="196"/>
      <c r="O13" s="196"/>
    </row>
    <row r="14" spans="1:15">
      <c r="A14" s="196"/>
      <c r="B14" s="201" t="s">
        <v>101</v>
      </c>
      <c r="C14" s="280"/>
      <c r="D14" s="281"/>
      <c r="E14" s="196"/>
      <c r="F14" s="196"/>
      <c r="G14" s="196"/>
      <c r="H14" s="196"/>
      <c r="I14" s="196"/>
      <c r="J14" s="196"/>
      <c r="K14" s="196"/>
      <c r="L14" s="196"/>
      <c r="M14" s="196"/>
      <c r="N14" s="196"/>
      <c r="O14" s="196"/>
    </row>
    <row r="15" spans="1:15">
      <c r="A15" s="196"/>
      <c r="B15" s="201" t="s">
        <v>102</v>
      </c>
      <c r="C15" s="280"/>
      <c r="D15" s="281"/>
      <c r="E15" s="196"/>
      <c r="F15" s="196"/>
      <c r="G15" s="196"/>
      <c r="H15" s="196"/>
      <c r="I15" s="196"/>
      <c r="J15" s="196"/>
      <c r="K15" s="196"/>
      <c r="L15" s="196"/>
      <c r="M15" s="196"/>
      <c r="N15" s="196"/>
      <c r="O15" s="196"/>
    </row>
    <row r="16" spans="1:15">
      <c r="A16" s="196"/>
      <c r="B16" s="201" t="s">
        <v>103</v>
      </c>
      <c r="C16" s="280"/>
      <c r="D16" s="281"/>
      <c r="E16" s="196"/>
      <c r="F16" s="196"/>
      <c r="G16" s="196"/>
      <c r="H16" s="196"/>
      <c r="I16" s="196"/>
      <c r="J16" s="196"/>
      <c r="K16" s="196"/>
      <c r="L16" s="196"/>
      <c r="M16" s="196"/>
      <c r="N16" s="196"/>
      <c r="O16" s="196"/>
    </row>
    <row r="17" spans="2:4">
      <c r="B17" s="201" t="s">
        <v>104</v>
      </c>
      <c r="C17" s="280"/>
      <c r="D17" s="281"/>
    </row>
    <row r="18" spans="2:4">
      <c r="B18" s="201" t="s">
        <v>105</v>
      </c>
      <c r="C18" s="280"/>
      <c r="D18" s="281"/>
    </row>
  </sheetData>
  <phoneticPr fontId="21" type="noConversion"/>
  <pageMargins left="0.70866141732283472" right="0.70866141732283472" top="0.74803149606299213" bottom="0.74803149606299213" header="0.31496062992125984" footer="0.31496062992125984"/>
  <pageSetup paperSize="8" scale="77" orientation="portrait" r:id="rId1"/>
  <headerFooter>
    <oddFooter>&amp;C_x000D_&amp;1#&amp;"Calibri"&amp;10&amp;K000000 OFFICIAL-InternalOnly</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M14"/>
  <sheetViews>
    <sheetView showGridLines="0" zoomScale="112" zoomScaleNormal="100" workbookViewId="0">
      <selection activeCell="C6" sqref="C6"/>
    </sheetView>
  </sheetViews>
  <sheetFormatPr defaultColWidth="9.1796875" defaultRowHeight="13.5"/>
  <cols>
    <col min="1" max="1" width="73.1796875" style="38" customWidth="1"/>
    <col min="2" max="3" width="10.7265625" style="38" customWidth="1"/>
    <col min="4" max="4" width="42.54296875" style="38" customWidth="1"/>
    <col min="5" max="5" width="5.1796875" style="38" customWidth="1"/>
    <col min="6" max="16384" width="9.1796875" style="38"/>
  </cols>
  <sheetData>
    <row r="1" spans="1:39" s="51" customFormat="1" ht="18" customHeight="1">
      <c r="A1" s="70" t="s">
        <v>106</v>
      </c>
      <c r="B1" s="70"/>
      <c r="C1" s="70"/>
      <c r="D1" s="70"/>
      <c r="E1" s="70"/>
      <c r="F1" s="202"/>
      <c r="G1" s="202"/>
      <c r="H1" s="6"/>
      <c r="I1" s="202"/>
      <c r="J1" s="6"/>
      <c r="K1" s="202"/>
      <c r="L1" s="202"/>
      <c r="M1" s="6"/>
      <c r="N1" s="6"/>
      <c r="O1" s="202"/>
      <c r="P1" s="202"/>
      <c r="Q1" s="202"/>
      <c r="R1" s="6"/>
      <c r="S1" s="202"/>
      <c r="T1" s="202"/>
      <c r="U1" s="202"/>
      <c r="V1" s="202"/>
      <c r="W1" s="202"/>
      <c r="X1" s="202"/>
      <c r="Y1" s="202"/>
      <c r="Z1" s="202"/>
      <c r="AA1" s="202"/>
      <c r="AB1" s="202"/>
      <c r="AC1" s="202"/>
      <c r="AD1" s="202"/>
      <c r="AE1" s="202"/>
      <c r="AF1" s="202"/>
      <c r="AG1" s="202"/>
      <c r="AH1" s="202"/>
      <c r="AI1" s="202"/>
      <c r="AJ1" s="202"/>
      <c r="AK1" s="202"/>
      <c r="AL1" s="202"/>
      <c r="AM1" s="202"/>
    </row>
    <row r="2" spans="1:39" s="51" customFormat="1" ht="18" customHeight="1">
      <c r="A2" s="70" t="str">
        <f>+'Pension Pack cover'!D12</f>
        <v>NGED (Central Networks ESPS)</v>
      </c>
      <c r="B2" s="70"/>
      <c r="C2" s="70"/>
      <c r="D2" s="70"/>
      <c r="E2" s="70"/>
      <c r="F2" s="202"/>
      <c r="G2" s="202"/>
      <c r="H2" s="202"/>
      <c r="I2" s="202"/>
      <c r="J2" s="202"/>
      <c r="K2" s="196"/>
      <c r="L2" s="196"/>
      <c r="M2" s="196"/>
      <c r="N2" s="196"/>
      <c r="O2" s="196"/>
      <c r="P2" s="196"/>
      <c r="Q2" s="196"/>
      <c r="R2" s="196"/>
      <c r="S2" s="196"/>
      <c r="T2" s="196"/>
      <c r="U2" s="196"/>
      <c r="V2" s="196"/>
      <c r="W2" s="196"/>
      <c r="X2" s="196"/>
      <c r="Y2" s="196"/>
      <c r="Z2" s="196"/>
      <c r="AA2" s="196"/>
      <c r="AB2" s="196"/>
      <c r="AC2" s="196"/>
      <c r="AD2" s="196"/>
      <c r="AE2" s="196"/>
      <c r="AF2" s="196"/>
      <c r="AG2" s="196"/>
      <c r="AH2" s="196"/>
      <c r="AI2" s="196"/>
      <c r="AJ2" s="196"/>
      <c r="AK2" s="196"/>
      <c r="AL2" s="196"/>
      <c r="AM2" s="196"/>
    </row>
    <row r="3" spans="1:39" s="52" customFormat="1" ht="18" customHeight="1">
      <c r="A3" s="70">
        <f>+'Pension Pack cover'!D24</f>
        <v>2026</v>
      </c>
      <c r="B3" s="70"/>
      <c r="C3" s="70"/>
      <c r="D3" s="70"/>
      <c r="E3" s="70"/>
      <c r="F3" s="203"/>
      <c r="G3" s="203"/>
      <c r="H3" s="203"/>
      <c r="I3" s="203"/>
      <c r="J3" s="203"/>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row>
    <row r="4" spans="1:39" s="51" customFormat="1" ht="18" customHeight="1">
      <c r="A4" s="78"/>
      <c r="B4" s="78"/>
      <c r="C4" s="78"/>
      <c r="D4" s="78"/>
      <c r="E4" s="78"/>
      <c r="F4" s="202"/>
      <c r="G4" s="202"/>
      <c r="H4" s="202"/>
      <c r="I4" s="202"/>
      <c r="J4" s="202"/>
      <c r="K4" s="204"/>
      <c r="L4" s="204"/>
      <c r="M4" s="204"/>
      <c r="N4" s="204"/>
      <c r="O4" s="204"/>
      <c r="P4" s="204"/>
      <c r="Q4" s="204"/>
      <c r="R4" s="204"/>
      <c r="S4" s="204"/>
      <c r="T4" s="204"/>
      <c r="U4" s="204"/>
      <c r="V4" s="204"/>
      <c r="W4" s="204"/>
      <c r="X4" s="204"/>
      <c r="Y4" s="204"/>
      <c r="Z4" s="204"/>
      <c r="AA4" s="204"/>
      <c r="AB4" s="204"/>
      <c r="AC4" s="204"/>
      <c r="AD4" s="204"/>
      <c r="AE4" s="204"/>
      <c r="AF4" s="204"/>
      <c r="AG4" s="204"/>
      <c r="AH4" s="204"/>
      <c r="AI4" s="204"/>
      <c r="AJ4" s="204"/>
      <c r="AK4" s="204"/>
      <c r="AL4" s="204"/>
      <c r="AM4" s="204"/>
    </row>
    <row r="5" spans="1:39">
      <c r="A5" s="196"/>
      <c r="B5" s="205" t="s">
        <v>107</v>
      </c>
      <c r="C5" s="206"/>
      <c r="D5" s="196"/>
      <c r="E5" s="196"/>
      <c r="F5" s="196"/>
      <c r="G5" s="196"/>
      <c r="H5" s="196"/>
      <c r="I5" s="196"/>
      <c r="J5" s="196"/>
      <c r="K5" s="196"/>
      <c r="L5" s="196"/>
      <c r="M5" s="196"/>
      <c r="N5" s="196"/>
      <c r="O5" s="196"/>
      <c r="P5" s="196"/>
      <c r="Q5" s="196"/>
      <c r="R5" s="196"/>
      <c r="S5" s="196"/>
      <c r="T5" s="196"/>
      <c r="U5" s="196"/>
      <c r="V5" s="196"/>
      <c r="W5" s="196"/>
      <c r="X5" s="196"/>
      <c r="Y5" s="196"/>
      <c r="Z5" s="196"/>
      <c r="AA5" s="196"/>
      <c r="AB5" s="196"/>
      <c r="AC5" s="196"/>
      <c r="AD5" s="196"/>
      <c r="AE5" s="196"/>
      <c r="AF5" s="196"/>
      <c r="AG5" s="196"/>
      <c r="AH5" s="196"/>
      <c r="AI5" s="196"/>
      <c r="AJ5" s="196"/>
      <c r="AK5" s="196"/>
      <c r="AL5" s="196"/>
      <c r="AM5" s="196"/>
    </row>
    <row r="6" spans="1:39" ht="14.5">
      <c r="A6" s="69" t="s">
        <v>108</v>
      </c>
      <c r="B6" s="53"/>
      <c r="C6" s="53"/>
      <c r="D6" s="196"/>
      <c r="E6" s="196"/>
      <c r="F6" s="196"/>
      <c r="G6" s="196"/>
      <c r="H6" s="196"/>
      <c r="I6" s="196"/>
      <c r="J6" s="196"/>
      <c r="K6" s="196"/>
      <c r="L6" s="196"/>
      <c r="M6" s="196"/>
      <c r="N6" s="196"/>
      <c r="O6" s="196"/>
      <c r="P6" s="196"/>
      <c r="Q6" s="196"/>
      <c r="R6" s="196"/>
      <c r="S6" s="196"/>
      <c r="T6" s="196"/>
      <c r="U6" s="196"/>
      <c r="V6" s="196"/>
      <c r="W6" s="196"/>
      <c r="X6" s="196"/>
      <c r="Y6" s="196"/>
      <c r="Z6" s="196"/>
      <c r="AA6" s="196"/>
      <c r="AB6" s="196"/>
      <c r="AC6" s="196"/>
      <c r="AD6" s="196"/>
      <c r="AE6" s="196"/>
      <c r="AF6" s="196"/>
      <c r="AG6" s="196"/>
      <c r="AH6" s="196"/>
      <c r="AI6" s="196"/>
      <c r="AJ6" s="196"/>
      <c r="AK6" s="196"/>
      <c r="AL6" s="196"/>
      <c r="AM6" s="196"/>
    </row>
    <row r="7" spans="1:39" ht="14.5">
      <c r="A7" s="69" t="s">
        <v>109</v>
      </c>
      <c r="B7" s="53"/>
      <c r="C7" s="53"/>
      <c r="D7" s="196"/>
      <c r="E7" s="196"/>
      <c r="F7" s="196"/>
      <c r="G7" s="196"/>
      <c r="H7" s="196"/>
      <c r="I7" s="196"/>
      <c r="J7" s="196"/>
      <c r="K7" s="196"/>
      <c r="L7" s="196"/>
      <c r="M7" s="196"/>
      <c r="N7" s="196"/>
      <c r="O7" s="196"/>
      <c r="P7" s="196"/>
      <c r="Q7" s="196"/>
      <c r="R7" s="196"/>
      <c r="S7" s="196"/>
      <c r="T7" s="196"/>
      <c r="U7" s="196"/>
      <c r="V7" s="196"/>
      <c r="W7" s="196"/>
      <c r="X7" s="196"/>
      <c r="Y7" s="196"/>
      <c r="Z7" s="196"/>
      <c r="AA7" s="196"/>
      <c r="AB7" s="196"/>
      <c r="AC7" s="196"/>
      <c r="AD7" s="196"/>
      <c r="AE7" s="196"/>
      <c r="AF7" s="196"/>
      <c r="AG7" s="196"/>
      <c r="AH7" s="196"/>
      <c r="AI7" s="196"/>
      <c r="AJ7" s="196"/>
      <c r="AK7" s="196"/>
      <c r="AL7" s="196"/>
      <c r="AM7" s="196"/>
    </row>
    <row r="8" spans="1:39" ht="14.5">
      <c r="A8" s="69" t="s">
        <v>110</v>
      </c>
      <c r="B8" s="53"/>
      <c r="C8" s="53"/>
      <c r="D8" s="196"/>
      <c r="E8" s="196"/>
      <c r="F8" s="196"/>
      <c r="G8" s="196"/>
      <c r="H8" s="196"/>
      <c r="I8" s="196"/>
      <c r="J8" s="196"/>
      <c r="K8" s="196"/>
      <c r="L8" s="196"/>
      <c r="M8" s="196"/>
      <c r="N8" s="196"/>
      <c r="O8" s="196"/>
      <c r="P8" s="196"/>
      <c r="Q8" s="196"/>
      <c r="R8" s="196"/>
      <c r="S8" s="196"/>
      <c r="T8" s="196"/>
      <c r="U8" s="196"/>
      <c r="V8" s="196"/>
      <c r="W8" s="196"/>
      <c r="X8" s="196"/>
      <c r="Y8" s="196"/>
      <c r="Z8" s="196"/>
      <c r="AA8" s="196"/>
      <c r="AB8" s="196"/>
      <c r="AC8" s="196"/>
      <c r="AD8" s="196"/>
      <c r="AE8" s="196"/>
      <c r="AF8" s="196"/>
      <c r="AG8" s="196"/>
      <c r="AH8" s="196"/>
      <c r="AI8" s="196"/>
      <c r="AJ8" s="196"/>
      <c r="AK8" s="196"/>
      <c r="AL8" s="196"/>
      <c r="AM8" s="196"/>
    </row>
    <row r="9" spans="1:39" ht="14.5">
      <c r="A9" s="69" t="s">
        <v>111</v>
      </c>
      <c r="B9" s="53"/>
      <c r="C9" s="53"/>
      <c r="D9" s="196"/>
      <c r="E9" s="196"/>
      <c r="F9" s="196"/>
      <c r="G9" s="196"/>
      <c r="H9" s="196"/>
      <c r="I9" s="196"/>
      <c r="J9" s="196"/>
      <c r="K9" s="196"/>
      <c r="L9" s="196"/>
      <c r="M9" s="196"/>
      <c r="N9" s="196"/>
      <c r="O9" s="196"/>
      <c r="P9" s="196"/>
      <c r="Q9" s="196"/>
      <c r="R9" s="196"/>
      <c r="S9" s="196"/>
      <c r="T9" s="196"/>
      <c r="U9" s="196"/>
      <c r="V9" s="196"/>
      <c r="W9" s="196"/>
      <c r="X9" s="196"/>
      <c r="Y9" s="196"/>
      <c r="Z9" s="196"/>
      <c r="AA9" s="196"/>
      <c r="AB9" s="196"/>
      <c r="AC9" s="196"/>
      <c r="AD9" s="196"/>
      <c r="AE9" s="196"/>
      <c r="AF9" s="196"/>
      <c r="AG9" s="196"/>
      <c r="AH9" s="196"/>
      <c r="AI9" s="196"/>
      <c r="AJ9" s="196"/>
      <c r="AK9" s="196"/>
      <c r="AL9" s="196"/>
      <c r="AM9" s="196"/>
    </row>
    <row r="10" spans="1:39" ht="14.5">
      <c r="A10" s="69" t="s">
        <v>112</v>
      </c>
      <c r="B10" s="53"/>
      <c r="C10" s="53"/>
      <c r="D10" s="196"/>
      <c r="E10" s="196"/>
      <c r="F10" s="196"/>
      <c r="G10" s="196"/>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row>
    <row r="11" spans="1:39" ht="14.5">
      <c r="A11" s="69" t="s">
        <v>113</v>
      </c>
      <c r="B11" s="53"/>
      <c r="C11" s="53"/>
      <c r="D11" s="196"/>
      <c r="E11" s="196"/>
      <c r="F11" s="196"/>
      <c r="G11" s="196"/>
      <c r="H11" s="196"/>
      <c r="I11" s="196"/>
      <c r="J11" s="196"/>
      <c r="K11" s="196"/>
      <c r="L11" s="196"/>
      <c r="M11" s="196"/>
      <c r="N11" s="196"/>
      <c r="O11" s="196"/>
      <c r="P11" s="196"/>
      <c r="Q11" s="196"/>
      <c r="R11" s="196"/>
      <c r="S11" s="196"/>
      <c r="T11" s="196"/>
      <c r="U11" s="196"/>
      <c r="V11" s="196"/>
      <c r="W11" s="196"/>
      <c r="X11" s="196"/>
      <c r="Y11" s="196"/>
      <c r="Z11" s="196"/>
      <c r="AA11" s="196"/>
      <c r="AB11" s="196"/>
      <c r="AC11" s="196"/>
      <c r="AD11" s="196"/>
      <c r="AE11" s="196"/>
      <c r="AF11" s="196"/>
      <c r="AG11" s="196"/>
      <c r="AH11" s="196"/>
      <c r="AI11" s="196"/>
      <c r="AJ11" s="196"/>
      <c r="AK11" s="196"/>
      <c r="AL11" s="196"/>
      <c r="AM11" s="196"/>
    </row>
    <row r="12" spans="1:39" ht="14.5">
      <c r="A12" s="69" t="s">
        <v>114</v>
      </c>
      <c r="B12" s="53"/>
      <c r="C12" s="53"/>
      <c r="D12" s="196"/>
      <c r="E12" s="196"/>
      <c r="F12" s="196"/>
      <c r="G12" s="196"/>
      <c r="H12" s="196"/>
      <c r="I12" s="196"/>
      <c r="J12" s="196"/>
      <c r="K12" s="196"/>
      <c r="L12" s="196"/>
      <c r="M12" s="196"/>
      <c r="N12" s="196"/>
      <c r="O12" s="196"/>
      <c r="P12" s="196"/>
      <c r="Q12" s="196"/>
      <c r="R12" s="196"/>
      <c r="S12" s="196"/>
      <c r="T12" s="196"/>
      <c r="U12" s="196"/>
      <c r="V12" s="196"/>
      <c r="W12" s="196"/>
      <c r="X12" s="196"/>
      <c r="Y12" s="196"/>
      <c r="Z12" s="196"/>
      <c r="AA12" s="196"/>
      <c r="AB12" s="196"/>
      <c r="AC12" s="196"/>
      <c r="AD12" s="196"/>
      <c r="AE12" s="196"/>
      <c r="AF12" s="196"/>
      <c r="AG12" s="196"/>
      <c r="AH12" s="196"/>
      <c r="AI12" s="196"/>
      <c r="AJ12" s="196"/>
      <c r="AK12" s="196"/>
      <c r="AL12" s="196"/>
      <c r="AM12" s="196"/>
    </row>
    <row r="13" spans="1:39" ht="14.5">
      <c r="A13" s="69" t="s">
        <v>115</v>
      </c>
      <c r="B13" s="53"/>
      <c r="C13" s="53"/>
      <c r="D13" s="196"/>
      <c r="E13" s="196"/>
      <c r="F13" s="196"/>
      <c r="G13" s="196"/>
      <c r="H13" s="196"/>
      <c r="I13" s="196"/>
      <c r="J13" s="196"/>
      <c r="K13" s="196"/>
      <c r="L13" s="196"/>
      <c r="M13" s="196"/>
      <c r="N13" s="196"/>
      <c r="O13" s="196"/>
      <c r="P13" s="196"/>
      <c r="Q13" s="196"/>
      <c r="R13" s="196"/>
      <c r="S13" s="196"/>
      <c r="T13" s="196"/>
      <c r="U13" s="196"/>
      <c r="V13" s="196"/>
      <c r="W13" s="196"/>
      <c r="X13" s="196"/>
      <c r="Y13" s="196"/>
      <c r="Z13" s="196"/>
      <c r="AA13" s="196"/>
      <c r="AB13" s="196"/>
      <c r="AC13" s="196"/>
      <c r="AD13" s="196"/>
      <c r="AE13" s="196"/>
      <c r="AF13" s="196"/>
      <c r="AG13" s="196"/>
      <c r="AH13" s="196"/>
      <c r="AI13" s="196"/>
      <c r="AJ13" s="196"/>
      <c r="AK13" s="196"/>
      <c r="AL13" s="196"/>
      <c r="AM13" s="196"/>
    </row>
    <row r="14" spans="1:39" ht="14.5">
      <c r="A14" s="82" t="s">
        <v>116</v>
      </c>
      <c r="B14" s="53"/>
      <c r="C14" s="53"/>
      <c r="D14" s="196"/>
      <c r="E14" s="196"/>
      <c r="F14" s="196"/>
      <c r="G14" s="196"/>
      <c r="H14" s="196"/>
      <c r="I14" s="196"/>
      <c r="J14" s="196"/>
      <c r="K14" s="196"/>
      <c r="L14" s="196"/>
      <c r="M14" s="196"/>
      <c r="N14" s="196"/>
      <c r="O14" s="196"/>
      <c r="P14" s="196"/>
      <c r="Q14" s="196"/>
      <c r="R14" s="196"/>
      <c r="S14" s="196"/>
      <c r="T14" s="196"/>
      <c r="U14" s="196"/>
      <c r="V14" s="196"/>
      <c r="W14" s="196"/>
      <c r="X14" s="196"/>
      <c r="Y14" s="196"/>
      <c r="Z14" s="196"/>
      <c r="AA14" s="196"/>
      <c r="AB14" s="196"/>
      <c r="AC14" s="196"/>
      <c r="AD14" s="196"/>
      <c r="AE14" s="196"/>
      <c r="AF14" s="196"/>
      <c r="AG14" s="196"/>
      <c r="AH14" s="196"/>
      <c r="AI14" s="196"/>
      <c r="AJ14" s="196"/>
      <c r="AK14" s="196"/>
      <c r="AL14" s="196"/>
      <c r="AM14" s="196"/>
    </row>
  </sheetData>
  <phoneticPr fontId="21" type="noConversion"/>
  <hyperlinks>
    <hyperlink ref="A6" location="'P1.1 PDAM Licensee provided'!A1" display="P1.1 - PDAM information completed by licensee - primary scheme" xr:uid="{00000000-0004-0000-0200-000000000000}"/>
    <hyperlink ref="A10" location="'P2.1 PDAM Licensee provided'!A1" display="P2.1 - PDAM information completed by licensee - second scheme" xr:uid="{00000000-0004-0000-0200-000001000000}"/>
    <hyperlink ref="A7" location="'P1.2 PDAM Actuary provided data'!A1" display="P1.2 - PDAM information completed by Actuary - primary scheme" xr:uid="{00000000-0004-0000-0200-000002000000}"/>
    <hyperlink ref="A11" location="'P2.2 PDAM Actuary provided'!A1" display="P2.2 - PDAM information completed by Actuary - second scheme" xr:uid="{00000000-0004-0000-0200-000003000000}"/>
    <hyperlink ref="A8:A9" location="'P1.4 Pensions_PPF_Admin'!A1" display="P1.4 - PPF Levies and Scheme administration - Primary scheme [not DNOs]" xr:uid="{00000000-0004-0000-0200-000008000000}"/>
    <hyperlink ref="A8" location="'P1.5 Calculation of Vrr - L1'!A1" display="P1.5 - Calculation of Vrr - Licensee 1" xr:uid="{00000000-0004-0000-0200-000009000000}"/>
    <hyperlink ref="A9" location="'P1.6 IBAPA and PBAPA - L1'!A1" display="P1.6 IBAPA and PBAPA - Licensee 1" xr:uid="{00000000-0004-0000-0200-00000A000000}"/>
    <hyperlink ref="A13" location="'P2.6 IBAPA and PBAPA - L2'!A1" display="P2.6 IBAPA and PBAPA - Licensee 2" xr:uid="{00000000-0004-0000-0200-00000B000000}"/>
    <hyperlink ref="A14" location="'Para 6.20 adjustments'!_Toc352922511" display="Para 6.20 adjustment" xr:uid="{00000000-0004-0000-0200-00000C000000}"/>
    <hyperlink ref="A12" location="'P2.5 Calculation of Vrr - L2'!A1" display="P2.5 - Calculation of Vrr - Licensee 2" xr:uid="{00000000-0004-0000-0200-00000D000000}"/>
  </hyperlinks>
  <pageMargins left="0.70866141732283472" right="0.70866141732283472" top="0.74803149606299213" bottom="0.74803149606299213" header="0.31496062992125984" footer="0.31496062992125984"/>
  <pageSetup paperSize="8" scale="97" orientation="portrait" r:id="rId1"/>
  <headerFooter>
    <oddFooter>&amp;C_x000D_&amp;1#&amp;"Calibri"&amp;10&amp;K000000 OFFICIAL-InternalOnly</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E129"/>
  <sheetViews>
    <sheetView showGridLines="0" zoomScaleNormal="100" workbookViewId="0">
      <pane xSplit="1" ySplit="6" topLeftCell="B7" activePane="bottomRight" state="frozen"/>
      <selection pane="topRight" activeCell="B1" sqref="B1"/>
      <selection pane="bottomLeft" activeCell="A7" sqref="A7"/>
      <selection pane="bottomRight" activeCell="D130" sqref="D130"/>
    </sheetView>
  </sheetViews>
  <sheetFormatPr defaultColWidth="9.1796875" defaultRowHeight="13.5"/>
  <cols>
    <col min="1" max="1" width="2.453125" style="57" customWidth="1"/>
    <col min="2" max="2" width="19.54296875" style="56" customWidth="1"/>
    <col min="3" max="3" width="43.26953125" style="56" customWidth="1"/>
    <col min="4" max="4" width="108.7265625" style="57" customWidth="1"/>
    <col min="5" max="16384" width="9.1796875" style="57"/>
  </cols>
  <sheetData>
    <row r="1" spans="1:5" s="54" customFormat="1" ht="20">
      <c r="A1" s="70"/>
      <c r="B1" s="70" t="s">
        <v>117</v>
      </c>
      <c r="C1" s="70"/>
      <c r="D1" s="70"/>
      <c r="E1" s="207"/>
    </row>
    <row r="2" spans="1:5" s="54" customFormat="1" ht="20">
      <c r="A2" s="70"/>
      <c r="B2" s="70" t="str">
        <f>+'Pension Pack cover'!D12</f>
        <v>NGED (Central Networks ESPS)</v>
      </c>
      <c r="C2" s="70"/>
      <c r="D2" s="70"/>
      <c r="E2" s="207"/>
    </row>
    <row r="3" spans="1:5" s="54" customFormat="1" ht="20">
      <c r="A3" s="70"/>
      <c r="B3" s="70" t="s">
        <v>118</v>
      </c>
      <c r="C3" s="70"/>
      <c r="D3" s="70"/>
      <c r="E3" s="207"/>
    </row>
    <row r="4" spans="1:5" ht="14.5">
      <c r="A4" s="208"/>
      <c r="B4" s="55" t="s">
        <v>119</v>
      </c>
      <c r="C4" s="209"/>
      <c r="D4" s="208"/>
      <c r="E4" s="208"/>
    </row>
    <row r="6" spans="1:5" ht="45" customHeight="1">
      <c r="A6" s="208"/>
      <c r="B6" s="210" t="s">
        <v>120</v>
      </c>
      <c r="C6" s="210" t="s">
        <v>121</v>
      </c>
      <c r="D6" s="210" t="s">
        <v>122</v>
      </c>
      <c r="E6" s="208"/>
    </row>
    <row r="7" spans="1:5" ht="14.5">
      <c r="A7" s="208"/>
      <c r="B7" s="271" t="s">
        <v>123</v>
      </c>
      <c r="C7" s="272" t="s">
        <v>124</v>
      </c>
      <c r="D7" s="273" t="s">
        <v>125</v>
      </c>
      <c r="E7" s="196"/>
    </row>
    <row r="8" spans="1:5" ht="14.5">
      <c r="A8" s="208"/>
      <c r="B8" s="271" t="s">
        <v>126</v>
      </c>
      <c r="C8" s="272" t="s">
        <v>127</v>
      </c>
      <c r="D8" s="273" t="s">
        <v>128</v>
      </c>
      <c r="E8" s="196"/>
    </row>
    <row r="9" spans="1:5" ht="14.5">
      <c r="A9" s="208"/>
      <c r="B9" s="271" t="s">
        <v>126</v>
      </c>
      <c r="C9" s="272" t="s">
        <v>127</v>
      </c>
      <c r="D9" s="273" t="s">
        <v>129</v>
      </c>
      <c r="E9" s="196"/>
    </row>
    <row r="10" spans="1:5" ht="14.5">
      <c r="A10" s="208"/>
      <c r="B10" s="271" t="s">
        <v>126</v>
      </c>
      <c r="C10" s="272" t="s">
        <v>127</v>
      </c>
      <c r="D10" s="273" t="s">
        <v>130</v>
      </c>
      <c r="E10" s="196"/>
    </row>
    <row r="11" spans="1:5" ht="14.5">
      <c r="A11" s="208"/>
      <c r="B11" s="271" t="s">
        <v>126</v>
      </c>
      <c r="C11" s="272" t="s">
        <v>127</v>
      </c>
      <c r="D11" s="273" t="s">
        <v>131</v>
      </c>
      <c r="E11" s="196"/>
    </row>
    <row r="12" spans="1:5" ht="14.5">
      <c r="A12" s="208"/>
      <c r="B12" s="271" t="s">
        <v>126</v>
      </c>
      <c r="C12" s="272" t="s">
        <v>127</v>
      </c>
      <c r="D12" s="273" t="s">
        <v>132</v>
      </c>
      <c r="E12" s="196"/>
    </row>
    <row r="13" spans="1:5" ht="14.5">
      <c r="A13" s="208"/>
      <c r="B13" s="271" t="s">
        <v>126</v>
      </c>
      <c r="C13" s="272" t="s">
        <v>127</v>
      </c>
      <c r="D13" s="273" t="s">
        <v>133</v>
      </c>
      <c r="E13" s="211"/>
    </row>
    <row r="14" spans="1:5" ht="14.5">
      <c r="A14" s="208"/>
      <c r="B14" s="271" t="s">
        <v>126</v>
      </c>
      <c r="C14" s="272" t="s">
        <v>127</v>
      </c>
      <c r="D14" s="273" t="s">
        <v>134</v>
      </c>
      <c r="E14" s="208"/>
    </row>
    <row r="15" spans="1:5" ht="14.5">
      <c r="A15" s="208"/>
      <c r="B15" s="271" t="s">
        <v>126</v>
      </c>
      <c r="C15" s="272" t="s">
        <v>127</v>
      </c>
      <c r="D15" s="273" t="s">
        <v>135</v>
      </c>
      <c r="E15" s="208"/>
    </row>
    <row r="16" spans="1:5" ht="14.5">
      <c r="A16" s="208"/>
      <c r="B16" s="271" t="s">
        <v>126</v>
      </c>
      <c r="C16" s="272" t="s">
        <v>127</v>
      </c>
      <c r="D16" s="273" t="s">
        <v>136</v>
      </c>
      <c r="E16" s="208"/>
    </row>
    <row r="17" spans="2:4" ht="14.5">
      <c r="B17" s="271" t="s">
        <v>126</v>
      </c>
      <c r="C17" s="272" t="s">
        <v>127</v>
      </c>
      <c r="D17" s="273" t="s">
        <v>137</v>
      </c>
    </row>
    <row r="18" spans="2:4" ht="14.5">
      <c r="B18" s="271" t="s">
        <v>126</v>
      </c>
      <c r="C18" s="272" t="s">
        <v>127</v>
      </c>
      <c r="D18" s="273" t="s">
        <v>138</v>
      </c>
    </row>
    <row r="19" spans="2:4" ht="14.5">
      <c r="B19" s="271" t="s">
        <v>126</v>
      </c>
      <c r="C19" s="272" t="s">
        <v>127</v>
      </c>
      <c r="D19" s="273" t="s">
        <v>139</v>
      </c>
    </row>
    <row r="20" spans="2:4" ht="14.5">
      <c r="B20" s="271" t="s">
        <v>126</v>
      </c>
      <c r="C20" s="272" t="s">
        <v>127</v>
      </c>
      <c r="D20" s="273" t="s">
        <v>140</v>
      </c>
    </row>
    <row r="21" spans="2:4" ht="14.5">
      <c r="B21" s="271" t="s">
        <v>126</v>
      </c>
      <c r="C21" s="272" t="s">
        <v>127</v>
      </c>
      <c r="D21" s="273" t="s">
        <v>141</v>
      </c>
    </row>
    <row r="22" spans="2:4" ht="14.5">
      <c r="B22" s="271" t="s">
        <v>126</v>
      </c>
      <c r="C22" s="272" t="s">
        <v>127</v>
      </c>
      <c r="D22" s="181" t="s">
        <v>142</v>
      </c>
    </row>
    <row r="23" spans="2:4" ht="14.5">
      <c r="B23" s="271" t="s">
        <v>126</v>
      </c>
      <c r="C23" s="272" t="s">
        <v>127</v>
      </c>
      <c r="D23" s="181" t="s">
        <v>143</v>
      </c>
    </row>
    <row r="24" spans="2:4" ht="14.5">
      <c r="B24" s="271" t="s">
        <v>126</v>
      </c>
      <c r="C24" s="272" t="s">
        <v>127</v>
      </c>
      <c r="D24" s="181" t="s">
        <v>144</v>
      </c>
    </row>
    <row r="25" spans="2:4" ht="14.5">
      <c r="B25" s="271" t="s">
        <v>145</v>
      </c>
      <c r="C25" s="272" t="s">
        <v>127</v>
      </c>
      <c r="D25" s="181" t="s">
        <v>146</v>
      </c>
    </row>
    <row r="26" spans="2:4">
      <c r="B26" s="271" t="s">
        <v>145</v>
      </c>
      <c r="C26" s="181" t="s">
        <v>124</v>
      </c>
      <c r="D26" s="59" t="s">
        <v>147</v>
      </c>
    </row>
    <row r="27" spans="2:4">
      <c r="B27" s="271" t="s">
        <v>145</v>
      </c>
      <c r="C27" s="181" t="s">
        <v>127</v>
      </c>
      <c r="D27" s="59" t="s">
        <v>148</v>
      </c>
    </row>
    <row r="28" spans="2:4">
      <c r="B28" s="271" t="s">
        <v>145</v>
      </c>
      <c r="C28" s="181" t="s">
        <v>127</v>
      </c>
      <c r="D28" s="59" t="s">
        <v>149</v>
      </c>
    </row>
    <row r="29" spans="2:4">
      <c r="B29" s="271" t="s">
        <v>145</v>
      </c>
      <c r="C29" s="181" t="s">
        <v>127</v>
      </c>
      <c r="D29" s="59" t="s">
        <v>150</v>
      </c>
    </row>
    <row r="30" spans="2:4">
      <c r="B30" s="271" t="s">
        <v>145</v>
      </c>
      <c r="C30" s="181" t="s">
        <v>151</v>
      </c>
      <c r="D30" s="59" t="s">
        <v>152</v>
      </c>
    </row>
    <row r="31" spans="2:4">
      <c r="B31" s="271" t="s">
        <v>145</v>
      </c>
      <c r="C31" s="181" t="s">
        <v>151</v>
      </c>
      <c r="D31" s="59" t="s">
        <v>153</v>
      </c>
    </row>
    <row r="32" spans="2:4">
      <c r="B32" s="271" t="s">
        <v>145</v>
      </c>
      <c r="C32" s="181" t="s">
        <v>151</v>
      </c>
      <c r="D32" s="59" t="s">
        <v>154</v>
      </c>
    </row>
    <row r="33" spans="2:4">
      <c r="B33" s="271" t="s">
        <v>145</v>
      </c>
      <c r="C33" s="181" t="s">
        <v>151</v>
      </c>
      <c r="D33" s="59" t="s">
        <v>155</v>
      </c>
    </row>
    <row r="34" spans="2:4">
      <c r="B34" s="271" t="s">
        <v>145</v>
      </c>
      <c r="C34" s="181" t="s">
        <v>151</v>
      </c>
      <c r="D34" s="59" t="s">
        <v>156</v>
      </c>
    </row>
    <row r="35" spans="2:4">
      <c r="B35" s="271" t="s">
        <v>157</v>
      </c>
      <c r="C35" s="181" t="s">
        <v>106</v>
      </c>
      <c r="D35" s="59" t="s">
        <v>158</v>
      </c>
    </row>
    <row r="36" spans="2:4">
      <c r="B36" s="271" t="s">
        <v>157</v>
      </c>
      <c r="C36" s="181" t="s">
        <v>159</v>
      </c>
      <c r="D36" s="181" t="s">
        <v>160</v>
      </c>
    </row>
    <row r="37" spans="2:4">
      <c r="B37" s="271" t="s">
        <v>157</v>
      </c>
      <c r="C37" s="181" t="s">
        <v>127</v>
      </c>
      <c r="D37" s="59" t="s">
        <v>161</v>
      </c>
    </row>
    <row r="38" spans="2:4">
      <c r="B38" s="271" t="s">
        <v>157</v>
      </c>
      <c r="C38" s="181" t="s">
        <v>127</v>
      </c>
      <c r="D38" s="181" t="s">
        <v>162</v>
      </c>
    </row>
    <row r="39" spans="2:4">
      <c r="B39" s="271" t="s">
        <v>157</v>
      </c>
      <c r="C39" s="181" t="s">
        <v>127</v>
      </c>
      <c r="D39" s="59" t="s">
        <v>163</v>
      </c>
    </row>
    <row r="40" spans="2:4">
      <c r="B40" s="271" t="s">
        <v>157</v>
      </c>
      <c r="C40" s="181" t="s">
        <v>127</v>
      </c>
      <c r="D40" s="59" t="s">
        <v>164</v>
      </c>
    </row>
    <row r="41" spans="2:4">
      <c r="B41" s="271" t="s">
        <v>157</v>
      </c>
      <c r="C41" s="181" t="s">
        <v>151</v>
      </c>
      <c r="D41" s="59" t="s">
        <v>165</v>
      </c>
    </row>
    <row r="42" spans="2:4">
      <c r="B42" s="271" t="s">
        <v>166</v>
      </c>
      <c r="C42" s="181" t="s">
        <v>167</v>
      </c>
      <c r="D42" s="59" t="s">
        <v>168</v>
      </c>
    </row>
    <row r="43" spans="2:4">
      <c r="B43" s="271" t="s">
        <v>166</v>
      </c>
      <c r="C43" s="181" t="s">
        <v>169</v>
      </c>
      <c r="D43" s="59" t="s">
        <v>170</v>
      </c>
    </row>
    <row r="44" spans="2:4">
      <c r="B44" s="271" t="s">
        <v>166</v>
      </c>
      <c r="C44" s="181" t="s">
        <v>171</v>
      </c>
      <c r="D44" s="59" t="s">
        <v>172</v>
      </c>
    </row>
    <row r="45" spans="2:4">
      <c r="B45" s="271" t="s">
        <v>166</v>
      </c>
      <c r="C45" s="181" t="s">
        <v>173</v>
      </c>
      <c r="D45" s="59" t="s">
        <v>174</v>
      </c>
    </row>
    <row r="46" spans="2:4">
      <c r="B46" s="271" t="s">
        <v>166</v>
      </c>
      <c r="C46" s="181" t="s">
        <v>175</v>
      </c>
      <c r="D46" s="59" t="s">
        <v>176</v>
      </c>
    </row>
    <row r="47" spans="2:4">
      <c r="B47" s="271" t="s">
        <v>166</v>
      </c>
      <c r="C47" s="181" t="s">
        <v>177</v>
      </c>
      <c r="D47" s="181" t="s">
        <v>178</v>
      </c>
    </row>
    <row r="48" spans="2:4">
      <c r="B48" s="271" t="s">
        <v>166</v>
      </c>
      <c r="C48" s="181" t="s">
        <v>179</v>
      </c>
      <c r="D48" s="181" t="s">
        <v>180</v>
      </c>
    </row>
    <row r="49" spans="2:4">
      <c r="B49" s="271" t="s">
        <v>166</v>
      </c>
      <c r="C49" s="181" t="s">
        <v>106</v>
      </c>
      <c r="D49" s="212" t="s">
        <v>181</v>
      </c>
    </row>
    <row r="50" spans="2:4" ht="27">
      <c r="B50" s="271" t="s">
        <v>166</v>
      </c>
      <c r="C50" s="181" t="s">
        <v>182</v>
      </c>
      <c r="D50" s="212" t="s">
        <v>183</v>
      </c>
    </row>
    <row r="51" spans="2:4">
      <c r="B51" s="271" t="s">
        <v>166</v>
      </c>
      <c r="C51" s="181" t="s">
        <v>167</v>
      </c>
      <c r="D51" s="181" t="s">
        <v>184</v>
      </c>
    </row>
    <row r="52" spans="2:4" ht="54">
      <c r="B52" s="271" t="s">
        <v>166</v>
      </c>
      <c r="C52" s="181" t="s">
        <v>185</v>
      </c>
      <c r="D52" s="181" t="s">
        <v>186</v>
      </c>
    </row>
    <row r="53" spans="2:4">
      <c r="B53" s="271" t="s">
        <v>187</v>
      </c>
      <c r="C53" s="58" t="s">
        <v>188</v>
      </c>
      <c r="D53" s="181" t="s">
        <v>189</v>
      </c>
    </row>
    <row r="54" spans="2:4" ht="54">
      <c r="B54" s="271" t="s">
        <v>187</v>
      </c>
      <c r="C54" s="58" t="s">
        <v>190</v>
      </c>
      <c r="D54" s="181" t="s">
        <v>191</v>
      </c>
    </row>
    <row r="55" spans="2:4" ht="67.5">
      <c r="B55" s="271" t="s">
        <v>187</v>
      </c>
      <c r="C55" s="58" t="s">
        <v>192</v>
      </c>
      <c r="D55" s="58" t="s">
        <v>193</v>
      </c>
    </row>
    <row r="56" spans="2:4" ht="27">
      <c r="B56" s="271" t="s">
        <v>187</v>
      </c>
      <c r="C56" s="58" t="s">
        <v>194</v>
      </c>
      <c r="D56" s="59" t="s">
        <v>195</v>
      </c>
    </row>
    <row r="57" spans="2:4">
      <c r="B57" s="271" t="s">
        <v>187</v>
      </c>
      <c r="C57" s="58" t="s">
        <v>194</v>
      </c>
      <c r="D57" s="58" t="s">
        <v>196</v>
      </c>
    </row>
    <row r="58" spans="2:4">
      <c r="B58" s="271" t="s">
        <v>187</v>
      </c>
      <c r="C58" s="181" t="s">
        <v>197</v>
      </c>
      <c r="D58" s="181" t="s">
        <v>198</v>
      </c>
    </row>
    <row r="59" spans="2:4" ht="40.5">
      <c r="B59" s="271" t="s">
        <v>187</v>
      </c>
      <c r="C59" s="181" t="s">
        <v>188</v>
      </c>
      <c r="D59" s="181" t="s">
        <v>199</v>
      </c>
    </row>
    <row r="60" spans="2:4">
      <c r="B60" s="271" t="s">
        <v>187</v>
      </c>
      <c r="C60" s="181" t="s">
        <v>200</v>
      </c>
      <c r="D60" s="181" t="s">
        <v>201</v>
      </c>
    </row>
    <row r="61" spans="2:4" ht="27">
      <c r="B61" s="271" t="s">
        <v>187</v>
      </c>
      <c r="C61" s="181" t="s">
        <v>202</v>
      </c>
      <c r="D61" s="181" t="s">
        <v>203</v>
      </c>
    </row>
    <row r="62" spans="2:4" ht="27">
      <c r="B62" s="271" t="s">
        <v>187</v>
      </c>
      <c r="C62" s="181" t="s">
        <v>202</v>
      </c>
      <c r="D62" s="181" t="s">
        <v>204</v>
      </c>
    </row>
    <row r="63" spans="2:4" ht="27">
      <c r="B63" s="271" t="s">
        <v>187</v>
      </c>
      <c r="C63" s="181" t="s">
        <v>202</v>
      </c>
      <c r="D63" s="181" t="s">
        <v>205</v>
      </c>
    </row>
    <row r="64" spans="2:4" ht="27">
      <c r="B64" s="271" t="s">
        <v>187</v>
      </c>
      <c r="C64" s="181" t="s">
        <v>202</v>
      </c>
      <c r="D64" s="181" t="s">
        <v>206</v>
      </c>
    </row>
    <row r="65" spans="2:4">
      <c r="B65" s="271" t="s">
        <v>187</v>
      </c>
      <c r="C65" s="180" t="s">
        <v>207</v>
      </c>
      <c r="D65" s="181" t="s">
        <v>208</v>
      </c>
    </row>
    <row r="66" spans="2:4">
      <c r="B66" s="271" t="s">
        <v>187</v>
      </c>
      <c r="C66" s="180" t="s">
        <v>188</v>
      </c>
      <c r="D66" s="181" t="s">
        <v>209</v>
      </c>
    </row>
    <row r="67" spans="2:4">
      <c r="B67" s="271" t="s">
        <v>187</v>
      </c>
      <c r="C67" s="180" t="s">
        <v>200</v>
      </c>
      <c r="D67" s="181" t="s">
        <v>210</v>
      </c>
    </row>
    <row r="68" spans="2:4">
      <c r="B68" s="271" t="s">
        <v>187</v>
      </c>
      <c r="C68" s="180" t="s">
        <v>200</v>
      </c>
      <c r="D68" s="181" t="s">
        <v>211</v>
      </c>
    </row>
    <row r="69" spans="2:4">
      <c r="B69" s="271" t="s">
        <v>187</v>
      </c>
      <c r="C69" s="180" t="s">
        <v>159</v>
      </c>
      <c r="D69" s="181" t="s">
        <v>212</v>
      </c>
    </row>
    <row r="70" spans="2:4" ht="27">
      <c r="B70" s="271" t="s">
        <v>187</v>
      </c>
      <c r="C70" s="180" t="s">
        <v>213</v>
      </c>
      <c r="D70" s="181" t="s">
        <v>214</v>
      </c>
    </row>
    <row r="71" spans="2:4">
      <c r="B71" s="271" t="s">
        <v>187</v>
      </c>
      <c r="C71" s="180" t="s">
        <v>213</v>
      </c>
      <c r="D71" s="181" t="s">
        <v>215</v>
      </c>
    </row>
    <row r="72" spans="2:4" ht="14.5">
      <c r="B72" s="271" t="s">
        <v>187</v>
      </c>
      <c r="C72" s="180" t="s">
        <v>216</v>
      </c>
      <c r="D72" s="181" t="s">
        <v>217</v>
      </c>
    </row>
    <row r="73" spans="2:4" ht="14.5">
      <c r="B73" s="271" t="s">
        <v>187</v>
      </c>
      <c r="C73" s="180" t="s">
        <v>216</v>
      </c>
      <c r="D73" s="181" t="s">
        <v>218</v>
      </c>
    </row>
    <row r="74" spans="2:4">
      <c r="B74" s="271" t="s">
        <v>187</v>
      </c>
      <c r="C74" s="180" t="s">
        <v>219</v>
      </c>
      <c r="D74" s="181" t="s">
        <v>220</v>
      </c>
    </row>
    <row r="75" spans="2:4">
      <c r="B75" s="271" t="s">
        <v>187</v>
      </c>
      <c r="C75" s="180" t="s">
        <v>219</v>
      </c>
      <c r="D75" s="181" t="s">
        <v>221</v>
      </c>
    </row>
    <row r="76" spans="2:4">
      <c r="B76" s="271" t="s">
        <v>187</v>
      </c>
      <c r="C76" s="180" t="s">
        <v>222</v>
      </c>
      <c r="D76" s="181" t="s">
        <v>223</v>
      </c>
    </row>
    <row r="77" spans="2:4" ht="27">
      <c r="B77" s="271" t="s">
        <v>187</v>
      </c>
      <c r="C77" s="180" t="s">
        <v>224</v>
      </c>
      <c r="D77" s="181" t="s">
        <v>225</v>
      </c>
    </row>
    <row r="78" spans="2:4" ht="27">
      <c r="B78" s="271" t="s">
        <v>187</v>
      </c>
      <c r="C78" s="180" t="s">
        <v>224</v>
      </c>
      <c r="D78" s="181" t="s">
        <v>226</v>
      </c>
    </row>
    <row r="79" spans="2:4">
      <c r="B79" s="271" t="s">
        <v>187</v>
      </c>
      <c r="C79" s="180" t="s">
        <v>227</v>
      </c>
      <c r="D79" s="181" t="s">
        <v>228</v>
      </c>
    </row>
    <row r="80" spans="2:4">
      <c r="B80" s="271" t="s">
        <v>187</v>
      </c>
      <c r="C80" s="180" t="s">
        <v>227</v>
      </c>
      <c r="D80" s="181" t="s">
        <v>229</v>
      </c>
    </row>
    <row r="81" spans="2:4">
      <c r="B81" s="271" t="s">
        <v>187</v>
      </c>
      <c r="C81" s="180" t="s">
        <v>227</v>
      </c>
      <c r="D81" s="181" t="s">
        <v>230</v>
      </c>
    </row>
    <row r="82" spans="2:4" ht="27">
      <c r="B82" s="271" t="s">
        <v>187</v>
      </c>
      <c r="C82" s="180" t="s">
        <v>227</v>
      </c>
      <c r="D82" s="181" t="s">
        <v>231</v>
      </c>
    </row>
    <row r="83" spans="2:4" ht="42.5">
      <c r="B83" s="271" t="s">
        <v>187</v>
      </c>
      <c r="C83" s="180" t="s">
        <v>232</v>
      </c>
      <c r="D83" s="181" t="s">
        <v>233</v>
      </c>
    </row>
    <row r="84" spans="2:4" ht="27">
      <c r="B84" s="271" t="s">
        <v>187</v>
      </c>
      <c r="C84" s="180" t="s">
        <v>234</v>
      </c>
      <c r="D84" s="181" t="s">
        <v>235</v>
      </c>
    </row>
    <row r="85" spans="2:4">
      <c r="B85" s="271" t="s">
        <v>187</v>
      </c>
      <c r="C85" s="181" t="s">
        <v>236</v>
      </c>
      <c r="D85" s="59" t="s">
        <v>237</v>
      </c>
    </row>
    <row r="86" spans="2:4">
      <c r="B86" s="271" t="s">
        <v>187</v>
      </c>
      <c r="C86" s="181" t="s">
        <v>188</v>
      </c>
      <c r="D86" s="59" t="s">
        <v>238</v>
      </c>
    </row>
    <row r="87" spans="2:4">
      <c r="B87" s="271" t="s">
        <v>187</v>
      </c>
      <c r="C87" s="181" t="s">
        <v>239</v>
      </c>
      <c r="D87" s="59" t="s">
        <v>240</v>
      </c>
    </row>
    <row r="88" spans="2:4">
      <c r="B88" s="271" t="s">
        <v>187</v>
      </c>
      <c r="C88" s="181" t="s">
        <v>241</v>
      </c>
      <c r="D88" s="59" t="s">
        <v>242</v>
      </c>
    </row>
    <row r="89" spans="2:4">
      <c r="B89" s="271" t="s">
        <v>243</v>
      </c>
      <c r="C89" s="181" t="s">
        <v>200</v>
      </c>
      <c r="D89" s="181" t="s">
        <v>244</v>
      </c>
    </row>
    <row r="90" spans="2:4">
      <c r="B90" s="271" t="s">
        <v>243</v>
      </c>
      <c r="C90" s="180" t="s">
        <v>200</v>
      </c>
      <c r="D90" s="181" t="s">
        <v>245</v>
      </c>
    </row>
    <row r="91" spans="2:4">
      <c r="B91" s="271" t="s">
        <v>243</v>
      </c>
      <c r="C91" s="180" t="s">
        <v>200</v>
      </c>
      <c r="D91" s="181" t="s">
        <v>246</v>
      </c>
    </row>
    <row r="92" spans="2:4">
      <c r="B92" s="271" t="s">
        <v>243</v>
      </c>
      <c r="C92" s="180" t="s">
        <v>200</v>
      </c>
      <c r="D92" s="181" t="s">
        <v>247</v>
      </c>
    </row>
    <row r="93" spans="2:4">
      <c r="B93" s="271" t="s">
        <v>243</v>
      </c>
      <c r="C93" s="181" t="s">
        <v>197</v>
      </c>
      <c r="D93" s="181" t="s">
        <v>248</v>
      </c>
    </row>
    <row r="94" spans="2:4">
      <c r="B94" s="271" t="s">
        <v>243</v>
      </c>
      <c r="C94" s="181" t="s">
        <v>194</v>
      </c>
      <c r="D94" s="59" t="s">
        <v>249</v>
      </c>
    </row>
    <row r="95" spans="2:4">
      <c r="B95" s="271" t="s">
        <v>243</v>
      </c>
      <c r="C95" s="181" t="s">
        <v>239</v>
      </c>
      <c r="D95" s="59" t="s">
        <v>249</v>
      </c>
    </row>
    <row r="96" spans="2:4">
      <c r="B96" s="271" t="s">
        <v>250</v>
      </c>
      <c r="C96" s="181" t="s">
        <v>251</v>
      </c>
      <c r="D96" s="59" t="s">
        <v>252</v>
      </c>
    </row>
    <row r="97" spans="2:4">
      <c r="B97" s="271" t="s">
        <v>250</v>
      </c>
      <c r="C97" s="181" t="s">
        <v>197</v>
      </c>
      <c r="D97" s="59" t="s">
        <v>253</v>
      </c>
    </row>
    <row r="98" spans="2:4" ht="27">
      <c r="B98" s="271" t="s">
        <v>250</v>
      </c>
      <c r="C98" s="181" t="s">
        <v>254</v>
      </c>
      <c r="D98" s="59" t="s">
        <v>255</v>
      </c>
    </row>
    <row r="99" spans="2:4" ht="27">
      <c r="B99" s="271" t="s">
        <v>250</v>
      </c>
      <c r="C99" s="181" t="s">
        <v>254</v>
      </c>
      <c r="D99" s="59" t="s">
        <v>256</v>
      </c>
    </row>
    <row r="100" spans="2:4">
      <c r="B100" s="271" t="s">
        <v>250</v>
      </c>
      <c r="C100" s="181" t="s">
        <v>236</v>
      </c>
      <c r="D100" s="59" t="s">
        <v>257</v>
      </c>
    </row>
    <row r="101" spans="2:4">
      <c r="B101" s="271" t="s">
        <v>250</v>
      </c>
      <c r="C101" s="180" t="s">
        <v>239</v>
      </c>
      <c r="D101" s="59" t="s">
        <v>258</v>
      </c>
    </row>
    <row r="102" spans="2:4">
      <c r="B102" s="271" t="s">
        <v>250</v>
      </c>
      <c r="C102" s="181" t="s">
        <v>192</v>
      </c>
      <c r="D102" s="59" t="s">
        <v>259</v>
      </c>
    </row>
    <row r="103" spans="2:4" ht="25.5" customHeight="1">
      <c r="B103" s="271" t="s">
        <v>250</v>
      </c>
      <c r="C103" s="181" t="s">
        <v>260</v>
      </c>
      <c r="D103" s="59" t="s">
        <v>261</v>
      </c>
    </row>
    <row r="104" spans="2:4" s="270" customFormat="1">
      <c r="B104" s="271" t="s">
        <v>250</v>
      </c>
      <c r="C104" s="181" t="s">
        <v>262</v>
      </c>
      <c r="D104" s="59" t="s">
        <v>263</v>
      </c>
    </row>
    <row r="105" spans="2:4">
      <c r="B105" s="271" t="s">
        <v>250</v>
      </c>
      <c r="C105" s="58" t="s">
        <v>264</v>
      </c>
      <c r="D105" s="59" t="s">
        <v>265</v>
      </c>
    </row>
    <row r="106" spans="2:4">
      <c r="B106" s="271" t="s">
        <v>250</v>
      </c>
      <c r="C106" s="180" t="s">
        <v>239</v>
      </c>
      <c r="D106" s="59" t="s">
        <v>266</v>
      </c>
    </row>
    <row r="107" spans="2:4">
      <c r="B107" s="282" t="s">
        <v>267</v>
      </c>
      <c r="C107" s="283" t="s">
        <v>219</v>
      </c>
      <c r="D107" s="284" t="s">
        <v>268</v>
      </c>
    </row>
    <row r="108" spans="2:4">
      <c r="B108" s="282" t="s">
        <v>267</v>
      </c>
      <c r="C108" s="285" t="s">
        <v>200</v>
      </c>
      <c r="D108" s="285" t="s">
        <v>269</v>
      </c>
    </row>
    <row r="109" spans="2:4">
      <c r="B109" s="282" t="s">
        <v>267</v>
      </c>
      <c r="C109" s="283" t="s">
        <v>200</v>
      </c>
      <c r="D109" s="285" t="s">
        <v>270</v>
      </c>
    </row>
    <row r="110" spans="2:4">
      <c r="B110" s="282" t="s">
        <v>267</v>
      </c>
      <c r="C110" s="283" t="s">
        <v>200</v>
      </c>
      <c r="D110" s="285" t="s">
        <v>271</v>
      </c>
    </row>
    <row r="111" spans="2:4">
      <c r="B111" s="282" t="s">
        <v>267</v>
      </c>
      <c r="C111" s="283" t="s">
        <v>200</v>
      </c>
      <c r="D111" s="285" t="s">
        <v>272</v>
      </c>
    </row>
    <row r="112" spans="2:4">
      <c r="B112" s="286" t="s">
        <v>267</v>
      </c>
      <c r="C112" s="285" t="s">
        <v>194</v>
      </c>
      <c r="D112" s="284" t="s">
        <v>273</v>
      </c>
    </row>
    <row r="113" spans="2:4">
      <c r="B113" s="286" t="s">
        <v>267</v>
      </c>
      <c r="C113" s="285" t="s">
        <v>239</v>
      </c>
      <c r="D113" s="284" t="s">
        <v>274</v>
      </c>
    </row>
    <row r="114" spans="2:4">
      <c r="B114" s="286" t="s">
        <v>267</v>
      </c>
      <c r="C114" s="285" t="s">
        <v>254</v>
      </c>
      <c r="D114" s="284" t="s">
        <v>275</v>
      </c>
    </row>
    <row r="115" spans="2:4">
      <c r="B115" s="286" t="s">
        <v>267</v>
      </c>
      <c r="C115" s="287" t="s">
        <v>276</v>
      </c>
      <c r="D115" s="284" t="s">
        <v>277</v>
      </c>
    </row>
    <row r="116" spans="2:4">
      <c r="B116" s="286" t="s">
        <v>278</v>
      </c>
      <c r="C116" s="285" t="s">
        <v>254</v>
      </c>
      <c r="D116" s="284" t="s">
        <v>279</v>
      </c>
    </row>
    <row r="117" spans="2:4">
      <c r="B117" s="286" t="s">
        <v>278</v>
      </c>
      <c r="C117" s="287" t="s">
        <v>280</v>
      </c>
      <c r="D117" s="284" t="s">
        <v>281</v>
      </c>
    </row>
    <row r="118" spans="2:4">
      <c r="B118" s="286" t="s">
        <v>278</v>
      </c>
      <c r="C118" s="287" t="s">
        <v>282</v>
      </c>
      <c r="D118" s="284" t="s">
        <v>283</v>
      </c>
    </row>
    <row r="119" spans="2:4">
      <c r="B119" s="286" t="s">
        <v>278</v>
      </c>
      <c r="C119" s="287" t="s">
        <v>264</v>
      </c>
      <c r="D119" s="284" t="s">
        <v>283</v>
      </c>
    </row>
    <row r="120" spans="2:4">
      <c r="B120" s="286" t="s">
        <v>278</v>
      </c>
      <c r="C120" s="287" t="s">
        <v>219</v>
      </c>
      <c r="D120" s="284" t="s">
        <v>284</v>
      </c>
    </row>
    <row r="121" spans="2:4">
      <c r="B121" s="286" t="s">
        <v>278</v>
      </c>
      <c r="C121" s="287" t="s">
        <v>219</v>
      </c>
      <c r="D121" s="284" t="s">
        <v>285</v>
      </c>
    </row>
    <row r="122" spans="2:4">
      <c r="B122" s="286" t="s">
        <v>278</v>
      </c>
      <c r="C122" s="287" t="s">
        <v>219</v>
      </c>
      <c r="D122" s="284" t="s">
        <v>286</v>
      </c>
    </row>
    <row r="123" spans="2:4">
      <c r="B123" s="286" t="s">
        <v>278</v>
      </c>
      <c r="C123" s="287" t="s">
        <v>287</v>
      </c>
      <c r="D123" s="284" t="s">
        <v>288</v>
      </c>
    </row>
    <row r="124" spans="2:4">
      <c r="B124" s="286" t="s">
        <v>278</v>
      </c>
      <c r="C124" s="287" t="s">
        <v>287</v>
      </c>
      <c r="D124" s="284" t="s">
        <v>289</v>
      </c>
    </row>
    <row r="125" spans="2:4">
      <c r="B125" s="286" t="s">
        <v>278</v>
      </c>
      <c r="C125" s="287" t="s">
        <v>290</v>
      </c>
      <c r="D125" s="284" t="s">
        <v>291</v>
      </c>
    </row>
    <row r="126" spans="2:4">
      <c r="B126" s="286" t="s">
        <v>278</v>
      </c>
      <c r="C126" s="287" t="s">
        <v>292</v>
      </c>
      <c r="D126" s="284" t="s">
        <v>293</v>
      </c>
    </row>
    <row r="127" spans="2:4" ht="30" customHeight="1">
      <c r="B127" s="282" t="s">
        <v>278</v>
      </c>
      <c r="C127" s="285" t="s">
        <v>254</v>
      </c>
      <c r="D127" s="284" t="s">
        <v>294</v>
      </c>
    </row>
    <row r="128" spans="2:4">
      <c r="B128" s="286" t="s">
        <v>278</v>
      </c>
      <c r="C128" s="287" t="s">
        <v>295</v>
      </c>
      <c r="D128" s="284" t="s">
        <v>296</v>
      </c>
    </row>
    <row r="129" spans="2:4" ht="40.5">
      <c r="B129" s="282" t="s">
        <v>278</v>
      </c>
      <c r="C129" s="287" t="s">
        <v>254</v>
      </c>
      <c r="D129" s="284" t="s">
        <v>297</v>
      </c>
    </row>
  </sheetData>
  <phoneticPr fontId="21" type="noConversion"/>
  <pageMargins left="0.70866141732283472" right="0.70866141732283472" top="0.74803149606299213" bottom="0.74803149606299213" header="0.31496062992125984" footer="0.31496062992125984"/>
  <pageSetup paperSize="8" scale="59" orientation="portrait" r:id="rId1"/>
  <headerFooter>
    <oddFooter>&amp;C_x000D_&amp;1#&amp;"Calibri"&amp;10&amp;K000000 OFFICIAL-InternalOnly</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7" tint="0.59999389629810485"/>
    <pageSetUpPr fitToPage="1"/>
  </sheetPr>
  <dimension ref="A1:W176"/>
  <sheetViews>
    <sheetView showGridLines="0" zoomScale="85" zoomScaleNormal="85" workbookViewId="0">
      <selection activeCell="C107" activeCellId="3" sqref="D29 G29 J29 C107:K107"/>
    </sheetView>
  </sheetViews>
  <sheetFormatPr defaultColWidth="9.1796875" defaultRowHeight="13.5" outlineLevelRow="1"/>
  <cols>
    <col min="1" max="1" width="10.7265625" style="10" customWidth="1"/>
    <col min="2" max="2" width="70" style="10" customWidth="1"/>
    <col min="3" max="8" width="11.26953125" style="10" customWidth="1"/>
    <col min="9" max="9" width="14.453125" style="10" customWidth="1"/>
    <col min="10" max="10" width="11.26953125" style="10" customWidth="1"/>
    <col min="11" max="11" width="10" style="10" customWidth="1"/>
    <col min="12" max="21" width="9.1796875" style="10"/>
    <col min="22" max="22" width="15.54296875" style="277" customWidth="1"/>
    <col min="23" max="16384" width="9.1796875" style="10"/>
  </cols>
  <sheetData>
    <row r="1" spans="1:23" ht="25">
      <c r="A1" s="79" t="s">
        <v>298</v>
      </c>
      <c r="B1" s="79"/>
      <c r="C1" s="21"/>
      <c r="D1" s="21"/>
      <c r="E1" s="21"/>
      <c r="F1" s="21"/>
      <c r="G1" s="21"/>
      <c r="H1" s="21"/>
      <c r="I1" s="21"/>
      <c r="J1" s="21"/>
      <c r="K1" s="21"/>
      <c r="L1" s="21"/>
    </row>
    <row r="2" spans="1:23" ht="25">
      <c r="A2" s="79" t="str">
        <f>+'Pension Pack cover'!D12</f>
        <v>NGED (Central Networks ESPS)</v>
      </c>
      <c r="B2" s="135"/>
      <c r="C2" s="21"/>
      <c r="D2" s="21"/>
      <c r="E2" s="21"/>
      <c r="F2" s="21"/>
      <c r="G2" s="213" t="s">
        <v>299</v>
      </c>
      <c r="H2" s="21"/>
      <c r="I2" s="21"/>
      <c r="J2" s="21"/>
      <c r="K2" s="21"/>
      <c r="L2" s="21"/>
    </row>
    <row r="3" spans="1:23" ht="25">
      <c r="A3" s="135">
        <f>+'Pension Pack cover'!D24</f>
        <v>2026</v>
      </c>
      <c r="B3" s="135"/>
      <c r="C3" s="21"/>
      <c r="D3" s="21"/>
      <c r="E3" s="21"/>
      <c r="F3" s="21"/>
      <c r="G3" s="21"/>
      <c r="H3" s="21"/>
      <c r="I3" s="21"/>
      <c r="J3" s="21"/>
      <c r="K3" s="21"/>
      <c r="L3" s="21"/>
    </row>
    <row r="4" spans="1:23" ht="15">
      <c r="A4" s="6" t="s">
        <v>108</v>
      </c>
      <c r="B4" s="6"/>
      <c r="C4" s="3"/>
      <c r="D4" s="2"/>
      <c r="E4" s="2"/>
      <c r="F4" s="2"/>
      <c r="G4" s="2"/>
      <c r="H4" s="2"/>
      <c r="I4" s="2"/>
      <c r="J4" s="2"/>
      <c r="K4" s="2"/>
      <c r="L4" s="2"/>
    </row>
    <row r="5" spans="1:23" ht="15">
      <c r="A5" s="4"/>
      <c r="B5" s="4"/>
      <c r="C5" s="214"/>
      <c r="D5" s="2"/>
      <c r="E5" s="2"/>
      <c r="F5" s="2"/>
      <c r="G5" s="2"/>
      <c r="H5" s="2"/>
      <c r="I5" s="2"/>
      <c r="J5" s="2"/>
      <c r="K5" s="2"/>
      <c r="L5" s="2"/>
    </row>
    <row r="6" spans="1:23" ht="15" customHeight="1">
      <c r="A6" s="4"/>
      <c r="B6" s="215" t="s">
        <v>300</v>
      </c>
      <c r="C6" s="214"/>
      <c r="D6" s="355" t="str">
        <f>'Pension Pack cover'!D21</f>
        <v>CGPS</v>
      </c>
      <c r="E6" s="356"/>
      <c r="F6" s="356"/>
      <c r="G6" s="356"/>
      <c r="H6" s="356"/>
      <c r="I6" s="356"/>
      <c r="J6" s="357"/>
      <c r="K6" s="2"/>
      <c r="L6" s="2"/>
      <c r="U6" s="189"/>
      <c r="V6" s="278"/>
    </row>
    <row r="7" spans="1:23" ht="15">
      <c r="A7" s="4"/>
      <c r="B7" s="217"/>
      <c r="C7" s="214"/>
      <c r="D7" s="3"/>
      <c r="E7" s="2"/>
      <c r="F7" s="2"/>
      <c r="G7" s="2"/>
      <c r="H7" s="2"/>
      <c r="I7" s="2"/>
      <c r="J7" s="2"/>
      <c r="K7" s="2"/>
      <c r="L7" s="2"/>
      <c r="U7" s="189"/>
      <c r="W7" s="63"/>
    </row>
    <row r="8" spans="1:23" ht="15">
      <c r="A8" s="4"/>
      <c r="B8" s="215" t="s">
        <v>301</v>
      </c>
      <c r="C8" s="214"/>
      <c r="D8" s="349" t="s">
        <v>302</v>
      </c>
      <c r="E8" s="350"/>
      <c r="F8" s="2"/>
      <c r="G8" s="2"/>
      <c r="H8" s="2"/>
      <c r="I8" s="2"/>
      <c r="J8" s="2"/>
      <c r="K8" s="2"/>
      <c r="L8" s="2"/>
      <c r="U8" s="189"/>
      <c r="W8" s="63"/>
    </row>
    <row r="9" spans="1:23" ht="15">
      <c r="A9" s="4"/>
      <c r="B9" s="215" t="s">
        <v>303</v>
      </c>
      <c r="C9" s="214"/>
      <c r="D9" s="349" t="s">
        <v>304</v>
      </c>
      <c r="E9" s="350"/>
      <c r="F9" s="2"/>
      <c r="G9" s="2"/>
      <c r="H9" s="2"/>
      <c r="I9" s="2"/>
      <c r="J9" s="2"/>
      <c r="K9" s="2"/>
      <c r="L9" s="2"/>
      <c r="U9" s="189"/>
      <c r="W9" s="63"/>
    </row>
    <row r="10" spans="1:23" ht="15">
      <c r="A10" s="4"/>
      <c r="B10" s="217"/>
      <c r="C10" s="214"/>
      <c r="D10" s="3"/>
      <c r="E10" s="2"/>
      <c r="F10" s="2"/>
      <c r="G10" s="2"/>
      <c r="H10" s="2"/>
      <c r="I10" s="2"/>
      <c r="J10" s="2"/>
      <c r="K10" s="2"/>
      <c r="L10" s="2"/>
      <c r="U10" s="189"/>
      <c r="W10" s="63"/>
    </row>
    <row r="11" spans="1:23" ht="15">
      <c r="A11" s="4"/>
      <c r="B11" s="351" t="str">
        <f>CONCATENATE("Section A - Pre Cut-Off Date Regulatory Fraction as at ",+D8)</f>
        <v>Section A - Pre Cut-Off Date Regulatory Fraction as at 31 March 2022</v>
      </c>
      <c r="C11" s="351"/>
      <c r="D11" s="358"/>
      <c r="E11" s="358"/>
      <c r="F11" s="2"/>
      <c r="G11" s="2"/>
      <c r="H11" s="2"/>
      <c r="I11" s="2"/>
      <c r="J11" s="2"/>
      <c r="K11" s="2"/>
      <c r="L11" s="2"/>
      <c r="U11" s="189"/>
      <c r="W11" s="63"/>
    </row>
    <row r="12" spans="1:23" ht="15.75" customHeight="1" outlineLevel="1">
      <c r="A12" s="4"/>
      <c r="B12" s="9"/>
      <c r="C12" s="9"/>
      <c r="D12" s="11"/>
      <c r="E12" s="11"/>
      <c r="F12" s="2"/>
      <c r="G12" s="2"/>
      <c r="H12" s="2"/>
      <c r="I12" s="2"/>
      <c r="J12" s="2"/>
      <c r="K12" s="2"/>
      <c r="L12" s="2"/>
      <c r="U12" s="189"/>
      <c r="W12" s="63"/>
    </row>
    <row r="13" spans="1:23" ht="15" outlineLevel="1">
      <c r="A13" s="4"/>
      <c r="B13" s="7" t="s">
        <v>305</v>
      </c>
      <c r="C13" s="61" t="str">
        <f>+'Pension Pack cover'!D14</f>
        <v>Licensee 1</v>
      </c>
      <c r="D13" s="61" t="str">
        <f>+'Pension Pack cover'!D15</f>
        <v>Licensee 2</v>
      </c>
      <c r="E13" s="61" t="str">
        <f>+'Pension Pack cover'!D16</f>
        <v>Licensee 3</v>
      </c>
      <c r="F13" s="61" t="str">
        <f>+'Pension Pack cover'!D17</f>
        <v>Licensee 4</v>
      </c>
      <c r="G13" s="61" t="str">
        <f>+'Pension Pack cover'!D18</f>
        <v>Licensee 5</v>
      </c>
      <c r="H13" s="61" t="str">
        <f>+'Pension Pack cover'!D19</f>
        <v>Licensee 6</v>
      </c>
      <c r="I13" s="218" t="s">
        <v>306</v>
      </c>
      <c r="J13" s="13" t="s">
        <v>307</v>
      </c>
      <c r="K13" s="2"/>
      <c r="L13" s="2"/>
      <c r="W13" s="63"/>
    </row>
    <row r="14" spans="1:23" ht="27" outlineLevel="1">
      <c r="A14" s="4"/>
      <c r="B14" s="136" t="s">
        <v>308</v>
      </c>
      <c r="C14" s="288">
        <v>0</v>
      </c>
      <c r="D14" s="288">
        <v>0</v>
      </c>
      <c r="E14" s="288">
        <v>0</v>
      </c>
      <c r="F14" s="288">
        <v>0</v>
      </c>
      <c r="G14" s="288">
        <v>0</v>
      </c>
      <c r="H14" s="288">
        <v>0</v>
      </c>
      <c r="I14" s="314">
        <f>J14-SUM(C14:H14)</f>
        <v>1</v>
      </c>
      <c r="J14" s="314">
        <v>1</v>
      </c>
      <c r="K14" s="2"/>
      <c r="L14" s="2"/>
      <c r="W14" s="63"/>
    </row>
    <row r="15" spans="1:23" ht="17.25" customHeight="1" outlineLevel="1">
      <c r="A15" s="4"/>
      <c r="B15" s="136" t="s">
        <v>309</v>
      </c>
      <c r="C15" s="288">
        <v>0</v>
      </c>
      <c r="D15" s="288">
        <v>0</v>
      </c>
      <c r="E15" s="288">
        <v>0</v>
      </c>
      <c r="F15" s="288">
        <v>0</v>
      </c>
      <c r="G15" s="288">
        <v>0</v>
      </c>
      <c r="H15" s="288">
        <v>0</v>
      </c>
      <c r="I15" s="314">
        <f>-SUM(C15:H15)</f>
        <v>0</v>
      </c>
      <c r="J15" s="314">
        <f>SUM(C15:I15)</f>
        <v>0</v>
      </c>
      <c r="K15" s="2"/>
      <c r="L15" s="2"/>
      <c r="W15" s="63"/>
    </row>
    <row r="16" spans="1:23" ht="27" outlineLevel="1">
      <c r="A16" s="4"/>
      <c r="B16" s="136" t="s">
        <v>310</v>
      </c>
      <c r="C16" s="314">
        <f>C14-C15</f>
        <v>0</v>
      </c>
      <c r="D16" s="314">
        <f t="shared" ref="D16:I16" si="0">D14-D15</f>
        <v>0</v>
      </c>
      <c r="E16" s="314">
        <f t="shared" si="0"/>
        <v>0</v>
      </c>
      <c r="F16" s="314">
        <f t="shared" si="0"/>
        <v>0</v>
      </c>
      <c r="G16" s="314">
        <f t="shared" si="0"/>
        <v>0</v>
      </c>
      <c r="H16" s="314">
        <f t="shared" si="0"/>
        <v>0</v>
      </c>
      <c r="I16" s="314">
        <f t="shared" si="0"/>
        <v>1</v>
      </c>
      <c r="J16" s="314">
        <f>SUM(C16:I16)</f>
        <v>1</v>
      </c>
      <c r="K16" s="2"/>
      <c r="L16" s="2"/>
      <c r="W16" s="63"/>
    </row>
    <row r="17" spans="1:23" ht="15" outlineLevel="1">
      <c r="A17" s="4"/>
      <c r="B17" s="4"/>
      <c r="C17" s="4"/>
      <c r="D17" s="4"/>
      <c r="E17" s="4"/>
      <c r="F17" s="4"/>
      <c r="G17" s="4"/>
      <c r="H17" s="4"/>
      <c r="I17" s="4"/>
      <c r="J17" s="4"/>
      <c r="K17" s="2"/>
      <c r="L17" s="2"/>
      <c r="W17" s="63"/>
    </row>
    <row r="18" spans="1:23" ht="15">
      <c r="A18" s="4"/>
      <c r="B18" s="4"/>
      <c r="C18" s="4"/>
      <c r="D18" s="4"/>
      <c r="E18" s="4"/>
      <c r="F18" s="4"/>
      <c r="G18" s="4"/>
      <c r="H18" s="4"/>
      <c r="I18" s="4"/>
      <c r="J18" s="4"/>
      <c r="K18" s="2"/>
      <c r="L18" s="2"/>
      <c r="W18" s="63"/>
    </row>
    <row r="19" spans="1:23" ht="15">
      <c r="A19" s="4"/>
      <c r="B19" s="14" t="s">
        <v>311</v>
      </c>
      <c r="C19" s="2"/>
      <c r="D19" s="2"/>
      <c r="E19" s="2"/>
      <c r="F19" s="2"/>
      <c r="G19" s="2"/>
      <c r="H19" s="2"/>
      <c r="I19" s="2"/>
      <c r="J19" s="2"/>
      <c r="K19" s="2"/>
      <c r="L19" s="2"/>
      <c r="W19" s="63"/>
    </row>
    <row r="20" spans="1:23" ht="15" outlineLevel="1">
      <c r="A20" s="4"/>
      <c r="B20" s="20" t="s">
        <v>312</v>
      </c>
      <c r="C20" s="305" t="s">
        <v>313</v>
      </c>
      <c r="D20" s="4"/>
      <c r="E20" s="4"/>
      <c r="F20" s="4"/>
      <c r="G20" s="4"/>
      <c r="H20" s="4"/>
      <c r="I20" s="2"/>
      <c r="J20" s="4"/>
      <c r="K20" s="4"/>
      <c r="L20" s="2"/>
      <c r="W20" s="63"/>
    </row>
    <row r="21" spans="1:23" s="19" customFormat="1" ht="15" outlineLevel="1">
      <c r="A21" s="4"/>
      <c r="B21" s="28" t="s">
        <v>314</v>
      </c>
      <c r="C21" s="4"/>
      <c r="D21" s="4"/>
      <c r="E21" s="4"/>
      <c r="F21" s="4"/>
      <c r="G21" s="4"/>
      <c r="H21" s="4"/>
      <c r="I21" s="2"/>
      <c r="J21" s="4"/>
      <c r="K21" s="4"/>
      <c r="L21" s="2"/>
      <c r="M21" s="197"/>
      <c r="N21" s="197"/>
      <c r="O21" s="197"/>
      <c r="P21" s="197"/>
      <c r="Q21" s="197"/>
      <c r="R21" s="197"/>
      <c r="S21" s="197"/>
      <c r="T21" s="197"/>
      <c r="U21" s="197"/>
      <c r="V21" s="65"/>
      <c r="W21" s="63"/>
    </row>
    <row r="22" spans="1:23" s="19" customFormat="1" ht="15" outlineLevel="1">
      <c r="A22" s="4"/>
      <c r="B22" s="20"/>
      <c r="C22" s="4"/>
      <c r="D22" s="4"/>
      <c r="E22" s="4"/>
      <c r="F22" s="4"/>
      <c r="G22" s="4"/>
      <c r="H22" s="4"/>
      <c r="I22" s="4"/>
      <c r="J22" s="4"/>
      <c r="K22" s="4"/>
      <c r="L22" s="2"/>
      <c r="M22" s="197"/>
      <c r="N22" s="197"/>
      <c r="O22" s="197"/>
      <c r="P22" s="197"/>
      <c r="Q22" s="197"/>
      <c r="R22" s="197"/>
      <c r="S22" s="197"/>
      <c r="T22" s="197"/>
      <c r="U22" s="197"/>
      <c r="V22" s="65"/>
      <c r="W22" s="63"/>
    </row>
    <row r="23" spans="1:23" s="19" customFormat="1" ht="15" outlineLevel="1">
      <c r="A23" s="4"/>
      <c r="B23" s="4"/>
      <c r="C23" s="4"/>
      <c r="D23" s="359" t="s">
        <v>315</v>
      </c>
      <c r="E23" s="359"/>
      <c r="F23" s="4"/>
      <c r="G23" s="360" t="str">
        <f>D8</f>
        <v>31 March 2022</v>
      </c>
      <c r="H23" s="359"/>
      <c r="I23" s="4"/>
      <c r="J23" s="360" t="str">
        <f>D9</f>
        <v>31 March 2025</v>
      </c>
      <c r="K23" s="359"/>
      <c r="L23" s="2"/>
      <c r="M23" s="197"/>
      <c r="N23" s="197"/>
      <c r="O23" s="197"/>
      <c r="P23" s="197"/>
      <c r="Q23" s="197"/>
      <c r="R23" s="197"/>
      <c r="S23" s="197"/>
      <c r="T23" s="197"/>
      <c r="U23" s="197"/>
      <c r="V23" s="65"/>
      <c r="W23" s="197"/>
    </row>
    <row r="24" spans="1:23" s="19" customFormat="1" ht="15" outlineLevel="1">
      <c r="A24" s="4"/>
      <c r="B24" s="4"/>
      <c r="C24" s="4"/>
      <c r="D24" s="219" t="s">
        <v>316</v>
      </c>
      <c r="E24" s="219"/>
      <c r="F24" s="4"/>
      <c r="G24" s="219" t="s">
        <v>316</v>
      </c>
      <c r="H24" s="219"/>
      <c r="I24" s="2"/>
      <c r="J24" s="219" t="s">
        <v>316</v>
      </c>
      <c r="K24" s="219"/>
      <c r="L24" s="2"/>
      <c r="M24" s="197"/>
      <c r="N24" s="197"/>
      <c r="O24" s="197"/>
      <c r="P24" s="197"/>
      <c r="Q24" s="197"/>
      <c r="R24" s="197"/>
      <c r="S24" s="197"/>
      <c r="T24" s="197"/>
      <c r="U24" s="197"/>
      <c r="V24" s="65"/>
      <c r="W24" s="197"/>
    </row>
    <row r="25" spans="1:23" s="19" customFormat="1" ht="15" outlineLevel="1">
      <c r="A25" s="4"/>
      <c r="B25" s="4"/>
      <c r="C25" s="4"/>
      <c r="D25" s="220" t="s">
        <v>317</v>
      </c>
      <c r="E25" s="220" t="s">
        <v>318</v>
      </c>
      <c r="F25" s="4"/>
      <c r="G25" s="220" t="s">
        <v>317</v>
      </c>
      <c r="H25" s="220" t="s">
        <v>318</v>
      </c>
      <c r="I25" s="2"/>
      <c r="J25" s="220" t="s">
        <v>317</v>
      </c>
      <c r="K25" s="220" t="s">
        <v>318</v>
      </c>
      <c r="L25" s="2"/>
      <c r="M25" s="197"/>
      <c r="N25" s="197"/>
      <c r="O25" s="197"/>
      <c r="P25" s="197"/>
      <c r="Q25" s="197"/>
      <c r="R25" s="197"/>
      <c r="S25" s="197"/>
      <c r="T25" s="197"/>
      <c r="U25" s="197"/>
      <c r="V25" s="65"/>
      <c r="W25" s="197"/>
    </row>
    <row r="26" spans="1:23" s="19" customFormat="1" ht="15" outlineLevel="1">
      <c r="A26" s="4"/>
      <c r="B26" s="62" t="str">
        <f>+'Pension Pack cover'!D14</f>
        <v>Licensee 1</v>
      </c>
      <c r="C26" s="4"/>
      <c r="D26" s="289">
        <v>0</v>
      </c>
      <c r="E26" s="317">
        <f>IFERROR(D26/$D$29,0)</f>
        <v>0</v>
      </c>
      <c r="F26" s="4"/>
      <c r="G26" s="289">
        <v>0</v>
      </c>
      <c r="H26" s="317">
        <f>IFERROR(G26/$G$29,0)</f>
        <v>0</v>
      </c>
      <c r="I26" s="2"/>
      <c r="J26" s="289">
        <v>0</v>
      </c>
      <c r="K26" s="317">
        <f>IFERROR(J26/$J$29,0)</f>
        <v>0</v>
      </c>
      <c r="L26" s="2"/>
      <c r="M26" s="197"/>
      <c r="N26" s="197"/>
      <c r="O26" s="197"/>
      <c r="P26" s="197"/>
      <c r="Q26" s="197"/>
      <c r="R26" s="197"/>
      <c r="S26" s="197"/>
      <c r="T26" s="197"/>
      <c r="U26" s="197"/>
      <c r="V26" s="65"/>
      <c r="W26" s="197"/>
    </row>
    <row r="27" spans="1:23" s="19" customFormat="1" ht="15" outlineLevel="1">
      <c r="A27" s="4"/>
      <c r="B27" s="62" t="str">
        <f>+'Pension Pack cover'!D15</f>
        <v>Licensee 2</v>
      </c>
      <c r="C27" s="4"/>
      <c r="D27" s="289">
        <v>0</v>
      </c>
      <c r="E27" s="317">
        <f t="shared" ref="E27:E28" si="1">IFERROR(D27/$D$29,0)</f>
        <v>0</v>
      </c>
      <c r="F27" s="4"/>
      <c r="G27" s="289">
        <v>0</v>
      </c>
      <c r="H27" s="317">
        <f t="shared" ref="H27:H28" si="2">IFERROR(G27/$G$29,0)</f>
        <v>0</v>
      </c>
      <c r="I27" s="2"/>
      <c r="J27" s="289">
        <v>0</v>
      </c>
      <c r="K27" s="317">
        <f t="shared" ref="K27:K28" si="3">IFERROR(J27/$J$29,0)</f>
        <v>0</v>
      </c>
      <c r="L27" s="2"/>
      <c r="M27" s="197"/>
      <c r="N27" s="197"/>
      <c r="O27" s="197"/>
      <c r="P27" s="197"/>
      <c r="Q27" s="197"/>
      <c r="R27" s="197"/>
      <c r="S27" s="197"/>
      <c r="T27" s="197"/>
      <c r="U27" s="197"/>
      <c r="V27" s="65"/>
      <c r="W27" s="197"/>
    </row>
    <row r="28" spans="1:23" s="19" customFormat="1" ht="15" outlineLevel="1">
      <c r="A28" s="4"/>
      <c r="B28" s="62" t="str">
        <f>+'Pension Pack cover'!D16</f>
        <v>Licensee 3</v>
      </c>
      <c r="C28" s="4"/>
      <c r="D28" s="289">
        <v>0</v>
      </c>
      <c r="E28" s="317">
        <f t="shared" si="1"/>
        <v>0</v>
      </c>
      <c r="F28" s="4"/>
      <c r="G28" s="289">
        <v>0</v>
      </c>
      <c r="H28" s="317">
        <f t="shared" si="2"/>
        <v>0</v>
      </c>
      <c r="I28" s="2"/>
      <c r="J28" s="289">
        <v>0</v>
      </c>
      <c r="K28" s="317">
        <f t="shared" si="3"/>
        <v>0</v>
      </c>
      <c r="L28" s="2"/>
      <c r="M28" s="197"/>
      <c r="N28" s="197"/>
      <c r="O28" s="197"/>
      <c r="P28" s="197"/>
      <c r="Q28" s="197"/>
      <c r="R28" s="197"/>
      <c r="S28" s="197"/>
      <c r="T28" s="197"/>
      <c r="U28" s="197"/>
      <c r="V28" s="65"/>
      <c r="W28" s="197"/>
    </row>
    <row r="29" spans="1:23" s="19" customFormat="1" ht="15" outlineLevel="1">
      <c r="A29" s="4"/>
      <c r="B29" s="27" t="s">
        <v>319</v>
      </c>
      <c r="C29" s="4"/>
      <c r="D29" s="315">
        <f>SUM(D26:D28)</f>
        <v>0</v>
      </c>
      <c r="E29" s="316">
        <f>SUM(E28:E28)</f>
        <v>0</v>
      </c>
      <c r="F29" s="4"/>
      <c r="G29" s="315">
        <f>SUM(G26:G28)</f>
        <v>0</v>
      </c>
      <c r="H29" s="316">
        <f>SUM(H28:H28)</f>
        <v>0</v>
      </c>
      <c r="I29" s="2"/>
      <c r="J29" s="315">
        <f>SUM(J26:J28)</f>
        <v>0</v>
      </c>
      <c r="K29" s="316">
        <f>SUM(K28:K28)</f>
        <v>0</v>
      </c>
      <c r="L29" s="2"/>
      <c r="M29" s="197"/>
      <c r="N29" s="197"/>
      <c r="O29" s="197"/>
      <c r="P29" s="197"/>
      <c r="Q29" s="197"/>
      <c r="R29" s="197"/>
      <c r="S29" s="197"/>
      <c r="T29" s="197"/>
      <c r="U29" s="197"/>
      <c r="V29" s="65"/>
      <c r="W29" s="197"/>
    </row>
    <row r="30" spans="1:23" s="19" customFormat="1" ht="15" outlineLevel="1">
      <c r="A30" s="4"/>
      <c r="B30" s="4"/>
      <c r="C30" s="4"/>
      <c r="D30" s="4"/>
      <c r="E30" s="4"/>
      <c r="F30" s="4"/>
      <c r="G30" s="4"/>
      <c r="H30" s="4"/>
      <c r="I30" s="2"/>
      <c r="J30" s="4"/>
      <c r="K30" s="4"/>
      <c r="L30" s="2"/>
      <c r="M30" s="197"/>
      <c r="N30" s="197"/>
      <c r="O30" s="197"/>
      <c r="P30" s="197"/>
      <c r="Q30" s="197"/>
      <c r="R30" s="197"/>
      <c r="S30" s="197"/>
      <c r="T30" s="197"/>
      <c r="U30" s="197"/>
      <c r="V30" s="65"/>
      <c r="W30" s="197"/>
    </row>
    <row r="31" spans="1:23" s="19" customFormat="1" ht="15" outlineLevel="1">
      <c r="A31" s="4"/>
      <c r="B31" s="20" t="str">
        <f>CONCATENATE("2. ",+B26," - Pre-Cut Off Date Pension liabilities")</f>
        <v>2. Licensee 1 - Pre-Cut Off Date Pension liabilities</v>
      </c>
      <c r="C31" s="4"/>
      <c r="D31" s="4"/>
      <c r="E31" s="4"/>
      <c r="F31" s="4"/>
      <c r="G31" s="4"/>
      <c r="H31" s="4"/>
      <c r="I31" s="4"/>
      <c r="J31" s="4"/>
      <c r="K31" s="4"/>
      <c r="L31" s="2"/>
      <c r="M31" s="197"/>
      <c r="N31" s="197"/>
      <c r="O31" s="197"/>
      <c r="P31" s="197"/>
      <c r="Q31" s="197"/>
      <c r="R31" s="197"/>
      <c r="S31" s="197"/>
      <c r="T31" s="197"/>
      <c r="U31" s="197"/>
      <c r="V31" s="65"/>
      <c r="W31" s="197"/>
    </row>
    <row r="32" spans="1:23" s="19" customFormat="1" ht="15" outlineLevel="1">
      <c r="A32" s="4"/>
      <c r="B32" s="4"/>
      <c r="C32" s="352" t="s">
        <v>320</v>
      </c>
      <c r="D32" s="353"/>
      <c r="E32" s="354"/>
      <c r="F32" s="221" t="str">
        <f>D8</f>
        <v>31 March 2022</v>
      </c>
      <c r="G32" s="222"/>
      <c r="H32" s="223"/>
      <c r="I32" s="221" t="str">
        <f>D9</f>
        <v>31 March 2025</v>
      </c>
      <c r="J32" s="222"/>
      <c r="K32" s="223"/>
      <c r="L32" s="2"/>
      <c r="M32" s="197"/>
      <c r="N32" s="197"/>
      <c r="O32" s="197"/>
      <c r="P32" s="197"/>
      <c r="Q32" s="197"/>
      <c r="R32" s="197"/>
      <c r="S32" s="197"/>
      <c r="T32" s="197"/>
      <c r="U32" s="197"/>
      <c r="V32" s="65"/>
      <c r="W32" s="197"/>
    </row>
    <row r="33" spans="1:22" s="19" customFormat="1" ht="15" outlineLevel="1">
      <c r="A33" s="4"/>
      <c r="B33" s="4"/>
      <c r="C33" s="224"/>
      <c r="D33" s="220">
        <v>2004</v>
      </c>
      <c r="E33" s="220">
        <f>+D33</f>
        <v>2004</v>
      </c>
      <c r="F33" s="225"/>
      <c r="G33" s="220">
        <v>2022</v>
      </c>
      <c r="H33" s="220">
        <f>+G33</f>
        <v>2022</v>
      </c>
      <c r="I33" s="225"/>
      <c r="J33" s="220">
        <f>+E101</f>
        <v>2025</v>
      </c>
      <c r="K33" s="220">
        <f>+J33</f>
        <v>2025</v>
      </c>
      <c r="L33" s="2"/>
      <c r="M33" s="197"/>
      <c r="N33" s="197"/>
      <c r="O33" s="197"/>
      <c r="P33" s="197"/>
      <c r="Q33" s="197"/>
      <c r="R33" s="197"/>
      <c r="S33" s="197"/>
      <c r="T33" s="197"/>
      <c r="U33" s="197"/>
      <c r="V33" s="65"/>
    </row>
    <row r="34" spans="1:22" s="19" customFormat="1" ht="15" outlineLevel="1">
      <c r="A34" s="4"/>
      <c r="B34" s="4"/>
      <c r="C34" s="4"/>
      <c r="D34" s="220" t="s">
        <v>317</v>
      </c>
      <c r="E34" s="220" t="s">
        <v>318</v>
      </c>
      <c r="F34" s="4"/>
      <c r="G34" s="220" t="s">
        <v>317</v>
      </c>
      <c r="H34" s="220" t="s">
        <v>318</v>
      </c>
      <c r="I34" s="4"/>
      <c r="J34" s="220" t="s">
        <v>317</v>
      </c>
      <c r="K34" s="220" t="s">
        <v>318</v>
      </c>
      <c r="L34" s="2"/>
      <c r="M34" s="197"/>
      <c r="N34" s="197"/>
      <c r="O34" s="197"/>
      <c r="P34" s="197"/>
      <c r="Q34" s="197"/>
      <c r="R34" s="197"/>
      <c r="S34" s="197"/>
      <c r="T34" s="197"/>
      <c r="U34" s="197"/>
      <c r="V34" s="65"/>
    </row>
    <row r="35" spans="1:22" s="19" customFormat="1" ht="15" outlineLevel="1">
      <c r="A35" s="4"/>
      <c r="B35" s="87" t="s">
        <v>321</v>
      </c>
      <c r="C35" s="4"/>
      <c r="D35" s="290">
        <v>0</v>
      </c>
      <c r="E35" s="320">
        <f>IFERROR(D35/D37,0)</f>
        <v>0</v>
      </c>
      <c r="F35" s="4"/>
      <c r="G35" s="291">
        <v>0</v>
      </c>
      <c r="H35" s="322">
        <f>IFERROR(G35/G37,0)</f>
        <v>0</v>
      </c>
      <c r="I35" s="4"/>
      <c r="J35" s="290">
        <v>0</v>
      </c>
      <c r="K35" s="322">
        <f>IFERROR(J35/J37,0)</f>
        <v>0</v>
      </c>
      <c r="L35" s="2"/>
      <c r="M35" s="197"/>
      <c r="N35" s="197"/>
      <c r="O35" s="197"/>
      <c r="P35" s="197"/>
      <c r="Q35" s="197"/>
      <c r="R35" s="197"/>
      <c r="S35" s="197"/>
      <c r="T35" s="197"/>
      <c r="U35" s="197"/>
      <c r="V35" s="65"/>
    </row>
    <row r="36" spans="1:22" s="19" customFormat="1" ht="15" outlineLevel="1">
      <c r="A36" s="4"/>
      <c r="B36" s="87" t="s">
        <v>322</v>
      </c>
      <c r="C36" s="4"/>
      <c r="D36" s="318">
        <f>D26-D35</f>
        <v>0</v>
      </c>
      <c r="E36" s="321">
        <f>IFERROR(1-E35,0)</f>
        <v>1</v>
      </c>
      <c r="F36" s="64"/>
      <c r="G36" s="318">
        <f>G26-G35</f>
        <v>0</v>
      </c>
      <c r="H36" s="321">
        <f>IFERROR(1-H35,0)</f>
        <v>1</v>
      </c>
      <c r="I36" s="64"/>
      <c r="J36" s="318">
        <f>J26-J35</f>
        <v>0</v>
      </c>
      <c r="K36" s="323">
        <f>IFERROR(1-K35,0)</f>
        <v>1</v>
      </c>
      <c r="L36" s="2"/>
      <c r="M36" s="197"/>
      <c r="N36" s="197"/>
      <c r="O36" s="197"/>
      <c r="P36" s="197"/>
      <c r="Q36" s="197"/>
      <c r="R36" s="197"/>
      <c r="S36" s="197"/>
      <c r="T36" s="197"/>
      <c r="U36" s="197"/>
      <c r="V36" s="65"/>
    </row>
    <row r="37" spans="1:22" s="19" customFormat="1" ht="15" outlineLevel="1">
      <c r="A37" s="4"/>
      <c r="B37" s="27" t="s">
        <v>323</v>
      </c>
      <c r="C37" s="4"/>
      <c r="D37" s="319">
        <f>D35+D36</f>
        <v>0</v>
      </c>
      <c r="E37" s="65"/>
      <c r="F37" s="64"/>
      <c r="G37" s="319">
        <f>G35+G36</f>
        <v>0</v>
      </c>
      <c r="H37" s="66"/>
      <c r="I37" s="67"/>
      <c r="J37" s="319">
        <f>J35+J36</f>
        <v>0</v>
      </c>
      <c r="K37" s="226"/>
      <c r="L37" s="2"/>
      <c r="M37" s="197"/>
      <c r="N37" s="197"/>
      <c r="O37" s="197"/>
      <c r="P37" s="197"/>
      <c r="Q37" s="197"/>
      <c r="R37" s="197"/>
      <c r="S37" s="197"/>
      <c r="T37" s="197"/>
      <c r="U37" s="197"/>
      <c r="V37" s="65"/>
    </row>
    <row r="38" spans="1:22" s="19" customFormat="1" ht="15" outlineLevel="1">
      <c r="A38" s="4"/>
      <c r="B38" s="4"/>
      <c r="C38" s="4"/>
      <c r="D38" s="4"/>
      <c r="E38" s="4"/>
      <c r="F38" s="4"/>
      <c r="G38" s="4"/>
      <c r="H38" s="4"/>
      <c r="I38" s="4"/>
      <c r="J38" s="4"/>
      <c r="K38" s="4"/>
      <c r="L38" s="2"/>
      <c r="M38" s="197"/>
      <c r="N38" s="197"/>
      <c r="O38" s="197"/>
      <c r="P38" s="197"/>
      <c r="Q38" s="197"/>
      <c r="R38" s="197"/>
      <c r="S38" s="197"/>
      <c r="T38" s="197"/>
      <c r="U38" s="197"/>
      <c r="V38" s="65"/>
    </row>
    <row r="39" spans="1:22" s="19" customFormat="1" ht="15" outlineLevel="1">
      <c r="A39" s="4"/>
      <c r="B39" s="20" t="s">
        <v>324</v>
      </c>
      <c r="C39" s="4"/>
      <c r="D39" s="4"/>
      <c r="E39" s="4"/>
      <c r="F39" s="4"/>
      <c r="G39" s="4"/>
      <c r="H39" s="4"/>
      <c r="I39" s="4"/>
      <c r="J39" s="4"/>
      <c r="K39" s="4"/>
      <c r="L39" s="2"/>
      <c r="M39" s="197"/>
      <c r="N39" s="197"/>
      <c r="O39" s="197"/>
      <c r="P39" s="197"/>
      <c r="Q39" s="197"/>
      <c r="R39" s="197"/>
      <c r="S39" s="197"/>
      <c r="T39" s="197"/>
      <c r="U39" s="197"/>
      <c r="V39" s="279"/>
    </row>
    <row r="40" spans="1:22" s="19" customFormat="1" ht="15" outlineLevel="1">
      <c r="A40" s="4"/>
      <c r="B40" s="227" t="s">
        <v>325</v>
      </c>
      <c r="C40" s="298">
        <v>0</v>
      </c>
      <c r="D40" s="325">
        <f>+D35*C40</f>
        <v>0</v>
      </c>
      <c r="E40" s="317">
        <f>IFERROR(ROUND(D40/$D$44,3),0)</f>
        <v>0</v>
      </c>
      <c r="F40" s="298">
        <v>0</v>
      </c>
      <c r="G40" s="325">
        <f>+G35*F40</f>
        <v>0</v>
      </c>
      <c r="H40" s="317">
        <f>IFERROR(ROUND(+G40/$G$44,3),0)</f>
        <v>0</v>
      </c>
      <c r="I40" s="298">
        <v>0</v>
      </c>
      <c r="J40" s="325">
        <f>+J35*I40</f>
        <v>0</v>
      </c>
      <c r="K40" s="317">
        <f>IFERROR(ROUND(+J40/$J$44,3),0)</f>
        <v>0</v>
      </c>
      <c r="L40" s="2"/>
      <c r="M40" s="197"/>
      <c r="N40" s="197"/>
      <c r="O40" s="197"/>
      <c r="P40" s="197"/>
      <c r="Q40" s="197"/>
      <c r="R40" s="197"/>
      <c r="S40" s="197"/>
      <c r="T40" s="197"/>
      <c r="U40" s="197"/>
      <c r="V40" s="279"/>
    </row>
    <row r="41" spans="1:22" s="19" customFormat="1" ht="15" outlineLevel="1">
      <c r="A41" s="4"/>
      <c r="B41" s="227" t="s">
        <v>326</v>
      </c>
      <c r="C41" s="324">
        <f>+(1-C40)</f>
        <v>1</v>
      </c>
      <c r="D41" s="325">
        <f>+D35-D40</f>
        <v>0</v>
      </c>
      <c r="E41" s="317">
        <f>IFERROR(ROUND(D41/$D$44,3),0)</f>
        <v>0</v>
      </c>
      <c r="F41" s="321">
        <f>+(1-F40)</f>
        <v>1</v>
      </c>
      <c r="G41" s="325">
        <f>+G35*F41</f>
        <v>0</v>
      </c>
      <c r="H41" s="317">
        <f>IFERROR(ROUND(+G41/$G$44,3),0)</f>
        <v>0</v>
      </c>
      <c r="I41" s="324">
        <f>+(1-I40)</f>
        <v>1</v>
      </c>
      <c r="J41" s="325">
        <f>+J35*I41</f>
        <v>0</v>
      </c>
      <c r="K41" s="317">
        <f>IFERROR(ROUND(J41/$J$44,3),0)</f>
        <v>0</v>
      </c>
      <c r="L41" s="2"/>
      <c r="M41" s="197"/>
      <c r="N41" s="197"/>
      <c r="O41" s="197"/>
      <c r="P41" s="197"/>
      <c r="Q41" s="197"/>
      <c r="R41" s="197"/>
      <c r="S41" s="197"/>
      <c r="T41" s="197"/>
      <c r="U41" s="197"/>
      <c r="V41" s="279"/>
    </row>
    <row r="42" spans="1:22" s="19" customFormat="1" ht="15" outlineLevel="1">
      <c r="A42" s="4"/>
      <c r="B42" s="227" t="s">
        <v>327</v>
      </c>
      <c r="C42" s="324">
        <f>IFERROR(D42/D36,0)</f>
        <v>0</v>
      </c>
      <c r="D42" s="325">
        <f>D46-D40</f>
        <v>0</v>
      </c>
      <c r="E42" s="317">
        <f>E46-E40</f>
        <v>0.8</v>
      </c>
      <c r="F42" s="4"/>
      <c r="G42" s="325">
        <f>G36*C42</f>
        <v>0</v>
      </c>
      <c r="H42" s="317">
        <f>IFERROR(G42/$G$44,0)</f>
        <v>0</v>
      </c>
      <c r="I42" s="4"/>
      <c r="J42" s="325">
        <f>J36*C42</f>
        <v>0</v>
      </c>
      <c r="K42" s="317">
        <f>IFERROR(J42/$J$44,0)</f>
        <v>0</v>
      </c>
      <c r="L42" s="2"/>
      <c r="M42" s="197"/>
      <c r="N42" s="197"/>
      <c r="O42" s="197"/>
      <c r="P42" s="197"/>
      <c r="Q42" s="197"/>
      <c r="R42" s="197"/>
      <c r="S42" s="197"/>
      <c r="T42" s="197"/>
      <c r="U42" s="197"/>
      <c r="V42" s="279"/>
    </row>
    <row r="43" spans="1:22" s="19" customFormat="1" ht="15" outlineLevel="1">
      <c r="A43" s="4"/>
      <c r="B43" s="227" t="s">
        <v>328</v>
      </c>
      <c r="C43" s="324">
        <f>IFERROR(D43/D36,0)</f>
        <v>0</v>
      </c>
      <c r="D43" s="325">
        <f>D47-D41</f>
        <v>0</v>
      </c>
      <c r="E43" s="317">
        <f>E47-E41</f>
        <v>0.2</v>
      </c>
      <c r="F43" s="4"/>
      <c r="G43" s="325">
        <f>G36*C43</f>
        <v>0</v>
      </c>
      <c r="H43" s="317">
        <f>IFERROR(G43/$G$44,0)</f>
        <v>0</v>
      </c>
      <c r="I43" s="4"/>
      <c r="J43" s="325">
        <f>J36*C43</f>
        <v>0</v>
      </c>
      <c r="K43" s="317">
        <f>IFERROR(J43/$J$44,0)</f>
        <v>0</v>
      </c>
      <c r="L43" s="2"/>
      <c r="M43" s="197"/>
      <c r="N43" s="197"/>
      <c r="O43" s="197"/>
      <c r="P43" s="197"/>
      <c r="Q43" s="197"/>
      <c r="R43" s="197"/>
      <c r="S43" s="197"/>
      <c r="T43" s="197"/>
      <c r="U43" s="197"/>
      <c r="V43" s="279"/>
    </row>
    <row r="44" spans="1:22" s="19" customFormat="1" ht="15" outlineLevel="1">
      <c r="A44" s="4"/>
      <c r="B44" s="4"/>
      <c r="C44" s="4"/>
      <c r="D44" s="325">
        <f>SUM(D40:D43)</f>
        <v>0</v>
      </c>
      <c r="E44" s="326">
        <f>SUM(E40:E43)</f>
        <v>1</v>
      </c>
      <c r="F44" s="4"/>
      <c r="G44" s="325">
        <f>SUM(G40:G43)</f>
        <v>0</v>
      </c>
      <c r="H44" s="326">
        <f>SUM(H40:H43)</f>
        <v>0</v>
      </c>
      <c r="I44" s="4"/>
      <c r="J44" s="325">
        <f>SUM(J40:J43)</f>
        <v>0</v>
      </c>
      <c r="K44" s="326">
        <f>SUM(K40:K43)</f>
        <v>0</v>
      </c>
      <c r="L44" s="2"/>
      <c r="M44" s="197"/>
      <c r="N44" s="197"/>
      <c r="O44" s="197"/>
      <c r="P44" s="197"/>
      <c r="Q44" s="197"/>
      <c r="R44" s="197"/>
      <c r="S44" s="197"/>
      <c r="T44" s="197"/>
      <c r="U44" s="197"/>
      <c r="V44" s="279"/>
    </row>
    <row r="45" spans="1:22" s="19" customFormat="1" ht="15" outlineLevel="1">
      <c r="A45" s="4"/>
      <c r="B45" s="20" t="s">
        <v>329</v>
      </c>
      <c r="C45" s="4"/>
      <c r="D45" s="197"/>
      <c r="E45" s="197"/>
      <c r="F45" s="197"/>
      <c r="G45" s="4"/>
      <c r="H45" s="4"/>
      <c r="I45" s="4"/>
      <c r="J45" s="4"/>
      <c r="K45" s="4"/>
      <c r="L45" s="2"/>
      <c r="M45" s="197"/>
      <c r="N45" s="197"/>
      <c r="O45" s="197"/>
      <c r="P45" s="197"/>
      <c r="Q45" s="197"/>
      <c r="R45" s="197"/>
      <c r="S45" s="197"/>
      <c r="T45" s="197"/>
      <c r="U45" s="197"/>
      <c r="V45" s="279"/>
    </row>
    <row r="46" spans="1:22" s="19" customFormat="1" ht="15" outlineLevel="1">
      <c r="A46" s="4"/>
      <c r="B46" s="227" t="s">
        <v>330</v>
      </c>
      <c r="C46" s="4"/>
      <c r="D46" s="325">
        <f>E46*D37</f>
        <v>0</v>
      </c>
      <c r="E46" s="298">
        <v>0.8</v>
      </c>
      <c r="F46" s="4"/>
      <c r="G46" s="325">
        <f>+G40+G42</f>
        <v>0</v>
      </c>
      <c r="H46" s="326">
        <f>+H40+H42</f>
        <v>0</v>
      </c>
      <c r="I46" s="4"/>
      <c r="J46" s="325">
        <f>+J40+J42</f>
        <v>0</v>
      </c>
      <c r="K46" s="326">
        <f>+K40+K42</f>
        <v>0</v>
      </c>
      <c r="L46" s="2"/>
      <c r="M46" s="197"/>
      <c r="N46" s="197"/>
      <c r="O46" s="197"/>
      <c r="P46" s="197"/>
      <c r="Q46" s="197"/>
      <c r="R46" s="197"/>
      <c r="S46" s="197"/>
      <c r="T46" s="197"/>
      <c r="U46" s="197"/>
      <c r="V46" s="279"/>
    </row>
    <row r="47" spans="1:22" s="19" customFormat="1" ht="15" outlineLevel="1">
      <c r="A47" s="4"/>
      <c r="B47" s="227" t="s">
        <v>306</v>
      </c>
      <c r="C47" s="4"/>
      <c r="D47" s="325">
        <f>E47*D37</f>
        <v>0</v>
      </c>
      <c r="E47" s="298">
        <v>0.2</v>
      </c>
      <c r="F47" s="4"/>
      <c r="G47" s="325">
        <f>+G41+G43</f>
        <v>0</v>
      </c>
      <c r="H47" s="326">
        <f>1-H46</f>
        <v>1</v>
      </c>
      <c r="I47" s="4"/>
      <c r="J47" s="325">
        <f>+J41+J43</f>
        <v>0</v>
      </c>
      <c r="K47" s="326">
        <f>1-K46</f>
        <v>1</v>
      </c>
      <c r="L47" s="2"/>
      <c r="M47" s="197"/>
      <c r="N47" s="197"/>
      <c r="O47" s="197"/>
      <c r="P47" s="197"/>
      <c r="Q47" s="197"/>
      <c r="R47" s="197"/>
      <c r="S47" s="197"/>
      <c r="T47" s="197"/>
      <c r="U47" s="197"/>
      <c r="V47" s="279"/>
    </row>
    <row r="48" spans="1:22" s="19" customFormat="1" ht="15" outlineLevel="1">
      <c r="A48" s="4"/>
      <c r="B48" s="4"/>
      <c r="C48" s="4"/>
      <c r="D48" s="4"/>
      <c r="E48" s="4"/>
      <c r="F48" s="4"/>
      <c r="G48" s="4"/>
      <c r="H48" s="4"/>
      <c r="I48" s="4"/>
      <c r="J48" s="4"/>
      <c r="K48" s="4"/>
      <c r="L48" s="2"/>
      <c r="M48" s="197"/>
      <c r="N48" s="197"/>
      <c r="O48" s="197"/>
      <c r="P48" s="197"/>
      <c r="Q48" s="197"/>
      <c r="R48" s="197"/>
      <c r="S48" s="197"/>
      <c r="T48" s="197"/>
      <c r="U48" s="197"/>
      <c r="V48" s="279"/>
    </row>
    <row r="49" spans="1:22" s="19" customFormat="1" ht="15" outlineLevel="1">
      <c r="A49" s="4"/>
      <c r="B49" s="20" t="s">
        <v>331</v>
      </c>
      <c r="C49" s="4"/>
      <c r="D49" s="197"/>
      <c r="E49" s="197"/>
      <c r="F49" s="197"/>
      <c r="G49" s="4"/>
      <c r="H49" s="4"/>
      <c r="I49" s="4"/>
      <c r="J49" s="4"/>
      <c r="K49" s="4"/>
      <c r="L49" s="2"/>
      <c r="M49" s="197"/>
      <c r="N49" s="197"/>
      <c r="O49" s="197"/>
      <c r="P49" s="197"/>
      <c r="Q49" s="197"/>
      <c r="R49" s="197"/>
      <c r="S49" s="197"/>
      <c r="T49" s="197"/>
      <c r="U49" s="197"/>
      <c r="V49" s="279"/>
    </row>
    <row r="50" spans="1:22" s="19" customFormat="1" ht="15" outlineLevel="1">
      <c r="A50" s="4"/>
      <c r="B50" s="227" t="s">
        <v>330</v>
      </c>
      <c r="C50" s="4"/>
      <c r="D50" s="325">
        <f>D46</f>
        <v>0</v>
      </c>
      <c r="E50" s="326">
        <f>IFERROR(D50/D29,0)</f>
        <v>0</v>
      </c>
      <c r="F50" s="4"/>
      <c r="G50" s="325">
        <f>G46</f>
        <v>0</v>
      </c>
      <c r="H50" s="326">
        <f>IFERROR(G50/G29,0)</f>
        <v>0</v>
      </c>
      <c r="I50" s="4"/>
      <c r="J50" s="325">
        <f>J46</f>
        <v>0</v>
      </c>
      <c r="K50" s="327">
        <f>IFERROR(J50/J29,0)</f>
        <v>0</v>
      </c>
      <c r="L50" s="2"/>
      <c r="M50" s="197"/>
      <c r="N50" s="197"/>
      <c r="O50" s="197"/>
      <c r="P50" s="197"/>
      <c r="Q50" s="197"/>
      <c r="R50" s="197"/>
      <c r="S50" s="197"/>
      <c r="T50" s="197"/>
      <c r="U50" s="197"/>
      <c r="V50" s="279"/>
    </row>
    <row r="51" spans="1:22" s="19" customFormat="1" ht="15" outlineLevel="1">
      <c r="A51" s="4"/>
      <c r="B51" s="227" t="s">
        <v>306</v>
      </c>
      <c r="C51" s="4"/>
      <c r="D51" s="325">
        <f>D47</f>
        <v>0</v>
      </c>
      <c r="E51" s="326">
        <f>IFERROR(D51/D29,0)</f>
        <v>0</v>
      </c>
      <c r="F51" s="4"/>
      <c r="G51" s="325">
        <f>G47</f>
        <v>0</v>
      </c>
      <c r="H51" s="326">
        <f>IFERROR(G51/G29,0)</f>
        <v>0</v>
      </c>
      <c r="I51" s="4"/>
      <c r="J51" s="325">
        <f>J47</f>
        <v>0</v>
      </c>
      <c r="K51" s="326">
        <f>IFERROR(J51/J29,0)</f>
        <v>0</v>
      </c>
      <c r="L51" s="2"/>
      <c r="M51" s="197"/>
      <c r="N51" s="197"/>
      <c r="O51" s="197"/>
      <c r="P51" s="197"/>
      <c r="Q51" s="197"/>
      <c r="R51" s="197"/>
      <c r="S51" s="197"/>
      <c r="T51" s="197"/>
      <c r="U51" s="197"/>
      <c r="V51" s="80"/>
    </row>
    <row r="52" spans="1:22" s="19" customFormat="1" ht="15" outlineLevel="1">
      <c r="A52" s="4"/>
      <c r="B52" s="4"/>
      <c r="C52" s="4"/>
      <c r="D52" s="4"/>
      <c r="E52" s="4"/>
      <c r="F52" s="4"/>
      <c r="G52" s="4"/>
      <c r="H52" s="4"/>
      <c r="I52" s="4"/>
      <c r="J52" s="4"/>
      <c r="K52" s="4"/>
      <c r="L52" s="2"/>
      <c r="M52" s="197"/>
      <c r="N52" s="197"/>
      <c r="O52" s="197"/>
      <c r="P52" s="197"/>
      <c r="Q52" s="197"/>
      <c r="R52" s="197"/>
      <c r="S52" s="197"/>
      <c r="T52" s="197"/>
      <c r="U52" s="197"/>
      <c r="V52" s="80"/>
    </row>
    <row r="53" spans="1:22" s="19" customFormat="1" ht="15" outlineLevel="1">
      <c r="A53" s="4"/>
      <c r="B53" s="20" t="str">
        <f>CONCATENATE("3. ",+B27," - Pre-Cut Off Date Pension liabilities")</f>
        <v>3. Licensee 2 - Pre-Cut Off Date Pension liabilities</v>
      </c>
      <c r="C53" s="4"/>
      <c r="D53" s="4"/>
      <c r="E53" s="4"/>
      <c r="F53" s="4"/>
      <c r="G53" s="4"/>
      <c r="H53" s="4"/>
      <c r="I53" s="4"/>
      <c r="J53" s="4"/>
      <c r="K53" s="4"/>
      <c r="L53" s="2"/>
      <c r="M53" s="197"/>
      <c r="N53" s="197"/>
      <c r="O53" s="197"/>
      <c r="P53" s="197"/>
      <c r="Q53" s="197"/>
      <c r="R53" s="197"/>
      <c r="S53" s="197"/>
      <c r="T53" s="197"/>
      <c r="U53" s="197"/>
      <c r="V53" s="80"/>
    </row>
    <row r="54" spans="1:22" s="19" customFormat="1" ht="15" outlineLevel="1">
      <c r="A54" s="4"/>
      <c r="B54" s="4"/>
      <c r="C54" s="352" t="s">
        <v>320</v>
      </c>
      <c r="D54" s="353"/>
      <c r="E54" s="354"/>
      <c r="F54" s="221" t="str">
        <f>D8</f>
        <v>31 March 2022</v>
      </c>
      <c r="G54" s="222"/>
      <c r="H54" s="223"/>
      <c r="I54" s="221" t="str">
        <f>D9</f>
        <v>31 March 2025</v>
      </c>
      <c r="J54" s="222"/>
      <c r="K54" s="223"/>
      <c r="L54" s="2"/>
      <c r="M54" s="197"/>
      <c r="N54" s="197"/>
      <c r="O54" s="197"/>
      <c r="P54" s="197"/>
      <c r="Q54" s="197"/>
      <c r="R54" s="197"/>
      <c r="S54" s="197"/>
      <c r="T54" s="197"/>
      <c r="U54" s="197"/>
      <c r="V54" s="65"/>
    </row>
    <row r="55" spans="1:22" s="19" customFormat="1" ht="15" outlineLevel="1">
      <c r="A55" s="4"/>
      <c r="B55" s="4"/>
      <c r="C55" s="224"/>
      <c r="D55" s="220">
        <v>2004</v>
      </c>
      <c r="E55" s="220">
        <f>+D55</f>
        <v>2004</v>
      </c>
      <c r="F55" s="225"/>
      <c r="G55" s="220">
        <v>2022</v>
      </c>
      <c r="H55" s="220">
        <f>+G55</f>
        <v>2022</v>
      </c>
      <c r="I55" s="225"/>
      <c r="J55" s="220">
        <f>+J33</f>
        <v>2025</v>
      </c>
      <c r="K55" s="220">
        <f>+J55</f>
        <v>2025</v>
      </c>
      <c r="L55" s="2"/>
      <c r="M55" s="197"/>
      <c r="N55" s="197"/>
      <c r="O55" s="197"/>
      <c r="P55" s="197"/>
      <c r="Q55" s="197"/>
      <c r="R55" s="197"/>
      <c r="S55" s="197"/>
      <c r="T55" s="197"/>
      <c r="U55" s="197"/>
      <c r="V55" s="65"/>
    </row>
    <row r="56" spans="1:22" s="19" customFormat="1" ht="15" outlineLevel="1">
      <c r="A56" s="4"/>
      <c r="B56" s="4"/>
      <c r="C56" s="4"/>
      <c r="D56" s="220" t="s">
        <v>317</v>
      </c>
      <c r="E56" s="220" t="s">
        <v>318</v>
      </c>
      <c r="F56" s="4"/>
      <c r="G56" s="220" t="s">
        <v>317</v>
      </c>
      <c r="H56" s="220" t="s">
        <v>318</v>
      </c>
      <c r="I56" s="4"/>
      <c r="J56" s="220" t="s">
        <v>317</v>
      </c>
      <c r="K56" s="220" t="s">
        <v>318</v>
      </c>
      <c r="L56" s="2"/>
      <c r="M56" s="197"/>
      <c r="N56" s="197"/>
      <c r="O56" s="197"/>
      <c r="P56" s="197"/>
      <c r="Q56" s="197"/>
      <c r="R56" s="197"/>
      <c r="S56" s="197"/>
      <c r="T56" s="197"/>
      <c r="U56" s="197"/>
      <c r="V56" s="65"/>
    </row>
    <row r="57" spans="1:22" s="19" customFormat="1" ht="15" outlineLevel="1">
      <c r="A57" s="4"/>
      <c r="B57" s="87" t="s">
        <v>321</v>
      </c>
      <c r="C57" s="4"/>
      <c r="D57" s="290"/>
      <c r="E57" s="320">
        <f>IFERROR(D57/D59,0)</f>
        <v>0</v>
      </c>
      <c r="F57" s="4"/>
      <c r="G57" s="291"/>
      <c r="H57" s="322">
        <f>IFERROR(G57/G59,0)</f>
        <v>0</v>
      </c>
      <c r="I57" s="4"/>
      <c r="J57" s="290"/>
      <c r="K57" s="322">
        <f>IFERROR(J57/J59,0)</f>
        <v>0</v>
      </c>
      <c r="L57" s="2"/>
      <c r="M57" s="197"/>
      <c r="N57" s="197"/>
      <c r="O57" s="197"/>
      <c r="P57" s="197"/>
      <c r="Q57" s="197"/>
      <c r="R57" s="197"/>
      <c r="S57" s="197"/>
      <c r="T57" s="197"/>
      <c r="U57" s="197"/>
      <c r="V57" s="65"/>
    </row>
    <row r="58" spans="1:22" s="19" customFormat="1" ht="15" outlineLevel="1">
      <c r="A58" s="4"/>
      <c r="B58" s="87" t="s">
        <v>322</v>
      </c>
      <c r="C58" s="4"/>
      <c r="D58" s="318">
        <f>D27-D57</f>
        <v>0</v>
      </c>
      <c r="E58" s="321">
        <f>IFERROR(D58/D59,0)</f>
        <v>0</v>
      </c>
      <c r="F58" s="64"/>
      <c r="G58" s="318">
        <f>G27-G57</f>
        <v>0</v>
      </c>
      <c r="H58" s="321">
        <f>IFERROR(1-H57,0)</f>
        <v>1</v>
      </c>
      <c r="I58" s="64"/>
      <c r="J58" s="318">
        <f>J27-J57</f>
        <v>0</v>
      </c>
      <c r="K58" s="323">
        <f>IFERROR(1-K57,0)</f>
        <v>1</v>
      </c>
      <c r="L58" s="2"/>
      <c r="M58" s="197"/>
      <c r="N58" s="197"/>
      <c r="O58" s="197"/>
      <c r="P58" s="197"/>
      <c r="Q58" s="197"/>
      <c r="R58" s="197"/>
      <c r="S58" s="197"/>
      <c r="T58" s="197"/>
      <c r="U58" s="197"/>
      <c r="V58" s="65"/>
    </row>
    <row r="59" spans="1:22" s="19" customFormat="1" ht="15" outlineLevel="1">
      <c r="A59" s="4"/>
      <c r="B59" s="27" t="s">
        <v>323</v>
      </c>
      <c r="C59" s="4"/>
      <c r="D59" s="319">
        <f>D57+D58</f>
        <v>0</v>
      </c>
      <c r="E59" s="65"/>
      <c r="F59" s="64"/>
      <c r="G59" s="319">
        <f>G57+G58</f>
        <v>0</v>
      </c>
      <c r="H59" s="66"/>
      <c r="I59" s="67"/>
      <c r="J59" s="319">
        <f>J57+J58</f>
        <v>0</v>
      </c>
      <c r="K59" s="226"/>
      <c r="L59" s="2"/>
      <c r="M59" s="197"/>
      <c r="N59" s="197"/>
      <c r="O59" s="197"/>
      <c r="P59" s="197"/>
      <c r="Q59" s="197"/>
      <c r="R59" s="197"/>
      <c r="S59" s="197"/>
      <c r="T59" s="197"/>
      <c r="U59" s="197"/>
      <c r="V59" s="65"/>
    </row>
    <row r="60" spans="1:22" s="19" customFormat="1" ht="15" outlineLevel="1">
      <c r="A60" s="4"/>
      <c r="B60" s="4"/>
      <c r="C60" s="4"/>
      <c r="D60" s="4"/>
      <c r="E60" s="4"/>
      <c r="F60" s="4"/>
      <c r="G60" s="4"/>
      <c r="H60" s="4"/>
      <c r="I60" s="4"/>
      <c r="J60" s="4"/>
      <c r="K60" s="4"/>
      <c r="L60" s="2"/>
      <c r="M60" s="197"/>
      <c r="N60" s="197"/>
      <c r="O60" s="197"/>
      <c r="P60" s="197"/>
      <c r="Q60" s="197"/>
      <c r="R60" s="197"/>
      <c r="S60" s="197"/>
      <c r="T60" s="197"/>
      <c r="U60" s="197"/>
      <c r="V60" s="65"/>
    </row>
    <row r="61" spans="1:22" s="19" customFormat="1" ht="15" outlineLevel="1">
      <c r="A61" s="4"/>
      <c r="B61" s="20" t="s">
        <v>332</v>
      </c>
      <c r="C61" s="4"/>
      <c r="D61" s="4"/>
      <c r="E61" s="4"/>
      <c r="F61" s="4"/>
      <c r="G61" s="4"/>
      <c r="H61" s="4"/>
      <c r="I61" s="4"/>
      <c r="J61" s="4"/>
      <c r="K61" s="4"/>
      <c r="L61" s="2"/>
      <c r="M61" s="197"/>
      <c r="N61" s="197"/>
      <c r="O61" s="197"/>
      <c r="P61" s="197"/>
      <c r="Q61" s="197"/>
      <c r="R61" s="197"/>
      <c r="S61" s="197"/>
      <c r="T61" s="197"/>
      <c r="U61" s="197"/>
      <c r="V61" s="65"/>
    </row>
    <row r="62" spans="1:22" s="19" customFormat="1" ht="15" outlineLevel="1">
      <c r="A62" s="4"/>
      <c r="B62" s="81" t="str">
        <f>CONCATENATE("Liabilities at ",+'P1.1 PDAM Licensee provided'!D9)</f>
        <v>Liabilities at 31 March 2025</v>
      </c>
      <c r="C62" s="298">
        <v>0</v>
      </c>
      <c r="D62" s="325">
        <f>+D57*C62</f>
        <v>0</v>
      </c>
      <c r="E62" s="317">
        <f>IFERROR(ROUND(D62/$D$44,3),0)</f>
        <v>0</v>
      </c>
      <c r="F62" s="298">
        <v>0</v>
      </c>
      <c r="G62" s="325">
        <f>+G57*F62</f>
        <v>0</v>
      </c>
      <c r="H62" s="317">
        <f>IFERROR(ROUND(+G62/$G$44,3),0)</f>
        <v>0</v>
      </c>
      <c r="I62" s="298">
        <v>0</v>
      </c>
      <c r="J62" s="325">
        <f>+J57*I62</f>
        <v>0</v>
      </c>
      <c r="K62" s="317">
        <f>IFERROR(ROUND(+J62/$J$44,3),0)</f>
        <v>0</v>
      </c>
      <c r="L62" s="2"/>
      <c r="M62" s="197"/>
      <c r="N62" s="197"/>
      <c r="O62" s="197"/>
      <c r="P62" s="197"/>
      <c r="Q62" s="197"/>
      <c r="R62" s="197"/>
      <c r="S62" s="197"/>
      <c r="T62" s="197"/>
      <c r="U62" s="197"/>
      <c r="V62" s="65"/>
    </row>
    <row r="63" spans="1:22" s="19" customFormat="1" ht="15" outlineLevel="1">
      <c r="A63" s="4"/>
      <c r="B63" s="227" t="s">
        <v>326</v>
      </c>
      <c r="C63" s="324">
        <f>+(1-C62)</f>
        <v>1</v>
      </c>
      <c r="D63" s="325">
        <f>+D57-D62</f>
        <v>0</v>
      </c>
      <c r="E63" s="317">
        <f>IFERROR(ROUND(+D63/$D$44,3),0)</f>
        <v>0</v>
      </c>
      <c r="F63" s="321">
        <f>+(1-F62)</f>
        <v>1</v>
      </c>
      <c r="G63" s="325">
        <f>+G57*F63</f>
        <v>0</v>
      </c>
      <c r="H63" s="317">
        <f>IFERROR(ROUND(+G63/$G$44,3),0)</f>
        <v>0</v>
      </c>
      <c r="I63" s="324">
        <f>+(1-I62)</f>
        <v>1</v>
      </c>
      <c r="J63" s="325">
        <f>+J57*I63</f>
        <v>0</v>
      </c>
      <c r="K63" s="317">
        <f>IFERROR(ROUND(+J63/$J$44,3),0)</f>
        <v>0</v>
      </c>
      <c r="L63" s="2"/>
      <c r="M63" s="197"/>
      <c r="N63" s="197"/>
      <c r="O63" s="197"/>
      <c r="P63" s="197"/>
      <c r="Q63" s="197"/>
      <c r="R63" s="197"/>
      <c r="S63" s="197"/>
      <c r="T63" s="197"/>
      <c r="U63" s="197"/>
      <c r="V63" s="65"/>
    </row>
    <row r="64" spans="1:22" s="19" customFormat="1" ht="15" outlineLevel="1">
      <c r="A64" s="4"/>
      <c r="B64" s="227" t="s">
        <v>327</v>
      </c>
      <c r="C64" s="324">
        <f>IFERROR(D64/D58,0)</f>
        <v>0</v>
      </c>
      <c r="D64" s="325">
        <f>D68-D62</f>
        <v>0</v>
      </c>
      <c r="E64" s="317">
        <f>E68-E62</f>
        <v>0.8</v>
      </c>
      <c r="F64" s="4"/>
      <c r="G64" s="325">
        <f>G58*C64</f>
        <v>0</v>
      </c>
      <c r="H64" s="317">
        <f>IFERROR(G64/$G$44,0)</f>
        <v>0</v>
      </c>
      <c r="I64" s="4"/>
      <c r="J64" s="325">
        <f>J58*C64</f>
        <v>0</v>
      </c>
      <c r="K64" s="317">
        <f>IFERROR(J64/$J$44,0)</f>
        <v>0</v>
      </c>
      <c r="L64" s="2"/>
      <c r="M64" s="197"/>
      <c r="N64" s="197"/>
      <c r="O64" s="197"/>
      <c r="P64" s="197"/>
      <c r="Q64" s="197"/>
      <c r="R64" s="197"/>
      <c r="S64" s="197"/>
      <c r="T64" s="197"/>
      <c r="U64" s="197"/>
      <c r="V64" s="65"/>
    </row>
    <row r="65" spans="1:22" s="19" customFormat="1" ht="15" outlineLevel="1">
      <c r="A65" s="4"/>
      <c r="B65" s="227" t="s">
        <v>328</v>
      </c>
      <c r="C65" s="324">
        <f>IFERROR(D65/D58,0)</f>
        <v>0</v>
      </c>
      <c r="D65" s="325">
        <f>D69-D63</f>
        <v>0</v>
      </c>
      <c r="E65" s="317">
        <f>E69-E63</f>
        <v>0.2</v>
      </c>
      <c r="F65" s="4"/>
      <c r="G65" s="325">
        <f>G58*C65</f>
        <v>0</v>
      </c>
      <c r="H65" s="317">
        <f>IFERROR(G65/$G$44,0)</f>
        <v>0</v>
      </c>
      <c r="I65" s="4"/>
      <c r="J65" s="325">
        <f>J58*C65</f>
        <v>0</v>
      </c>
      <c r="K65" s="317">
        <f>IFERROR(J65/$J$44,0)</f>
        <v>0</v>
      </c>
      <c r="L65" s="2"/>
      <c r="M65" s="197"/>
      <c r="N65" s="197"/>
      <c r="O65" s="197"/>
      <c r="P65" s="197"/>
      <c r="Q65" s="197"/>
      <c r="R65" s="197"/>
      <c r="S65" s="197"/>
      <c r="T65" s="197"/>
      <c r="U65" s="197"/>
      <c r="V65" s="65"/>
    </row>
    <row r="66" spans="1:22" s="19" customFormat="1" ht="15" outlineLevel="1">
      <c r="A66" s="4"/>
      <c r="B66" s="4"/>
      <c r="C66" s="4"/>
      <c r="D66" s="325">
        <f>SUM(D62:D65)</f>
        <v>0</v>
      </c>
      <c r="E66" s="326">
        <f>SUM(E62:E65)</f>
        <v>1</v>
      </c>
      <c r="F66" s="4"/>
      <c r="G66" s="325">
        <f>SUM(G62:G65)</f>
        <v>0</v>
      </c>
      <c r="H66" s="326">
        <f>SUM(H62:H65)</f>
        <v>0</v>
      </c>
      <c r="I66" s="4"/>
      <c r="J66" s="325">
        <f>SUM(J62:J65)</f>
        <v>0</v>
      </c>
      <c r="K66" s="326">
        <f>SUM(K62:K65)</f>
        <v>0</v>
      </c>
      <c r="L66" s="2"/>
      <c r="M66" s="197"/>
      <c r="N66" s="197"/>
      <c r="O66" s="197"/>
      <c r="P66" s="197"/>
      <c r="Q66" s="197"/>
      <c r="R66" s="197"/>
      <c r="S66" s="197"/>
      <c r="T66" s="197"/>
      <c r="U66" s="197"/>
      <c r="V66" s="65"/>
    </row>
    <row r="67" spans="1:22" s="19" customFormat="1" ht="15" outlineLevel="1">
      <c r="A67" s="4"/>
      <c r="B67" s="20" t="s">
        <v>329</v>
      </c>
      <c r="C67" s="4"/>
      <c r="D67" s="197"/>
      <c r="E67" s="197"/>
      <c r="F67" s="197"/>
      <c r="G67" s="4"/>
      <c r="H67" s="4"/>
      <c r="I67" s="4"/>
      <c r="J67" s="4"/>
      <c r="K67" s="4"/>
      <c r="L67" s="2"/>
      <c r="M67" s="197"/>
      <c r="N67" s="197"/>
      <c r="O67" s="197"/>
      <c r="P67" s="197"/>
      <c r="Q67" s="197"/>
      <c r="R67" s="197"/>
      <c r="S67" s="197"/>
      <c r="T67" s="197"/>
      <c r="U67" s="197"/>
      <c r="V67" s="65"/>
    </row>
    <row r="68" spans="1:22" s="19" customFormat="1" ht="15" outlineLevel="1">
      <c r="A68" s="4"/>
      <c r="B68" s="227" t="s">
        <v>330</v>
      </c>
      <c r="C68" s="4"/>
      <c r="D68" s="325">
        <f>E68*D59</f>
        <v>0</v>
      </c>
      <c r="E68" s="298">
        <v>0.8</v>
      </c>
      <c r="F68" s="4"/>
      <c r="G68" s="325">
        <f>+G62+G64</f>
        <v>0</v>
      </c>
      <c r="H68" s="326">
        <f>+H62+H64</f>
        <v>0</v>
      </c>
      <c r="I68" s="4"/>
      <c r="J68" s="325">
        <f>+J62+J64</f>
        <v>0</v>
      </c>
      <c r="K68" s="326">
        <f>+K62+K64</f>
        <v>0</v>
      </c>
      <c r="L68" s="2"/>
      <c r="M68" s="197"/>
      <c r="N68" s="197"/>
      <c r="O68" s="197"/>
      <c r="P68" s="197"/>
      <c r="Q68" s="197"/>
      <c r="R68" s="197"/>
      <c r="S68" s="197"/>
      <c r="T68" s="197"/>
      <c r="U68" s="197"/>
      <c r="V68" s="65"/>
    </row>
    <row r="69" spans="1:22" s="19" customFormat="1" ht="15" outlineLevel="1">
      <c r="A69" s="4"/>
      <c r="B69" s="227" t="s">
        <v>306</v>
      </c>
      <c r="C69" s="4"/>
      <c r="D69" s="325">
        <f>E69*D59</f>
        <v>0</v>
      </c>
      <c r="E69" s="298">
        <v>0.2</v>
      </c>
      <c r="F69" s="4"/>
      <c r="G69" s="325">
        <f>+G63+G65</f>
        <v>0</v>
      </c>
      <c r="H69" s="326">
        <f>1-H68</f>
        <v>1</v>
      </c>
      <c r="I69" s="4"/>
      <c r="J69" s="325">
        <f>+J63+J65</f>
        <v>0</v>
      </c>
      <c r="K69" s="326">
        <f>1-K68</f>
        <v>1</v>
      </c>
      <c r="L69" s="2"/>
      <c r="M69" s="197"/>
      <c r="N69" s="197"/>
      <c r="O69" s="197"/>
      <c r="P69" s="197"/>
      <c r="Q69" s="197"/>
      <c r="R69" s="197"/>
      <c r="S69" s="197"/>
      <c r="T69" s="197"/>
      <c r="U69" s="197"/>
      <c r="V69" s="65"/>
    </row>
    <row r="70" spans="1:22" s="19" customFormat="1" ht="15" outlineLevel="1">
      <c r="A70" s="4"/>
      <c r="B70" s="4"/>
      <c r="C70" s="4"/>
      <c r="D70" s="4"/>
      <c r="E70" s="4"/>
      <c r="F70" s="4"/>
      <c r="G70" s="4"/>
      <c r="H70" s="4"/>
      <c r="I70" s="4"/>
      <c r="J70" s="4"/>
      <c r="K70" s="4"/>
      <c r="L70" s="2"/>
      <c r="M70" s="197"/>
      <c r="N70" s="197"/>
      <c r="O70" s="197"/>
      <c r="P70" s="197"/>
      <c r="Q70" s="197"/>
      <c r="R70" s="197"/>
      <c r="S70" s="197"/>
      <c r="T70" s="197"/>
      <c r="U70" s="197"/>
      <c r="V70" s="65"/>
    </row>
    <row r="71" spans="1:22" s="19" customFormat="1" ht="15" outlineLevel="1">
      <c r="A71" s="4"/>
      <c r="B71" s="20" t="s">
        <v>331</v>
      </c>
      <c r="C71" s="4"/>
      <c r="D71" s="4"/>
      <c r="E71" s="4"/>
      <c r="F71" s="4"/>
      <c r="G71" s="4"/>
      <c r="H71" s="4"/>
      <c r="I71" s="4"/>
      <c r="J71" s="4"/>
      <c r="K71" s="4"/>
      <c r="L71" s="2"/>
      <c r="M71" s="197"/>
      <c r="N71" s="197"/>
      <c r="O71" s="197"/>
      <c r="P71" s="197"/>
      <c r="Q71" s="197"/>
      <c r="R71" s="197"/>
      <c r="S71" s="197"/>
      <c r="T71" s="197"/>
      <c r="U71" s="197"/>
      <c r="V71" s="65"/>
    </row>
    <row r="72" spans="1:22" s="19" customFormat="1" ht="15" outlineLevel="1">
      <c r="A72" s="4"/>
      <c r="B72" s="227" t="s">
        <v>330</v>
      </c>
      <c r="C72" s="4"/>
      <c r="D72" s="325">
        <f>D68</f>
        <v>0</v>
      </c>
      <c r="E72" s="326">
        <f>IFERROR(D72/D29,0)</f>
        <v>0</v>
      </c>
      <c r="F72" s="4"/>
      <c r="G72" s="325">
        <f>G68</f>
        <v>0</v>
      </c>
      <c r="H72" s="326">
        <f>IFERROR(G72/G29,0)</f>
        <v>0</v>
      </c>
      <c r="I72" s="4"/>
      <c r="J72" s="325">
        <f>J68</f>
        <v>0</v>
      </c>
      <c r="K72" s="326">
        <f>IFERROR(J72/J29,0)</f>
        <v>0</v>
      </c>
      <c r="L72" s="2"/>
      <c r="M72" s="197"/>
      <c r="N72" s="197"/>
      <c r="O72" s="197"/>
      <c r="P72" s="197"/>
      <c r="Q72" s="197"/>
      <c r="R72" s="197"/>
      <c r="S72" s="197"/>
      <c r="T72" s="197"/>
      <c r="U72" s="197"/>
      <c r="V72" s="65"/>
    </row>
    <row r="73" spans="1:22" s="19" customFormat="1" ht="15" outlineLevel="1">
      <c r="A73" s="4"/>
      <c r="B73" s="227" t="s">
        <v>306</v>
      </c>
      <c r="C73" s="4"/>
      <c r="D73" s="325">
        <f>D69</f>
        <v>0</v>
      </c>
      <c r="E73" s="326">
        <f>IFERROR(D73/D29,0)</f>
        <v>0</v>
      </c>
      <c r="F73" s="4"/>
      <c r="G73" s="325">
        <f>G69</f>
        <v>0</v>
      </c>
      <c r="H73" s="326">
        <f>IFERROR(G73/G29,0)</f>
        <v>0</v>
      </c>
      <c r="I73" s="4"/>
      <c r="J73" s="325">
        <f>J69</f>
        <v>0</v>
      </c>
      <c r="K73" s="326">
        <f>IFERROR(J73/J29,0)</f>
        <v>0</v>
      </c>
      <c r="L73" s="2"/>
      <c r="M73" s="197"/>
      <c r="N73" s="197"/>
      <c r="O73" s="197"/>
      <c r="P73" s="197"/>
      <c r="Q73" s="197"/>
      <c r="R73" s="197"/>
      <c r="S73" s="197"/>
      <c r="T73" s="197"/>
      <c r="U73" s="197"/>
      <c r="V73" s="65"/>
    </row>
    <row r="74" spans="1:22" s="19" customFormat="1" ht="15" outlineLevel="1">
      <c r="A74" s="4"/>
      <c r="B74" s="4"/>
      <c r="C74" s="4"/>
      <c r="D74" s="4"/>
      <c r="E74" s="4"/>
      <c r="F74" s="4"/>
      <c r="G74" s="4"/>
      <c r="H74" s="4"/>
      <c r="I74" s="4"/>
      <c r="J74" s="4"/>
      <c r="K74" s="4"/>
      <c r="L74" s="2"/>
      <c r="M74" s="197"/>
      <c r="N74" s="197"/>
      <c r="O74" s="197"/>
      <c r="P74" s="197"/>
      <c r="Q74" s="197"/>
      <c r="R74" s="197"/>
      <c r="S74" s="197"/>
      <c r="T74" s="197"/>
      <c r="U74" s="197"/>
      <c r="V74" s="65"/>
    </row>
    <row r="75" spans="1:22" s="19" customFormat="1" ht="15" outlineLevel="1">
      <c r="A75" s="4"/>
      <c r="B75" s="20" t="str">
        <f>CONCATENATE("4. ",B28," - Pre-Cut Off Date Pension liabilities")</f>
        <v>4. Licensee 3 - Pre-Cut Off Date Pension liabilities</v>
      </c>
      <c r="C75" s="4"/>
      <c r="D75" s="4"/>
      <c r="E75" s="4"/>
      <c r="F75" s="4"/>
      <c r="G75" s="4"/>
      <c r="H75" s="4"/>
      <c r="I75" s="4"/>
      <c r="J75" s="4"/>
      <c r="K75" s="4"/>
      <c r="L75" s="2"/>
      <c r="M75" s="197"/>
      <c r="N75" s="197"/>
      <c r="O75" s="197"/>
      <c r="P75" s="197"/>
      <c r="Q75" s="197"/>
      <c r="R75" s="197"/>
      <c r="S75" s="197"/>
      <c r="T75" s="197"/>
      <c r="U75" s="197"/>
      <c r="V75" s="65"/>
    </row>
    <row r="76" spans="1:22" s="19" customFormat="1" ht="15" outlineLevel="1">
      <c r="A76" s="4"/>
      <c r="B76" s="4"/>
      <c r="C76" s="352" t="s">
        <v>320</v>
      </c>
      <c r="D76" s="353"/>
      <c r="E76" s="354"/>
      <c r="F76" s="221" t="str">
        <f>D8</f>
        <v>31 March 2022</v>
      </c>
      <c r="G76" s="222"/>
      <c r="H76" s="223"/>
      <c r="I76" s="221" t="str">
        <f>D9</f>
        <v>31 March 2025</v>
      </c>
      <c r="J76" s="222"/>
      <c r="K76" s="223"/>
      <c r="L76" s="2"/>
      <c r="M76" s="197"/>
      <c r="N76" s="197"/>
      <c r="O76" s="197"/>
      <c r="P76" s="197"/>
      <c r="Q76" s="197"/>
      <c r="R76" s="197"/>
      <c r="S76" s="197"/>
      <c r="T76" s="197"/>
      <c r="U76" s="197"/>
      <c r="V76" s="65"/>
    </row>
    <row r="77" spans="1:22" s="19" customFormat="1" ht="15" outlineLevel="1">
      <c r="A77" s="4"/>
      <c r="B77" s="4"/>
      <c r="C77" s="224"/>
      <c r="D77" s="220">
        <v>2004</v>
      </c>
      <c r="E77" s="220">
        <f>+D77</f>
        <v>2004</v>
      </c>
      <c r="F77" s="225"/>
      <c r="G77" s="220">
        <v>2022</v>
      </c>
      <c r="H77" s="220">
        <f>+G77</f>
        <v>2022</v>
      </c>
      <c r="I77" s="225"/>
      <c r="J77" s="220">
        <f>+J33</f>
        <v>2025</v>
      </c>
      <c r="K77" s="220">
        <f>+J77</f>
        <v>2025</v>
      </c>
      <c r="L77" s="2"/>
      <c r="M77" s="197"/>
      <c r="N77" s="197"/>
      <c r="O77" s="197"/>
      <c r="P77" s="197"/>
      <c r="Q77" s="197"/>
      <c r="R77" s="197"/>
      <c r="S77" s="197"/>
      <c r="T77" s="197"/>
      <c r="U77" s="197"/>
      <c r="V77" s="65"/>
    </row>
    <row r="78" spans="1:22" s="19" customFormat="1" ht="15" outlineLevel="1">
      <c r="A78" s="4"/>
      <c r="B78" s="4"/>
      <c r="C78" s="4"/>
      <c r="D78" s="220" t="s">
        <v>317</v>
      </c>
      <c r="E78" s="220" t="s">
        <v>318</v>
      </c>
      <c r="F78" s="4"/>
      <c r="G78" s="220" t="s">
        <v>317</v>
      </c>
      <c r="H78" s="220" t="s">
        <v>318</v>
      </c>
      <c r="I78" s="4"/>
      <c r="J78" s="220" t="s">
        <v>317</v>
      </c>
      <c r="K78" s="220" t="s">
        <v>318</v>
      </c>
      <c r="L78" s="2"/>
      <c r="M78" s="197"/>
      <c r="N78" s="197"/>
      <c r="O78" s="197"/>
      <c r="P78" s="197"/>
      <c r="Q78" s="197"/>
      <c r="R78" s="197"/>
      <c r="S78" s="197"/>
      <c r="T78" s="197"/>
      <c r="U78" s="197"/>
      <c r="V78" s="65"/>
    </row>
    <row r="79" spans="1:22" s="19" customFormat="1" ht="15" outlineLevel="1">
      <c r="A79" s="4"/>
      <c r="B79" s="87" t="s">
        <v>321</v>
      </c>
      <c r="C79" s="4"/>
      <c r="D79" s="291">
        <v>0</v>
      </c>
      <c r="E79" s="294">
        <f>IFERROR(D79/D81,0)</f>
        <v>0</v>
      </c>
      <c r="F79" s="4"/>
      <c r="G79" s="291">
        <v>0</v>
      </c>
      <c r="H79" s="296">
        <f>IFERROR(G79/G81,0)</f>
        <v>0</v>
      </c>
      <c r="I79" s="4"/>
      <c r="J79" s="291">
        <v>0</v>
      </c>
      <c r="K79" s="296">
        <f>IFERROR(J79/J81,0)</f>
        <v>0</v>
      </c>
      <c r="L79" s="2"/>
      <c r="M79" s="197"/>
      <c r="N79" s="197"/>
      <c r="O79" s="197"/>
      <c r="P79" s="197"/>
      <c r="Q79" s="197"/>
      <c r="R79" s="197"/>
      <c r="S79" s="197"/>
      <c r="T79" s="197"/>
      <c r="U79" s="197"/>
      <c r="V79" s="65"/>
    </row>
    <row r="80" spans="1:22" s="19" customFormat="1" ht="15" outlineLevel="1">
      <c r="A80" s="4"/>
      <c r="B80" s="87" t="s">
        <v>322</v>
      </c>
      <c r="C80" s="4"/>
      <c r="D80" s="292">
        <f>D28-D79</f>
        <v>0</v>
      </c>
      <c r="E80" s="295">
        <f>IFERROR(D80/D81,0)</f>
        <v>0</v>
      </c>
      <c r="F80" s="64"/>
      <c r="G80" s="292">
        <f>G28-G79</f>
        <v>0</v>
      </c>
      <c r="H80" s="295">
        <f>IFERROR(1-H79,0)</f>
        <v>1</v>
      </c>
      <c r="I80" s="64"/>
      <c r="J80" s="292">
        <f>J28-J79</f>
        <v>0</v>
      </c>
      <c r="K80" s="297">
        <f>IFERROR(1-K79,0)</f>
        <v>1</v>
      </c>
      <c r="L80" s="2"/>
      <c r="M80" s="197"/>
      <c r="N80" s="197"/>
      <c r="O80" s="197"/>
      <c r="P80" s="197"/>
      <c r="Q80" s="197"/>
      <c r="R80" s="197"/>
      <c r="S80" s="197"/>
      <c r="T80" s="197"/>
      <c r="U80" s="197"/>
      <c r="V80" s="65"/>
    </row>
    <row r="81" spans="1:22" s="19" customFormat="1" ht="15" outlineLevel="1">
      <c r="A81" s="4"/>
      <c r="B81" s="27" t="s">
        <v>323</v>
      </c>
      <c r="C81" s="4"/>
      <c r="D81" s="293">
        <f>D79+D80</f>
        <v>0</v>
      </c>
      <c r="E81" s="65"/>
      <c r="F81" s="64"/>
      <c r="G81" s="293">
        <f>G79+G80</f>
        <v>0</v>
      </c>
      <c r="H81" s="66"/>
      <c r="I81" s="67"/>
      <c r="J81" s="293">
        <f>J79+J80</f>
        <v>0</v>
      </c>
      <c r="K81" s="226"/>
      <c r="L81" s="2"/>
      <c r="M81" s="197"/>
      <c r="N81" s="197"/>
      <c r="O81" s="197"/>
      <c r="P81" s="197"/>
      <c r="Q81" s="197"/>
      <c r="R81" s="197"/>
      <c r="S81" s="197"/>
      <c r="T81" s="197"/>
      <c r="U81" s="197"/>
      <c r="V81" s="65"/>
    </row>
    <row r="82" spans="1:22" s="19" customFormat="1" ht="15" outlineLevel="1">
      <c r="A82" s="4"/>
      <c r="B82" s="4"/>
      <c r="C82" s="4"/>
      <c r="D82" s="4"/>
      <c r="E82" s="4"/>
      <c r="F82" s="4"/>
      <c r="G82" s="4"/>
      <c r="H82" s="4"/>
      <c r="I82" s="4"/>
      <c r="J82" s="4"/>
      <c r="K82" s="4"/>
      <c r="L82" s="2"/>
      <c r="M82" s="197"/>
      <c r="N82" s="197"/>
      <c r="O82" s="197"/>
      <c r="P82" s="197"/>
      <c r="Q82" s="197"/>
      <c r="R82" s="197"/>
      <c r="S82" s="197"/>
      <c r="T82" s="197"/>
      <c r="U82" s="197"/>
      <c r="V82" s="65"/>
    </row>
    <row r="83" spans="1:22" s="19" customFormat="1" ht="15" outlineLevel="1">
      <c r="A83" s="4"/>
      <c r="B83" s="20" t="s">
        <v>332</v>
      </c>
      <c r="C83" s="4"/>
      <c r="D83" s="4"/>
      <c r="E83" s="4"/>
      <c r="F83" s="4"/>
      <c r="G83" s="4"/>
      <c r="H83" s="4"/>
      <c r="I83" s="4"/>
      <c r="J83" s="4"/>
      <c r="K83" s="4"/>
      <c r="L83" s="2"/>
      <c r="M83" s="197"/>
      <c r="N83" s="197"/>
      <c r="O83" s="197"/>
      <c r="P83" s="197"/>
      <c r="Q83" s="197"/>
      <c r="R83" s="197"/>
      <c r="S83" s="197"/>
      <c r="T83" s="197"/>
      <c r="U83" s="197"/>
      <c r="V83" s="65"/>
    </row>
    <row r="84" spans="1:22" s="19" customFormat="1" ht="15" outlineLevel="1">
      <c r="A84" s="4"/>
      <c r="B84" s="227" t="s">
        <v>325</v>
      </c>
      <c r="C84" s="298">
        <v>0</v>
      </c>
      <c r="D84" s="325">
        <f>+D79*C84</f>
        <v>0</v>
      </c>
      <c r="E84" s="317">
        <f>IFERROR(ROUND(D84/$D$44,3),0)</f>
        <v>0</v>
      </c>
      <c r="F84" s="298">
        <v>0</v>
      </c>
      <c r="G84" s="325">
        <f>+G79*F84</f>
        <v>0</v>
      </c>
      <c r="H84" s="317">
        <f>IFERROR(ROUND(+G84/$G$44,3),0)</f>
        <v>0</v>
      </c>
      <c r="I84" s="298">
        <v>0</v>
      </c>
      <c r="J84" s="325">
        <f>+J79*I84</f>
        <v>0</v>
      </c>
      <c r="K84" s="317">
        <f>IFERROR(ROUND(J84/$J$44,3),0)</f>
        <v>0</v>
      </c>
      <c r="L84" s="2"/>
      <c r="M84" s="197"/>
      <c r="N84" s="197"/>
      <c r="O84" s="197"/>
      <c r="P84" s="197"/>
      <c r="Q84" s="197"/>
      <c r="R84" s="197"/>
      <c r="S84" s="197"/>
      <c r="T84" s="197"/>
      <c r="U84" s="197"/>
      <c r="V84" s="65"/>
    </row>
    <row r="85" spans="1:22" s="19" customFormat="1" ht="15" outlineLevel="1">
      <c r="A85" s="4"/>
      <c r="B85" s="227" t="s">
        <v>326</v>
      </c>
      <c r="C85" s="324">
        <f>+(1-C84)</f>
        <v>1</v>
      </c>
      <c r="D85" s="325">
        <f>+D79-D84</f>
        <v>0</v>
      </c>
      <c r="E85" s="317">
        <f>IFERROR(ROUND(+D85/$D$44,3),0)</f>
        <v>0</v>
      </c>
      <c r="F85" s="321">
        <f>+(1-F84)</f>
        <v>1</v>
      </c>
      <c r="G85" s="325">
        <f>+G79*F85</f>
        <v>0</v>
      </c>
      <c r="H85" s="317">
        <f>IFERROR(ROUND(+G85/$G$44,3),0)</f>
        <v>0</v>
      </c>
      <c r="I85" s="324">
        <f>+(1-I84)</f>
        <v>1</v>
      </c>
      <c r="J85" s="325">
        <f>+J79*I85</f>
        <v>0</v>
      </c>
      <c r="K85" s="317">
        <f>IFERROR(ROUND(J85/$J$44,3),0)</f>
        <v>0</v>
      </c>
      <c r="L85" s="2"/>
      <c r="M85" s="197"/>
      <c r="N85" s="197"/>
      <c r="O85" s="197"/>
      <c r="P85" s="197"/>
      <c r="Q85" s="197"/>
      <c r="R85" s="197"/>
      <c r="S85" s="197"/>
      <c r="T85" s="197"/>
      <c r="U85" s="197"/>
      <c r="V85" s="65"/>
    </row>
    <row r="86" spans="1:22" s="19" customFormat="1" ht="15" outlineLevel="1">
      <c r="A86" s="4"/>
      <c r="B86" s="227" t="s">
        <v>327</v>
      </c>
      <c r="C86" s="324">
        <f>IFERROR(D86/D80,0)</f>
        <v>0</v>
      </c>
      <c r="D86" s="325">
        <f>D90-D84</f>
        <v>0</v>
      </c>
      <c r="E86" s="317">
        <f>E90-E84</f>
        <v>0.8</v>
      </c>
      <c r="F86" s="4"/>
      <c r="G86" s="325">
        <f>G80*C86</f>
        <v>0</v>
      </c>
      <c r="H86" s="317">
        <f>IFERROR(G86/$G$44,0)</f>
        <v>0</v>
      </c>
      <c r="I86" s="4"/>
      <c r="J86" s="325">
        <f>J80*C86</f>
        <v>0</v>
      </c>
      <c r="K86" s="317">
        <f>IFERROR(J86/$J$44,0)</f>
        <v>0</v>
      </c>
      <c r="L86" s="2"/>
      <c r="M86" s="197"/>
      <c r="N86" s="197"/>
      <c r="O86" s="197"/>
      <c r="P86" s="197"/>
      <c r="Q86" s="197"/>
      <c r="R86" s="197"/>
      <c r="S86" s="197"/>
      <c r="T86" s="197"/>
      <c r="U86" s="197"/>
      <c r="V86" s="65"/>
    </row>
    <row r="87" spans="1:22" s="19" customFormat="1" ht="15" outlineLevel="1">
      <c r="A87" s="4"/>
      <c r="B87" s="227" t="s">
        <v>328</v>
      </c>
      <c r="C87" s="324">
        <f>IFERROR(D87/D80,0)</f>
        <v>0</v>
      </c>
      <c r="D87" s="325">
        <f>D91-D85</f>
        <v>0</v>
      </c>
      <c r="E87" s="317">
        <f>E91-E85</f>
        <v>0.2</v>
      </c>
      <c r="F87" s="4"/>
      <c r="G87" s="325">
        <f>G80*C87</f>
        <v>0</v>
      </c>
      <c r="H87" s="317">
        <f>IFERROR(G87/$G$44,0)</f>
        <v>0</v>
      </c>
      <c r="I87" s="4"/>
      <c r="J87" s="325">
        <f>J80*C87</f>
        <v>0</v>
      </c>
      <c r="K87" s="317">
        <f>IFERROR(J87/$J$44,0)</f>
        <v>0</v>
      </c>
      <c r="L87" s="2"/>
      <c r="M87" s="197"/>
      <c r="N87" s="197"/>
      <c r="O87" s="197"/>
      <c r="P87" s="197"/>
      <c r="Q87" s="197"/>
      <c r="R87" s="197"/>
      <c r="S87" s="197"/>
      <c r="T87" s="197"/>
      <c r="U87" s="197"/>
      <c r="V87" s="65"/>
    </row>
    <row r="88" spans="1:22" s="19" customFormat="1" ht="15" outlineLevel="1">
      <c r="A88" s="4"/>
      <c r="B88" s="4"/>
      <c r="C88" s="4"/>
      <c r="D88" s="325">
        <f>SUM(D84:D87)</f>
        <v>0</v>
      </c>
      <c r="E88" s="326">
        <f>SUM(E84:E87)</f>
        <v>1</v>
      </c>
      <c r="F88" s="4"/>
      <c r="G88" s="325">
        <f>SUM(G84:G87)</f>
        <v>0</v>
      </c>
      <c r="H88" s="326">
        <f>SUM(H84:H87)</f>
        <v>0</v>
      </c>
      <c r="I88" s="4"/>
      <c r="J88" s="325">
        <f>SUM(J84:J87)</f>
        <v>0</v>
      </c>
      <c r="K88" s="326">
        <f>SUM(K84:K87)</f>
        <v>0</v>
      </c>
      <c r="L88" s="2"/>
      <c r="M88" s="197"/>
      <c r="N88" s="197"/>
      <c r="O88" s="197"/>
      <c r="P88" s="197"/>
      <c r="Q88" s="197"/>
      <c r="R88" s="197"/>
      <c r="S88" s="197"/>
      <c r="T88" s="197"/>
      <c r="U88" s="197"/>
      <c r="V88" s="65"/>
    </row>
    <row r="89" spans="1:22" s="19" customFormat="1" ht="15" outlineLevel="1">
      <c r="A89" s="4"/>
      <c r="B89" s="20" t="s">
        <v>329</v>
      </c>
      <c r="C89" s="4"/>
      <c r="D89" s="197"/>
      <c r="E89" s="197"/>
      <c r="F89" s="197"/>
      <c r="G89" s="4"/>
      <c r="H89" s="4"/>
      <c r="I89" s="4"/>
      <c r="J89" s="4"/>
      <c r="K89" s="4"/>
      <c r="L89" s="2"/>
      <c r="M89" s="197"/>
      <c r="N89" s="197"/>
      <c r="O89" s="197"/>
      <c r="P89" s="197"/>
      <c r="Q89" s="197"/>
      <c r="R89" s="197"/>
      <c r="S89" s="197"/>
      <c r="T89" s="197"/>
      <c r="U89" s="197"/>
      <c r="V89" s="65"/>
    </row>
    <row r="90" spans="1:22" s="19" customFormat="1" ht="15" outlineLevel="1">
      <c r="A90" s="4"/>
      <c r="B90" s="227" t="s">
        <v>330</v>
      </c>
      <c r="C90" s="4"/>
      <c r="D90" s="325">
        <f>E90*D81</f>
        <v>0</v>
      </c>
      <c r="E90" s="298">
        <v>0.8</v>
      </c>
      <c r="F90" s="4"/>
      <c r="G90" s="325">
        <f>+G84+G86</f>
        <v>0</v>
      </c>
      <c r="H90" s="326">
        <f>+H84+H86</f>
        <v>0</v>
      </c>
      <c r="I90" s="4"/>
      <c r="J90" s="325">
        <f>+J84+J86</f>
        <v>0</v>
      </c>
      <c r="K90" s="326">
        <f>+K84+K86</f>
        <v>0</v>
      </c>
      <c r="L90" s="2"/>
      <c r="M90" s="197"/>
      <c r="N90" s="197"/>
      <c r="O90" s="197"/>
      <c r="P90" s="197"/>
      <c r="Q90" s="197"/>
      <c r="R90" s="197"/>
      <c r="S90" s="197"/>
      <c r="T90" s="197"/>
      <c r="U90" s="197"/>
      <c r="V90" s="65"/>
    </row>
    <row r="91" spans="1:22" s="19" customFormat="1" ht="15" outlineLevel="1">
      <c r="A91" s="4"/>
      <c r="B91" s="227" t="s">
        <v>306</v>
      </c>
      <c r="C91" s="4"/>
      <c r="D91" s="325">
        <f>E91*D81</f>
        <v>0</v>
      </c>
      <c r="E91" s="298">
        <v>0.2</v>
      </c>
      <c r="F91" s="4"/>
      <c r="G91" s="325">
        <f>+G85+G87</f>
        <v>0</v>
      </c>
      <c r="H91" s="326">
        <f>1-H90</f>
        <v>1</v>
      </c>
      <c r="I91" s="4"/>
      <c r="J91" s="325">
        <f>+J85+J87</f>
        <v>0</v>
      </c>
      <c r="K91" s="326">
        <f>1-K90</f>
        <v>1</v>
      </c>
      <c r="L91" s="2"/>
      <c r="M91" s="197"/>
      <c r="N91" s="197"/>
      <c r="O91" s="197"/>
      <c r="P91" s="197"/>
      <c r="Q91" s="197"/>
      <c r="R91" s="197"/>
      <c r="S91" s="197"/>
      <c r="T91" s="197"/>
      <c r="U91" s="197"/>
      <c r="V91" s="65"/>
    </row>
    <row r="92" spans="1:22" s="19" customFormat="1" ht="15" outlineLevel="1">
      <c r="A92" s="4"/>
      <c r="B92" s="4"/>
      <c r="C92" s="4"/>
      <c r="D92" s="197"/>
      <c r="E92" s="4"/>
      <c r="F92" s="4"/>
      <c r="G92" s="4"/>
      <c r="H92" s="4"/>
      <c r="I92" s="4"/>
      <c r="J92" s="4"/>
      <c r="K92" s="4"/>
      <c r="L92" s="2"/>
      <c r="M92" s="197"/>
      <c r="N92" s="197"/>
      <c r="O92" s="197"/>
      <c r="P92" s="197"/>
      <c r="Q92" s="197"/>
      <c r="R92" s="197"/>
      <c r="S92" s="197"/>
      <c r="T92" s="197"/>
      <c r="U92" s="197"/>
      <c r="V92" s="65"/>
    </row>
    <row r="93" spans="1:22" s="19" customFormat="1" ht="15" outlineLevel="1">
      <c r="A93" s="4"/>
      <c r="B93" s="20" t="s">
        <v>331</v>
      </c>
      <c r="C93" s="4"/>
      <c r="D93" s="4"/>
      <c r="E93" s="4"/>
      <c r="F93" s="4"/>
      <c r="G93" s="4"/>
      <c r="H93" s="4"/>
      <c r="I93" s="4"/>
      <c r="J93" s="4"/>
      <c r="K93" s="4"/>
      <c r="L93" s="2"/>
      <c r="M93" s="197"/>
      <c r="N93" s="197"/>
      <c r="O93" s="197"/>
      <c r="P93" s="197"/>
      <c r="Q93" s="197"/>
      <c r="R93" s="197"/>
      <c r="S93" s="197"/>
      <c r="T93" s="197"/>
      <c r="U93" s="197"/>
      <c r="V93" s="65"/>
    </row>
    <row r="94" spans="1:22" s="19" customFormat="1" ht="15" outlineLevel="1">
      <c r="A94" s="4"/>
      <c r="B94" s="227" t="s">
        <v>330</v>
      </c>
      <c r="C94" s="4"/>
      <c r="D94" s="325">
        <f>D90</f>
        <v>0</v>
      </c>
      <c r="E94" s="326">
        <f>IFERROR(D94/D29,0)</f>
        <v>0</v>
      </c>
      <c r="F94" s="4"/>
      <c r="G94" s="325">
        <f>G90</f>
        <v>0</v>
      </c>
      <c r="H94" s="326">
        <f>IFERROR(G94/G29,0)</f>
        <v>0</v>
      </c>
      <c r="I94" s="4"/>
      <c r="J94" s="325">
        <f>J90</f>
        <v>0</v>
      </c>
      <c r="K94" s="326">
        <f>IFERROR(J94/J29,0)</f>
        <v>0</v>
      </c>
      <c r="L94" s="2"/>
      <c r="M94" s="197"/>
      <c r="N94" s="197"/>
      <c r="O94" s="197"/>
      <c r="P94" s="197"/>
      <c r="Q94" s="197"/>
      <c r="R94" s="197"/>
      <c r="S94" s="197"/>
      <c r="T94" s="197"/>
      <c r="U94" s="197"/>
      <c r="V94" s="65"/>
    </row>
    <row r="95" spans="1:22" s="19" customFormat="1" ht="15" outlineLevel="1">
      <c r="A95" s="4"/>
      <c r="B95" s="227" t="s">
        <v>306</v>
      </c>
      <c r="C95" s="4"/>
      <c r="D95" s="325">
        <f>D91</f>
        <v>0</v>
      </c>
      <c r="E95" s="326">
        <f>IFERROR(D95/D29,0)</f>
        <v>0</v>
      </c>
      <c r="F95" s="4"/>
      <c r="G95" s="325">
        <f>G91</f>
        <v>0</v>
      </c>
      <c r="H95" s="326">
        <f>IFERROR(G95/G29,0)</f>
        <v>0</v>
      </c>
      <c r="I95" s="4"/>
      <c r="J95" s="325">
        <f>J91</f>
        <v>0</v>
      </c>
      <c r="K95" s="326">
        <f>IFERROR(J95/J29,0)</f>
        <v>0</v>
      </c>
      <c r="L95" s="2"/>
      <c r="M95" s="197"/>
      <c r="N95" s="197"/>
      <c r="O95" s="197"/>
      <c r="P95" s="197"/>
      <c r="Q95" s="197"/>
      <c r="R95" s="197"/>
      <c r="S95" s="197"/>
      <c r="T95" s="197"/>
      <c r="U95" s="197"/>
      <c r="V95" s="65"/>
    </row>
    <row r="96" spans="1:22" s="19" customFormat="1" ht="15" outlineLevel="1">
      <c r="A96" s="4"/>
      <c r="B96" s="4"/>
      <c r="C96" s="4"/>
      <c r="D96" s="4"/>
      <c r="E96" s="4"/>
      <c r="F96" s="4"/>
      <c r="G96" s="4"/>
      <c r="H96" s="4"/>
      <c r="I96" s="4"/>
      <c r="J96" s="4"/>
      <c r="K96" s="4"/>
      <c r="L96" s="2"/>
      <c r="M96" s="197"/>
      <c r="N96" s="197"/>
      <c r="O96" s="197"/>
      <c r="P96" s="197"/>
      <c r="Q96" s="197"/>
      <c r="R96" s="197"/>
      <c r="S96" s="197"/>
      <c r="T96" s="197"/>
      <c r="U96" s="197"/>
      <c r="V96" s="65"/>
    </row>
    <row r="97" spans="1:22" s="19" customFormat="1" ht="15">
      <c r="A97" s="4"/>
      <c r="B97" s="4"/>
      <c r="C97" s="4"/>
      <c r="D97" s="4"/>
      <c r="E97" s="4"/>
      <c r="F97" s="4"/>
      <c r="G97" s="4"/>
      <c r="H97" s="4"/>
      <c r="I97" s="4"/>
      <c r="J97" s="4"/>
      <c r="K97" s="4"/>
      <c r="L97" s="2"/>
      <c r="M97" s="197"/>
      <c r="N97" s="197"/>
      <c r="O97" s="197"/>
      <c r="P97" s="197"/>
      <c r="Q97" s="197"/>
      <c r="R97" s="197"/>
      <c r="S97" s="197"/>
      <c r="T97" s="197"/>
      <c r="U97" s="197"/>
      <c r="V97" s="65"/>
    </row>
    <row r="98" spans="1:22" s="19" customFormat="1" ht="14.9" customHeight="1">
      <c r="A98" s="4"/>
      <c r="B98" s="351" t="s">
        <v>333</v>
      </c>
      <c r="C98" s="351"/>
      <c r="D98" s="351"/>
      <c r="E98" s="351"/>
      <c r="F98" s="2"/>
      <c r="G98" s="2"/>
      <c r="H98" s="2"/>
      <c r="I98" s="2"/>
      <c r="J98" s="2"/>
      <c r="K98" s="2"/>
      <c r="L98" s="2"/>
      <c r="M98" s="197"/>
      <c r="N98" s="197"/>
      <c r="O98" s="197"/>
      <c r="P98" s="197"/>
      <c r="Q98" s="197"/>
      <c r="R98" s="197"/>
      <c r="S98" s="197"/>
      <c r="T98" s="197"/>
      <c r="U98" s="197"/>
      <c r="V98" s="65"/>
    </row>
    <row r="99" spans="1:22" s="19" customFormat="1" ht="15" outlineLevel="1">
      <c r="A99" s="4"/>
      <c r="B99" s="9"/>
      <c r="C99" s="2"/>
      <c r="D99" s="2"/>
      <c r="E99" s="2"/>
      <c r="F99" s="2"/>
      <c r="G99" s="2"/>
      <c r="H99" s="2"/>
      <c r="I99" s="2"/>
      <c r="J99" s="2"/>
      <c r="K99" s="2"/>
      <c r="L99" s="2"/>
      <c r="M99" s="197"/>
      <c r="N99" s="197"/>
      <c r="O99" s="197"/>
      <c r="P99" s="197"/>
      <c r="Q99" s="197"/>
      <c r="R99" s="197"/>
      <c r="S99" s="197"/>
      <c r="T99" s="197"/>
      <c r="U99" s="197"/>
      <c r="V99" s="65"/>
    </row>
    <row r="100" spans="1:22" s="19" customFormat="1" ht="15" outlineLevel="1">
      <c r="A100" s="4"/>
      <c r="B100" s="9"/>
      <c r="C100" s="228" t="str">
        <f>+C13</f>
        <v>Licensee 1</v>
      </c>
      <c r="D100" s="24"/>
      <c r="E100" s="25"/>
      <c r="F100" s="228" t="str">
        <f>+D13</f>
        <v>Licensee 2</v>
      </c>
      <c r="G100" s="24"/>
      <c r="H100" s="25"/>
      <c r="I100" s="228" t="str">
        <f>+E13</f>
        <v>Licensee 3</v>
      </c>
      <c r="J100" s="24"/>
      <c r="K100" s="25"/>
      <c r="L100" s="2"/>
      <c r="M100" s="197"/>
      <c r="N100" s="197"/>
      <c r="O100" s="197"/>
      <c r="P100" s="197"/>
      <c r="Q100" s="197"/>
      <c r="R100" s="197"/>
      <c r="S100" s="197"/>
      <c r="T100" s="197"/>
      <c r="U100" s="197"/>
      <c r="V100" s="65"/>
    </row>
    <row r="101" spans="1:22" s="19" customFormat="1" ht="15" outlineLevel="1">
      <c r="A101" s="4"/>
      <c r="B101" s="197" t="s">
        <v>334</v>
      </c>
      <c r="C101" s="310">
        <v>2023</v>
      </c>
      <c r="D101" s="328">
        <f>+C101+1</f>
        <v>2024</v>
      </c>
      <c r="E101" s="328">
        <f>+D101+1</f>
        <v>2025</v>
      </c>
      <c r="F101" s="328">
        <f>+C101</f>
        <v>2023</v>
      </c>
      <c r="G101" s="328">
        <f>+F101+1</f>
        <v>2024</v>
      </c>
      <c r="H101" s="328">
        <f>+G101+1</f>
        <v>2025</v>
      </c>
      <c r="I101" s="328">
        <f>+C101</f>
        <v>2023</v>
      </c>
      <c r="J101" s="328">
        <f>+I101+1</f>
        <v>2024</v>
      </c>
      <c r="K101" s="328">
        <f>+J101+1</f>
        <v>2025</v>
      </c>
      <c r="L101" s="2"/>
      <c r="M101" s="197"/>
      <c r="N101" s="197"/>
      <c r="O101" s="197"/>
      <c r="P101" s="197"/>
      <c r="Q101" s="197"/>
      <c r="R101" s="197"/>
      <c r="S101" s="197"/>
      <c r="T101" s="197"/>
      <c r="U101" s="197"/>
      <c r="V101" s="65"/>
    </row>
    <row r="102" spans="1:22" s="19" customFormat="1" ht="15" outlineLevel="1">
      <c r="A102" s="4"/>
      <c r="B102" s="227" t="s">
        <v>335</v>
      </c>
      <c r="C102" s="311">
        <v>5.0500000000000003E-2</v>
      </c>
      <c r="D102" s="311">
        <v>5.0500000000000003E-2</v>
      </c>
      <c r="E102" s="311">
        <v>4.7500000000000001E-2</v>
      </c>
      <c r="F102" s="329">
        <f>+C102</f>
        <v>5.0500000000000003E-2</v>
      </c>
      <c r="G102" s="329">
        <f>+D102</f>
        <v>5.0500000000000003E-2</v>
      </c>
      <c r="H102" s="329">
        <f>+E102</f>
        <v>4.7500000000000001E-2</v>
      </c>
      <c r="I102" s="329">
        <f>+F102</f>
        <v>5.0500000000000003E-2</v>
      </c>
      <c r="J102" s="329">
        <f>+G102</f>
        <v>5.0500000000000003E-2</v>
      </c>
      <c r="K102" s="329">
        <f>+H102</f>
        <v>4.7500000000000001E-2</v>
      </c>
      <c r="L102" s="2"/>
      <c r="M102" s="197"/>
      <c r="N102" s="197"/>
      <c r="O102" s="197"/>
      <c r="P102" s="197"/>
      <c r="Q102" s="197"/>
      <c r="R102" s="197"/>
      <c r="S102" s="197"/>
      <c r="T102" s="197"/>
      <c r="U102" s="197"/>
      <c r="V102" s="65"/>
    </row>
    <row r="103" spans="1:22" s="19" customFormat="1" ht="15" outlineLevel="1">
      <c r="A103" s="4"/>
      <c r="B103" s="197"/>
      <c r="C103" s="220" t="s">
        <v>317</v>
      </c>
      <c r="D103" s="220" t="s">
        <v>317</v>
      </c>
      <c r="E103" s="220" t="s">
        <v>317</v>
      </c>
      <c r="F103" s="220" t="s">
        <v>317</v>
      </c>
      <c r="G103" s="220" t="s">
        <v>317</v>
      </c>
      <c r="H103" s="220" t="s">
        <v>317</v>
      </c>
      <c r="I103" s="220" t="s">
        <v>317</v>
      </c>
      <c r="J103" s="220" t="s">
        <v>317</v>
      </c>
      <c r="K103" s="220" t="s">
        <v>317</v>
      </c>
      <c r="L103" s="2"/>
      <c r="M103" s="197"/>
      <c r="N103" s="197"/>
      <c r="O103" s="197"/>
      <c r="P103" s="197"/>
      <c r="Q103" s="197"/>
      <c r="R103" s="197"/>
      <c r="S103" s="197"/>
      <c r="T103" s="197"/>
      <c r="U103" s="197"/>
      <c r="V103" s="65"/>
    </row>
    <row r="104" spans="1:22" s="19" customFormat="1" ht="15" outlineLevel="1">
      <c r="A104" s="4"/>
      <c r="B104" s="227" t="str">
        <f>CONCATENATE("Opening balance from previous valuation at ",+D8)</f>
        <v>Opening balance from previous valuation at 31 March 2022</v>
      </c>
      <c r="C104" s="309">
        <v>0</v>
      </c>
      <c r="D104" s="330">
        <f>+C107</f>
        <v>0</v>
      </c>
      <c r="E104" s="330">
        <f>+D107</f>
        <v>0</v>
      </c>
      <c r="F104" s="309">
        <v>0</v>
      </c>
      <c r="G104" s="330">
        <f>+F107</f>
        <v>0</v>
      </c>
      <c r="H104" s="330">
        <f>+G107</f>
        <v>0</v>
      </c>
      <c r="I104" s="309">
        <v>0</v>
      </c>
      <c r="J104" s="330">
        <f>+I107</f>
        <v>0</v>
      </c>
      <c r="K104" s="330">
        <f>+J107</f>
        <v>0</v>
      </c>
      <c r="L104" s="2"/>
      <c r="M104" s="197"/>
      <c r="N104" s="197"/>
      <c r="O104" s="197"/>
      <c r="P104" s="197"/>
      <c r="Q104" s="197"/>
      <c r="R104" s="197"/>
      <c r="S104" s="197"/>
      <c r="T104" s="197"/>
      <c r="U104" s="197"/>
      <c r="V104" s="65"/>
    </row>
    <row r="105" spans="1:22" s="19" customFormat="1" ht="15" outlineLevel="1">
      <c r="A105" s="4"/>
      <c r="B105" s="227" t="s">
        <v>336</v>
      </c>
      <c r="C105" s="330">
        <f>+C104*C102</f>
        <v>0</v>
      </c>
      <c r="D105" s="330">
        <f t="shared" ref="D105:K105" si="4">+D104*D102</f>
        <v>0</v>
      </c>
      <c r="E105" s="330">
        <f t="shared" si="4"/>
        <v>0</v>
      </c>
      <c r="F105" s="330">
        <f t="shared" si="4"/>
        <v>0</v>
      </c>
      <c r="G105" s="330">
        <f t="shared" si="4"/>
        <v>0</v>
      </c>
      <c r="H105" s="330">
        <f t="shared" si="4"/>
        <v>0</v>
      </c>
      <c r="I105" s="330">
        <f t="shared" si="4"/>
        <v>0</v>
      </c>
      <c r="J105" s="330">
        <f t="shared" si="4"/>
        <v>0</v>
      </c>
      <c r="K105" s="330">
        <f t="shared" si="4"/>
        <v>0</v>
      </c>
      <c r="L105" s="2"/>
      <c r="M105" s="197"/>
      <c r="N105" s="197"/>
      <c r="O105" s="197"/>
      <c r="P105" s="197"/>
      <c r="Q105" s="197"/>
      <c r="R105" s="197"/>
      <c r="S105" s="197"/>
      <c r="T105" s="197"/>
      <c r="U105" s="197"/>
      <c r="V105" s="65"/>
    </row>
    <row r="106" spans="1:22" s="19" customFormat="1" ht="67.5" outlineLevel="1">
      <c r="A106" s="4"/>
      <c r="B106" s="87" t="s">
        <v>337</v>
      </c>
      <c r="C106" s="309">
        <v>0</v>
      </c>
      <c r="D106" s="309">
        <v>0</v>
      </c>
      <c r="E106" s="309">
        <v>0</v>
      </c>
      <c r="F106" s="309">
        <v>0</v>
      </c>
      <c r="G106" s="309">
        <v>0</v>
      </c>
      <c r="H106" s="309">
        <v>0</v>
      </c>
      <c r="I106" s="309">
        <v>0</v>
      </c>
      <c r="J106" s="309">
        <v>0</v>
      </c>
      <c r="K106" s="309">
        <v>0</v>
      </c>
      <c r="L106" s="2"/>
      <c r="M106" s="197"/>
      <c r="N106" s="197"/>
      <c r="O106" s="197"/>
      <c r="P106" s="197"/>
      <c r="Q106" s="197"/>
      <c r="R106" s="197"/>
      <c r="S106" s="197"/>
      <c r="T106" s="197"/>
      <c r="U106" s="197"/>
      <c r="V106" s="65"/>
    </row>
    <row r="107" spans="1:22" s="19" customFormat="1" ht="15" outlineLevel="1">
      <c r="A107" s="4"/>
      <c r="B107" s="227" t="str">
        <f>CONCATENATE("Closing balance at this valuation at ",D9)</f>
        <v>Closing balance at this valuation at 31 March 2025</v>
      </c>
      <c r="C107" s="331">
        <f>C104+C105-C106</f>
        <v>0</v>
      </c>
      <c r="D107" s="331">
        <f t="shared" ref="D107:K107" si="5">D104+D105-D106</f>
        <v>0</v>
      </c>
      <c r="E107" s="331">
        <f t="shared" si="5"/>
        <v>0</v>
      </c>
      <c r="F107" s="331">
        <f t="shared" si="5"/>
        <v>0</v>
      </c>
      <c r="G107" s="331">
        <f t="shared" si="5"/>
        <v>0</v>
      </c>
      <c r="H107" s="331">
        <f t="shared" si="5"/>
        <v>0</v>
      </c>
      <c r="I107" s="331">
        <f t="shared" si="5"/>
        <v>0</v>
      </c>
      <c r="J107" s="331">
        <f t="shared" si="5"/>
        <v>0</v>
      </c>
      <c r="K107" s="331">
        <f t="shared" si="5"/>
        <v>0</v>
      </c>
      <c r="L107" s="2"/>
      <c r="M107" s="197"/>
      <c r="N107" s="197"/>
      <c r="O107" s="197"/>
      <c r="P107" s="197"/>
      <c r="Q107" s="197"/>
      <c r="R107" s="197"/>
      <c r="S107" s="197"/>
      <c r="T107" s="197"/>
      <c r="U107" s="197"/>
      <c r="V107" s="65"/>
    </row>
    <row r="108" spans="1:22" s="19" customFormat="1" ht="15" outlineLevel="1">
      <c r="A108" s="4"/>
      <c r="B108" s="2"/>
      <c r="C108" s="2"/>
      <c r="D108" s="2"/>
      <c r="E108" s="2"/>
      <c r="F108" s="2"/>
      <c r="G108" s="2"/>
      <c r="H108" s="2"/>
      <c r="I108" s="2"/>
      <c r="J108" s="2"/>
      <c r="K108" s="2"/>
      <c r="L108" s="2"/>
      <c r="M108" s="197"/>
      <c r="N108" s="197"/>
      <c r="O108" s="197"/>
      <c r="P108" s="197"/>
      <c r="Q108" s="197"/>
      <c r="R108" s="197"/>
      <c r="S108" s="197"/>
      <c r="T108" s="197"/>
      <c r="U108" s="197"/>
      <c r="V108" s="65"/>
    </row>
    <row r="109" spans="1:22" s="19" customFormat="1" ht="15" outlineLevel="1">
      <c r="A109" s="4"/>
      <c r="B109" s="229" t="str">
        <f>CONCATENATE("Reduction in regulatory fraction at ",+D9)</f>
        <v>Reduction in regulatory fraction at 31 March 2025</v>
      </c>
      <c r="C109" s="2"/>
      <c r="D109" s="2"/>
      <c r="E109" s="314">
        <f>IFERROR(E107/-'P1.2 PDAM Actuary provided data'!D109,0)</f>
        <v>0</v>
      </c>
      <c r="F109" s="9"/>
      <c r="G109" s="9"/>
      <c r="H109" s="314">
        <f>IFERROR(H107/-'P1.2 PDAM Actuary provided data'!D109,0)</f>
        <v>0</v>
      </c>
      <c r="I109" s="9"/>
      <c r="J109" s="2"/>
      <c r="K109" s="314">
        <f>IFERROR(K107/-'P1.2 PDAM Actuary provided data'!D109,0)</f>
        <v>0</v>
      </c>
      <c r="L109" s="2"/>
      <c r="M109" s="197"/>
      <c r="N109" s="197"/>
      <c r="O109" s="197"/>
      <c r="P109" s="197"/>
      <c r="Q109" s="197"/>
      <c r="R109" s="197"/>
      <c r="S109" s="197"/>
      <c r="T109" s="197"/>
      <c r="U109" s="197"/>
      <c r="V109" s="65"/>
    </row>
    <row r="110" spans="1:22" s="19" customFormat="1" ht="15" outlineLevel="1">
      <c r="A110" s="4"/>
      <c r="B110" s="230"/>
      <c r="C110" s="2"/>
      <c r="D110" s="2"/>
      <c r="E110" s="9"/>
      <c r="F110" s="9"/>
      <c r="G110" s="9"/>
      <c r="H110" s="9"/>
      <c r="I110" s="9"/>
      <c r="J110" s="2"/>
      <c r="K110" s="2"/>
      <c r="L110" s="2"/>
      <c r="M110" s="197"/>
      <c r="N110" s="197"/>
      <c r="O110" s="197"/>
      <c r="P110" s="197"/>
      <c r="Q110" s="197"/>
      <c r="R110" s="197"/>
      <c r="S110" s="197"/>
      <c r="T110" s="197"/>
      <c r="U110" s="197"/>
      <c r="V110" s="65"/>
    </row>
    <row r="111" spans="1:22" s="19" customFormat="1" ht="15">
      <c r="A111" s="4"/>
      <c r="B111" s="4"/>
      <c r="C111" s="4"/>
      <c r="D111" s="4"/>
      <c r="E111" s="4"/>
      <c r="F111" s="4"/>
      <c r="G111" s="4"/>
      <c r="H111" s="4"/>
      <c r="I111" s="4"/>
      <c r="J111" s="4"/>
      <c r="K111" s="4"/>
      <c r="L111" s="2"/>
      <c r="M111" s="197"/>
      <c r="N111" s="197"/>
      <c r="O111" s="197"/>
      <c r="P111" s="197"/>
      <c r="Q111" s="197"/>
      <c r="R111" s="197"/>
      <c r="S111" s="197"/>
      <c r="T111" s="197"/>
      <c r="U111" s="197"/>
      <c r="V111" s="65"/>
    </row>
    <row r="112" spans="1:22" ht="15">
      <c r="A112" s="4"/>
      <c r="B112" s="14" t="s">
        <v>338</v>
      </c>
      <c r="C112" s="214"/>
      <c r="D112" s="2"/>
      <c r="E112" s="4"/>
      <c r="F112" s="4"/>
      <c r="G112" s="214"/>
      <c r="H112" s="2"/>
      <c r="I112" s="4"/>
      <c r="J112" s="4"/>
      <c r="K112" s="2"/>
      <c r="L112" s="2"/>
    </row>
    <row r="113" spans="1:22" ht="15.5" outlineLevel="1">
      <c r="A113" s="4"/>
      <c r="B113"/>
      <c r="C113" s="214"/>
      <c r="D113" s="2"/>
      <c r="E113" s="4"/>
      <c r="F113" s="4"/>
      <c r="G113" s="214"/>
      <c r="H113" s="2"/>
      <c r="I113" s="4"/>
      <c r="J113" s="4"/>
      <c r="K113" s="2"/>
      <c r="L113" s="2"/>
    </row>
    <row r="114" spans="1:22" ht="29.25" customHeight="1" outlineLevel="1">
      <c r="A114" s="4"/>
      <c r="B114" s="15"/>
      <c r="C114" s="231" t="str">
        <f>+C13</f>
        <v>Licensee 1</v>
      </c>
      <c r="D114" s="231" t="str">
        <f t="shared" ref="D114:H114" si="6">+D13</f>
        <v>Licensee 2</v>
      </c>
      <c r="E114" s="231" t="str">
        <f t="shared" si="6"/>
        <v>Licensee 3</v>
      </c>
      <c r="F114" s="231" t="str">
        <f t="shared" si="6"/>
        <v>Licensee 4</v>
      </c>
      <c r="G114" s="231" t="str">
        <f t="shared" si="6"/>
        <v>Licensee 5</v>
      </c>
      <c r="H114" s="231" t="str">
        <f t="shared" si="6"/>
        <v>Licensee 6</v>
      </c>
      <c r="I114" s="218" t="s">
        <v>306</v>
      </c>
      <c r="J114" s="218" t="s">
        <v>307</v>
      </c>
      <c r="K114" s="2"/>
      <c r="L114" s="2"/>
    </row>
    <row r="115" spans="1:22" ht="27" outlineLevel="1">
      <c r="A115" s="4"/>
      <c r="B115" s="232" t="str">
        <f>CONCATENATE("Opening Pre Cut-Off Date Regulatory Fractions at ",+'P1.1 PDAM Licensee provided'!D8," - before adjustment for ERDCs")</f>
        <v>Opening Pre Cut-Off Date Regulatory Fractions at 31 March 2022 - before adjustment for ERDCs</v>
      </c>
      <c r="C115" s="314">
        <f>C14</f>
        <v>0</v>
      </c>
      <c r="D115" s="314">
        <f t="shared" ref="D115:I115" si="7">D14</f>
        <v>0</v>
      </c>
      <c r="E115" s="314">
        <f t="shared" si="7"/>
        <v>0</v>
      </c>
      <c r="F115" s="314">
        <f t="shared" si="7"/>
        <v>0</v>
      </c>
      <c r="G115" s="314">
        <f t="shared" si="7"/>
        <v>0</v>
      </c>
      <c r="H115" s="314">
        <f t="shared" si="7"/>
        <v>0</v>
      </c>
      <c r="I115" s="314">
        <f t="shared" si="7"/>
        <v>1</v>
      </c>
      <c r="J115" s="314">
        <f>SUM(C115:I115)</f>
        <v>1</v>
      </c>
      <c r="K115" s="2"/>
      <c r="L115" s="2"/>
    </row>
    <row r="116" spans="1:22" ht="40.5">
      <c r="A116" s="4"/>
      <c r="B116" s="232" t="s">
        <v>339</v>
      </c>
      <c r="C116" s="314">
        <f>K50</f>
        <v>0</v>
      </c>
      <c r="D116" s="314">
        <f>K72</f>
        <v>0</v>
      </c>
      <c r="E116" s="314">
        <f>K94</f>
        <v>0</v>
      </c>
      <c r="F116" s="314">
        <v>0</v>
      </c>
      <c r="G116" s="314">
        <v>0</v>
      </c>
      <c r="H116" s="314">
        <v>0</v>
      </c>
      <c r="I116" s="314">
        <f>J116-SUM(C116:H116)</f>
        <v>1</v>
      </c>
      <c r="J116" s="314">
        <v>1</v>
      </c>
      <c r="K116" s="2"/>
      <c r="L116" s="2"/>
    </row>
    <row r="117" spans="1:22" ht="29.25" customHeight="1" outlineLevel="1">
      <c r="A117" s="4"/>
      <c r="B117" s="233" t="s">
        <v>340</v>
      </c>
      <c r="C117" s="288">
        <v>0</v>
      </c>
      <c r="D117" s="288">
        <v>0</v>
      </c>
      <c r="E117" s="288">
        <v>0</v>
      </c>
      <c r="F117" s="288">
        <v>0</v>
      </c>
      <c r="G117" s="288">
        <v>0</v>
      </c>
      <c r="H117" s="288">
        <v>0</v>
      </c>
      <c r="I117" s="288">
        <v>0</v>
      </c>
      <c r="J117" s="314">
        <f t="shared" ref="J117:J123" si="8">SUM(C117:I117)</f>
        <v>0</v>
      </c>
      <c r="K117" s="2"/>
      <c r="L117" s="2"/>
    </row>
    <row r="118" spans="1:22" ht="33.75" customHeight="1" outlineLevel="1">
      <c r="A118" s="4"/>
      <c r="B118" s="233" t="s">
        <v>341</v>
      </c>
      <c r="C118" s="288">
        <v>0</v>
      </c>
      <c r="D118" s="288">
        <v>0</v>
      </c>
      <c r="E118" s="288">
        <v>0</v>
      </c>
      <c r="F118" s="288">
        <v>0</v>
      </c>
      <c r="G118" s="288">
        <v>0</v>
      </c>
      <c r="H118" s="288">
        <v>0</v>
      </c>
      <c r="I118" s="288">
        <v>0</v>
      </c>
      <c r="J118" s="314">
        <f t="shared" si="8"/>
        <v>0</v>
      </c>
      <c r="K118" s="2"/>
      <c r="L118" s="2"/>
    </row>
    <row r="119" spans="1:22" ht="33.75" customHeight="1" outlineLevel="1">
      <c r="A119" s="4"/>
      <c r="B119" s="233" t="s">
        <v>342</v>
      </c>
      <c r="C119" s="288">
        <v>0</v>
      </c>
      <c r="D119" s="288">
        <v>0</v>
      </c>
      <c r="E119" s="288">
        <v>0</v>
      </c>
      <c r="F119" s="288">
        <v>0</v>
      </c>
      <c r="G119" s="288">
        <v>0</v>
      </c>
      <c r="H119" s="288">
        <v>0</v>
      </c>
      <c r="I119" s="288">
        <v>0</v>
      </c>
      <c r="J119" s="314">
        <f t="shared" si="8"/>
        <v>0</v>
      </c>
      <c r="K119" s="2"/>
      <c r="L119" s="2"/>
    </row>
    <row r="120" spans="1:22" ht="33.75" customHeight="1" outlineLevel="1">
      <c r="A120" s="4"/>
      <c r="B120" s="233" t="s">
        <v>343</v>
      </c>
      <c r="C120" s="288">
        <v>0</v>
      </c>
      <c r="D120" s="288">
        <v>0</v>
      </c>
      <c r="E120" s="288">
        <v>0</v>
      </c>
      <c r="F120" s="288">
        <v>0</v>
      </c>
      <c r="G120" s="288">
        <v>0</v>
      </c>
      <c r="H120" s="288">
        <v>0</v>
      </c>
      <c r="I120" s="288">
        <v>0</v>
      </c>
      <c r="J120" s="314">
        <f t="shared" si="8"/>
        <v>0</v>
      </c>
      <c r="K120" s="2"/>
      <c r="L120" s="2"/>
    </row>
    <row r="121" spans="1:22" ht="15" outlineLevel="1">
      <c r="A121" s="4"/>
      <c r="B121" s="233" t="s">
        <v>344</v>
      </c>
      <c r="C121" s="288">
        <v>0</v>
      </c>
      <c r="D121" s="288">
        <v>0</v>
      </c>
      <c r="E121" s="288">
        <v>0</v>
      </c>
      <c r="F121" s="288">
        <v>0</v>
      </c>
      <c r="G121" s="288">
        <v>0</v>
      </c>
      <c r="H121" s="288">
        <v>0</v>
      </c>
      <c r="I121" s="288">
        <v>0</v>
      </c>
      <c r="J121" s="314">
        <f t="shared" si="8"/>
        <v>0</v>
      </c>
      <c r="K121" s="2"/>
      <c r="L121" s="2"/>
    </row>
    <row r="122" spans="1:22" ht="25.5" customHeight="1" outlineLevel="1">
      <c r="A122" s="4"/>
      <c r="B122" s="136" t="str">
        <f>CONCATENATE("ERDC adjustment as at ",+D9)</f>
        <v>ERDC adjustment as at 31 March 2025</v>
      </c>
      <c r="C122" s="332">
        <f>-E109</f>
        <v>0</v>
      </c>
      <c r="D122" s="332">
        <f>-H109</f>
        <v>0</v>
      </c>
      <c r="E122" s="332">
        <f>-K109</f>
        <v>0</v>
      </c>
      <c r="F122" s="288">
        <v>0</v>
      </c>
      <c r="G122" s="288">
        <v>0</v>
      </c>
      <c r="H122" s="288">
        <v>0</v>
      </c>
      <c r="I122" s="288">
        <v>0</v>
      </c>
      <c r="J122" s="314">
        <f t="shared" si="8"/>
        <v>0</v>
      </c>
      <c r="K122" s="2"/>
      <c r="L122" s="2"/>
    </row>
    <row r="123" spans="1:22" ht="27" outlineLevel="1">
      <c r="A123" s="4"/>
      <c r="B123" s="232" t="str">
        <f>CONCATENATE("Pre Cut-Off Date Regulatory Fractions at ",+'P1.1 PDAM Licensee provided'!D9," - after adjustment for Section B, bulk transfers, ERDCs and other items")</f>
        <v>Pre Cut-Off Date Regulatory Fractions at 31 March 2025 - after adjustment for Section B, bulk transfers, ERDCs and other items</v>
      </c>
      <c r="C123" s="332">
        <f t="shared" ref="C123:H123" si="9">IF($C$20 = "Yes",SUM(C116:C122),SUM(C115,C117:C122))</f>
        <v>0</v>
      </c>
      <c r="D123" s="332">
        <f t="shared" si="9"/>
        <v>0</v>
      </c>
      <c r="E123" s="332">
        <f t="shared" si="9"/>
        <v>0</v>
      </c>
      <c r="F123" s="332">
        <f t="shared" si="9"/>
        <v>0</v>
      </c>
      <c r="G123" s="332">
        <f t="shared" si="9"/>
        <v>0</v>
      </c>
      <c r="H123" s="332">
        <f t="shared" si="9"/>
        <v>0</v>
      </c>
      <c r="I123" s="332">
        <f>IF($C$20="Yes",SUM(I116:I122),SUM(I115,I117:I122))</f>
        <v>1</v>
      </c>
      <c r="J123" s="332">
        <f t="shared" si="8"/>
        <v>1</v>
      </c>
      <c r="K123" s="2"/>
      <c r="L123" s="2"/>
    </row>
    <row r="124" spans="1:22" ht="15" outlineLevel="1">
      <c r="A124" s="4"/>
      <c r="B124" s="4"/>
      <c r="C124" s="4"/>
      <c r="D124" s="4"/>
      <c r="E124" s="4"/>
      <c r="F124" s="4"/>
      <c r="G124" s="4"/>
      <c r="H124" s="4"/>
      <c r="I124" s="4"/>
      <c r="J124" s="4"/>
      <c r="K124" s="2"/>
      <c r="L124" s="2"/>
    </row>
    <row r="125" spans="1:22" ht="15">
      <c r="A125" s="4"/>
      <c r="B125" s="197"/>
      <c r="C125" s="2"/>
      <c r="D125" s="2"/>
      <c r="E125" s="2"/>
      <c r="F125" s="2"/>
      <c r="G125" s="2"/>
      <c r="H125" s="2"/>
      <c r="I125" s="2"/>
      <c r="J125" s="2"/>
      <c r="K125" s="2"/>
      <c r="L125" s="2"/>
      <c r="M125" s="197"/>
      <c r="N125" s="197"/>
      <c r="O125" s="197"/>
      <c r="P125" s="197"/>
      <c r="Q125" s="197"/>
      <c r="R125" s="197"/>
      <c r="S125" s="197"/>
      <c r="T125" s="197"/>
      <c r="U125" s="197"/>
      <c r="V125" s="65"/>
    </row>
    <row r="126" spans="1:22" ht="15" customHeight="1">
      <c r="A126" s="4"/>
      <c r="B126" s="351" t="s">
        <v>345</v>
      </c>
      <c r="C126" s="351"/>
      <c r="D126" s="351"/>
      <c r="E126" s="351"/>
      <c r="F126" s="4"/>
      <c r="G126" s="4"/>
      <c r="H126" s="4"/>
      <c r="I126" s="4"/>
      <c r="J126" s="4"/>
      <c r="K126" s="2"/>
      <c r="L126" s="2"/>
    </row>
    <row r="127" spans="1:22" ht="15" outlineLevel="1">
      <c r="A127" s="4"/>
      <c r="B127" s="4"/>
      <c r="C127" s="4"/>
      <c r="D127" s="4"/>
      <c r="E127" s="4"/>
      <c r="F127" s="4"/>
      <c r="G127" s="4"/>
      <c r="H127" s="4"/>
      <c r="I127" s="4"/>
      <c r="J127" s="4"/>
      <c r="K127" s="2"/>
      <c r="L127" s="2"/>
    </row>
    <row r="128" spans="1:22" ht="15" outlineLevel="1">
      <c r="A128" s="4"/>
      <c r="B128" s="7" t="s">
        <v>305</v>
      </c>
      <c r="C128" s="231" t="str">
        <f>+C13</f>
        <v>Licensee 1</v>
      </c>
      <c r="D128" s="231" t="str">
        <f t="shared" ref="D128:H128" si="10">+D13</f>
        <v>Licensee 2</v>
      </c>
      <c r="E128" s="231" t="str">
        <f t="shared" si="10"/>
        <v>Licensee 3</v>
      </c>
      <c r="F128" s="231" t="str">
        <f t="shared" si="10"/>
        <v>Licensee 4</v>
      </c>
      <c r="G128" s="231" t="str">
        <f t="shared" si="10"/>
        <v>Licensee 5</v>
      </c>
      <c r="H128" s="231" t="str">
        <f t="shared" si="10"/>
        <v>Licensee 6</v>
      </c>
      <c r="I128" s="218" t="s">
        <v>306</v>
      </c>
      <c r="J128" s="218" t="s">
        <v>307</v>
      </c>
      <c r="K128" s="2"/>
      <c r="L128" s="2"/>
    </row>
    <row r="129" spans="1:15" ht="15" outlineLevel="1">
      <c r="A129" s="4"/>
      <c r="B129" s="227" t="str">
        <f>CONCATENATE("Opening Post Cut-Off Date Regulatory Proportion at ",D8)</f>
        <v>Opening Post Cut-Off Date Regulatory Proportion at 31 March 2022</v>
      </c>
      <c r="C129" s="288">
        <v>0</v>
      </c>
      <c r="D129" s="288">
        <v>0</v>
      </c>
      <c r="E129" s="288">
        <v>0</v>
      </c>
      <c r="F129" s="288">
        <v>0</v>
      </c>
      <c r="G129" s="288">
        <v>0</v>
      </c>
      <c r="H129" s="288">
        <v>0</v>
      </c>
      <c r="I129" s="288">
        <v>0</v>
      </c>
      <c r="J129" s="314">
        <f>SUM(C129:I129)</f>
        <v>0</v>
      </c>
      <c r="K129" s="2"/>
      <c r="L129" s="2"/>
    </row>
    <row r="130" spans="1:15" ht="15" outlineLevel="1">
      <c r="A130" s="4"/>
      <c r="B130" s="197"/>
      <c r="C130" s="4"/>
      <c r="D130" s="4"/>
      <c r="E130" s="4"/>
      <c r="F130" s="4"/>
      <c r="G130" s="4"/>
      <c r="H130" s="4"/>
      <c r="I130" s="4"/>
      <c r="J130" s="2"/>
      <c r="K130" s="2"/>
      <c r="L130" s="2"/>
    </row>
    <row r="131" spans="1:15" ht="14.25" customHeight="1">
      <c r="A131" s="4"/>
      <c r="B131" s="4"/>
      <c r="C131" s="4"/>
      <c r="D131" s="4"/>
      <c r="E131" s="4"/>
      <c r="F131" s="4"/>
      <c r="G131" s="4"/>
      <c r="H131" s="4"/>
      <c r="I131" s="4"/>
      <c r="J131" s="2"/>
      <c r="K131" s="2"/>
      <c r="L131" s="2"/>
    </row>
    <row r="132" spans="1:15" ht="14.9" customHeight="1">
      <c r="A132" s="4"/>
      <c r="B132" s="351" t="s">
        <v>346</v>
      </c>
      <c r="C132" s="351"/>
      <c r="D132" s="351"/>
      <c r="E132" s="351"/>
      <c r="F132" s="4"/>
      <c r="G132" s="4"/>
      <c r="H132" s="4"/>
      <c r="I132" s="4"/>
      <c r="J132" s="2"/>
      <c r="K132" s="2"/>
      <c r="L132" s="2"/>
    </row>
    <row r="133" spans="1:15" ht="15" outlineLevel="1">
      <c r="A133" s="4"/>
      <c r="B133" s="4"/>
      <c r="C133" s="4"/>
      <c r="D133" s="4"/>
      <c r="E133" s="4"/>
      <c r="F133" s="4"/>
      <c r="G133" s="4"/>
      <c r="H133" s="4"/>
      <c r="I133" s="4"/>
      <c r="J133" s="2"/>
      <c r="K133" s="2"/>
      <c r="L133" s="2"/>
    </row>
    <row r="134" spans="1:15" ht="15" outlineLevel="1">
      <c r="A134" s="4"/>
      <c r="B134" s="7" t="s">
        <v>347</v>
      </c>
      <c r="C134" s="231" t="str">
        <f>+C13</f>
        <v>Licensee 1</v>
      </c>
      <c r="D134" s="231" t="str">
        <f t="shared" ref="D134:H134" si="11">+D13</f>
        <v>Licensee 2</v>
      </c>
      <c r="E134" s="231" t="str">
        <f t="shared" si="11"/>
        <v>Licensee 3</v>
      </c>
      <c r="F134" s="231" t="str">
        <f t="shared" si="11"/>
        <v>Licensee 4</v>
      </c>
      <c r="G134" s="231" t="str">
        <f t="shared" si="11"/>
        <v>Licensee 5</v>
      </c>
      <c r="H134" s="231" t="str">
        <f t="shared" si="11"/>
        <v>Licensee 6</v>
      </c>
      <c r="I134" s="218" t="s">
        <v>306</v>
      </c>
      <c r="J134" s="218" t="s">
        <v>307</v>
      </c>
      <c r="K134" s="234" t="s">
        <v>348</v>
      </c>
      <c r="L134" s="75"/>
      <c r="M134" s="76"/>
      <c r="N134" s="76"/>
      <c r="O134" s="77"/>
    </row>
    <row r="135" spans="1:15" outlineLevel="1">
      <c r="A135" s="4"/>
      <c r="B135" s="235" t="str">
        <f>CONCATENATE("Year 1 of this valuation period ended 31 March ",+$C$101)</f>
        <v>Year 1 of this valuation period ended 31 March 2023</v>
      </c>
      <c r="C135" s="309"/>
      <c r="D135" s="309"/>
      <c r="E135" s="309"/>
      <c r="F135" s="309"/>
      <c r="G135" s="309"/>
      <c r="H135" s="309"/>
      <c r="I135" s="309"/>
      <c r="J135" s="334">
        <f>SUM(C135:I135)</f>
        <v>0</v>
      </c>
      <c r="K135" s="306"/>
      <c r="L135" s="307"/>
      <c r="M135" s="307"/>
      <c r="N135" s="307"/>
      <c r="O135" s="308"/>
    </row>
    <row r="136" spans="1:15" outlineLevel="1">
      <c r="A136" s="4"/>
      <c r="B136" s="235" t="str">
        <f>CONCATENATE("Year 2 of this valuation period ended 31 March ",+$D$101)</f>
        <v>Year 2 of this valuation period ended 31 March 2024</v>
      </c>
      <c r="C136" s="309"/>
      <c r="D136" s="309"/>
      <c r="E136" s="309"/>
      <c r="F136" s="309"/>
      <c r="G136" s="309"/>
      <c r="H136" s="309"/>
      <c r="I136" s="309"/>
      <c r="J136" s="333">
        <f>SUM(C136:I136)</f>
        <v>0</v>
      </c>
      <c r="K136" s="306"/>
      <c r="L136" s="307"/>
      <c r="M136" s="307"/>
      <c r="N136" s="307"/>
      <c r="O136" s="308"/>
    </row>
    <row r="137" spans="1:15" outlineLevel="1">
      <c r="A137" s="4"/>
      <c r="B137" s="235" t="str">
        <f>CONCATENATE("Year 3 of this valuation period ended 31 March ",+$E$101)</f>
        <v>Year 3 of this valuation period ended 31 March 2025</v>
      </c>
      <c r="C137" s="309"/>
      <c r="D137" s="309"/>
      <c r="E137" s="309"/>
      <c r="F137" s="309"/>
      <c r="G137" s="309"/>
      <c r="H137" s="309"/>
      <c r="I137" s="309"/>
      <c r="J137" s="333">
        <f>SUM(C137:I137)</f>
        <v>0</v>
      </c>
      <c r="K137" s="306"/>
      <c r="L137" s="307"/>
      <c r="M137" s="307"/>
      <c r="N137" s="307"/>
      <c r="O137" s="308"/>
    </row>
    <row r="138" spans="1:15" ht="15" outlineLevel="1">
      <c r="A138" s="4"/>
      <c r="B138" s="12" t="s">
        <v>307</v>
      </c>
      <c r="C138" s="333">
        <f t="shared" ref="C138:J138" si="12">SUM(C135:C137)</f>
        <v>0</v>
      </c>
      <c r="D138" s="333">
        <f t="shared" si="12"/>
        <v>0</v>
      </c>
      <c r="E138" s="333">
        <f t="shared" si="12"/>
        <v>0</v>
      </c>
      <c r="F138" s="333">
        <f t="shared" si="12"/>
        <v>0</v>
      </c>
      <c r="G138" s="333">
        <f t="shared" si="12"/>
        <v>0</v>
      </c>
      <c r="H138" s="333">
        <f t="shared" si="12"/>
        <v>0</v>
      </c>
      <c r="I138" s="333">
        <f t="shared" si="12"/>
        <v>0</v>
      </c>
      <c r="J138" s="333">
        <f t="shared" si="12"/>
        <v>0</v>
      </c>
      <c r="K138" s="2"/>
      <c r="L138" s="2"/>
    </row>
    <row r="139" spans="1:15" ht="15" outlineLevel="1">
      <c r="A139" s="4"/>
      <c r="B139" s="8" t="s">
        <v>349</v>
      </c>
      <c r="K139" s="2"/>
      <c r="L139" s="2"/>
    </row>
    <row r="140" spans="1:15" ht="15" outlineLevel="1">
      <c r="A140" s="4"/>
      <c r="B140" s="235" t="str">
        <f>CONCATENATE("Year 1 of this valuation period ended 31 March ",+$C$101)</f>
        <v>Year 1 of this valuation period ended 31 March 2023</v>
      </c>
      <c r="C140" s="314">
        <f t="shared" ref="C140:I140" si="13">IFERROR(C135/$J$135,0)</f>
        <v>0</v>
      </c>
      <c r="D140" s="314">
        <f t="shared" si="13"/>
        <v>0</v>
      </c>
      <c r="E140" s="314">
        <f t="shared" si="13"/>
        <v>0</v>
      </c>
      <c r="F140" s="314">
        <f t="shared" si="13"/>
        <v>0</v>
      </c>
      <c r="G140" s="314">
        <f t="shared" si="13"/>
        <v>0</v>
      </c>
      <c r="H140" s="314">
        <f t="shared" si="13"/>
        <v>0</v>
      </c>
      <c r="I140" s="314">
        <f t="shared" si="13"/>
        <v>0</v>
      </c>
      <c r="J140" s="314">
        <f>SUM(C140:I140)</f>
        <v>0</v>
      </c>
      <c r="K140" s="2"/>
      <c r="L140" s="2"/>
    </row>
    <row r="141" spans="1:15" ht="15" outlineLevel="1">
      <c r="A141" s="4"/>
      <c r="B141" s="235" t="str">
        <f>CONCATENATE("Year 2 of this valuation period ended 31 March ",+$D$101)</f>
        <v>Year 2 of this valuation period ended 31 March 2024</v>
      </c>
      <c r="C141" s="314">
        <f t="shared" ref="C141:I141" si="14">IFERROR(C136/$J$136,0)</f>
        <v>0</v>
      </c>
      <c r="D141" s="314">
        <f t="shared" si="14"/>
        <v>0</v>
      </c>
      <c r="E141" s="314">
        <f t="shared" si="14"/>
        <v>0</v>
      </c>
      <c r="F141" s="314">
        <f t="shared" si="14"/>
        <v>0</v>
      </c>
      <c r="G141" s="314">
        <f t="shared" si="14"/>
        <v>0</v>
      </c>
      <c r="H141" s="314">
        <f t="shared" si="14"/>
        <v>0</v>
      </c>
      <c r="I141" s="314">
        <f t="shared" si="14"/>
        <v>0</v>
      </c>
      <c r="J141" s="314">
        <f>SUM(C141:I141)</f>
        <v>0</v>
      </c>
      <c r="K141" s="2"/>
      <c r="L141" s="2"/>
    </row>
    <row r="142" spans="1:15" ht="15" outlineLevel="1">
      <c r="A142" s="4"/>
      <c r="B142" s="235" t="str">
        <f>CONCATENATE("Year 3 of this valuation period ended 31 March ",+$E$101)</f>
        <v>Year 3 of this valuation period ended 31 March 2025</v>
      </c>
      <c r="C142" s="314">
        <f t="shared" ref="C142:I142" si="15">IFERROR(C137/$J$137,0)</f>
        <v>0</v>
      </c>
      <c r="D142" s="314">
        <f t="shared" si="15"/>
        <v>0</v>
      </c>
      <c r="E142" s="314">
        <f t="shared" si="15"/>
        <v>0</v>
      </c>
      <c r="F142" s="314">
        <f t="shared" si="15"/>
        <v>0</v>
      </c>
      <c r="G142" s="314">
        <f t="shared" si="15"/>
        <v>0</v>
      </c>
      <c r="H142" s="314">
        <f t="shared" si="15"/>
        <v>0</v>
      </c>
      <c r="I142" s="314">
        <f t="shared" si="15"/>
        <v>0</v>
      </c>
      <c r="J142" s="314">
        <f>SUM(C142:I142)</f>
        <v>0</v>
      </c>
      <c r="K142" s="2"/>
      <c r="L142" s="2"/>
    </row>
    <row r="143" spans="1:15" ht="15" outlineLevel="1">
      <c r="A143" s="4"/>
      <c r="B143" s="7" t="s">
        <v>350</v>
      </c>
      <c r="C143" s="314">
        <f t="shared" ref="C143:I143" si="16">IFERROR(SUMPRODUCT(C140:C142,$J$135:$J$137)/$J$138,0)</f>
        <v>0</v>
      </c>
      <c r="D143" s="314">
        <f t="shared" si="16"/>
        <v>0</v>
      </c>
      <c r="E143" s="314">
        <f t="shared" si="16"/>
        <v>0</v>
      </c>
      <c r="F143" s="314">
        <f t="shared" si="16"/>
        <v>0</v>
      </c>
      <c r="G143" s="314">
        <f t="shared" si="16"/>
        <v>0</v>
      </c>
      <c r="H143" s="314">
        <f t="shared" si="16"/>
        <v>0</v>
      </c>
      <c r="I143" s="314">
        <f t="shared" si="16"/>
        <v>0</v>
      </c>
      <c r="J143" s="314">
        <f>SUM(C143:I143)</f>
        <v>0</v>
      </c>
      <c r="K143" s="2"/>
      <c r="L143" s="2"/>
    </row>
    <row r="144" spans="1:15" ht="15" outlineLevel="1">
      <c r="A144" s="4"/>
      <c r="B144" s="4"/>
      <c r="C144" s="4"/>
      <c r="D144" s="4"/>
      <c r="E144" s="4"/>
      <c r="F144" s="4"/>
      <c r="G144" s="4"/>
      <c r="H144" s="4"/>
      <c r="I144" s="4"/>
      <c r="J144" s="4"/>
      <c r="K144" s="2"/>
      <c r="L144" s="2"/>
    </row>
    <row r="145" spans="1:22" ht="15" outlineLevel="1">
      <c r="A145" s="4"/>
      <c r="B145" s="4"/>
      <c r="C145" s="4"/>
      <c r="D145" s="4"/>
      <c r="E145" s="4"/>
      <c r="F145" s="4"/>
      <c r="G145" s="4"/>
      <c r="H145" s="4"/>
      <c r="I145" s="4"/>
      <c r="J145" s="4"/>
      <c r="K145" s="2"/>
      <c r="L145" s="2"/>
    </row>
    <row r="146" spans="1:22" ht="15" customHeight="1" outlineLevel="1">
      <c r="A146" s="4"/>
      <c r="B146" s="9" t="s">
        <v>351</v>
      </c>
      <c r="C146" s="9"/>
      <c r="D146" s="11"/>
      <c r="E146" s="11"/>
      <c r="F146" s="4"/>
      <c r="G146" s="4"/>
      <c r="H146" s="4"/>
      <c r="I146" s="4"/>
      <c r="J146" s="4"/>
      <c r="K146" s="2"/>
      <c r="L146" s="2"/>
    </row>
    <row r="147" spans="1:22" ht="15" outlineLevel="1">
      <c r="A147" s="4"/>
      <c r="B147" s="4"/>
      <c r="C147" s="4"/>
      <c r="D147" s="4"/>
      <c r="E147" s="4"/>
      <c r="F147" s="4"/>
      <c r="G147" s="4"/>
      <c r="H147" s="4"/>
      <c r="I147" s="4"/>
      <c r="J147" s="4"/>
      <c r="K147" s="2"/>
      <c r="L147" s="2"/>
    </row>
    <row r="148" spans="1:22" ht="15" outlineLevel="1">
      <c r="A148" s="4"/>
      <c r="B148" s="136" t="str">
        <f>CONCATENATE("Closing Post Cut-Off Date Regulatory Proportion at ",(D9),"")</f>
        <v>Closing Post Cut-Off Date Regulatory Proportion at 31 March 2025</v>
      </c>
      <c r="C148" s="335" t="e">
        <f>(('P1.2 PDAM Actuary provided data'!$D$81*C129)+('P1.2 PDAM Actuary provided data'!$D$82*C143))/'P1.2 PDAM Actuary provided data'!$D$83</f>
        <v>#DIV/0!</v>
      </c>
      <c r="D148" s="335" t="e">
        <f>(('P1.2 PDAM Actuary provided data'!$D$81*D129)+('P1.2 PDAM Actuary provided data'!$D$82*D143))/'P1.2 PDAM Actuary provided data'!$D$83</f>
        <v>#DIV/0!</v>
      </c>
      <c r="E148" s="335" t="e">
        <f>(('P1.2 PDAM Actuary provided data'!$D$81*E129)+('P1.2 PDAM Actuary provided data'!$D$82*E143))/'P1.2 PDAM Actuary provided data'!$D$83</f>
        <v>#DIV/0!</v>
      </c>
      <c r="F148" s="335" t="e">
        <f>(('P1.2 PDAM Actuary provided data'!$D$81*F129)+('P1.2 PDAM Actuary provided data'!$D$82*F143))/'P1.2 PDAM Actuary provided data'!$D$83</f>
        <v>#DIV/0!</v>
      </c>
      <c r="G148" s="335" t="e">
        <f>(('P1.2 PDAM Actuary provided data'!$D$81*G129)+('P1.2 PDAM Actuary provided data'!$D$82*G143))/'P1.2 PDAM Actuary provided data'!$D$83</f>
        <v>#DIV/0!</v>
      </c>
      <c r="H148" s="335" t="e">
        <f>(('P1.2 PDAM Actuary provided data'!$D$81*H129)+('P1.2 PDAM Actuary provided data'!$D$82*H143))/'P1.2 PDAM Actuary provided data'!$D$83</f>
        <v>#DIV/0!</v>
      </c>
      <c r="I148" s="335" t="e">
        <f>(('P1.2 PDAM Actuary provided data'!$D$81*I129)+('P1.2 PDAM Actuary provided data'!$D$82*I143))/'P1.2 PDAM Actuary provided data'!$D$83</f>
        <v>#DIV/0!</v>
      </c>
      <c r="J148" s="335" t="e">
        <f>(('P1.2 PDAM Actuary provided data'!$D$81*J129)+('P1.2 PDAM Actuary provided data'!$D$82*J143))/'P1.2 PDAM Actuary provided data'!$D$83</f>
        <v>#DIV/0!</v>
      </c>
      <c r="K148" s="2"/>
      <c r="L148" s="2"/>
    </row>
    <row r="149" spans="1:22" ht="15" outlineLevel="1">
      <c r="A149" s="4"/>
      <c r="B149" s="4"/>
      <c r="C149" s="214"/>
      <c r="D149" s="2"/>
      <c r="E149" s="4"/>
      <c r="F149" s="4"/>
      <c r="G149" s="214"/>
      <c r="H149" s="2"/>
      <c r="I149" s="4"/>
      <c r="J149" s="4"/>
      <c r="K149" s="2"/>
      <c r="L149" s="2"/>
    </row>
    <row r="150" spans="1:22" ht="15" customHeight="1">
      <c r="A150" s="4"/>
      <c r="B150" s="4"/>
      <c r="C150" s="214"/>
      <c r="D150" s="2"/>
      <c r="E150" s="4"/>
      <c r="F150" s="4"/>
      <c r="G150" s="214"/>
      <c r="H150" s="2"/>
      <c r="I150" s="4"/>
      <c r="J150" s="4"/>
      <c r="K150" s="2"/>
      <c r="L150" s="2"/>
    </row>
    <row r="151" spans="1:22" ht="15.65" customHeight="1">
      <c r="A151" s="4"/>
      <c r="B151" s="351" t="s">
        <v>352</v>
      </c>
      <c r="C151" s="351"/>
      <c r="D151" s="351"/>
      <c r="E151" s="351"/>
      <c r="F151" s="4"/>
      <c r="G151" s="214"/>
      <c r="H151" s="2"/>
      <c r="I151" s="4"/>
      <c r="J151" s="4"/>
      <c r="K151" s="2"/>
      <c r="L151" s="2"/>
    </row>
    <row r="152" spans="1:22" ht="15" outlineLevel="1">
      <c r="A152" s="4"/>
      <c r="B152" s="4"/>
      <c r="C152" s="214"/>
      <c r="D152" s="2"/>
      <c r="E152" s="4"/>
      <c r="F152" s="4"/>
      <c r="G152" s="214"/>
      <c r="H152" s="2"/>
      <c r="I152" s="4"/>
      <c r="J152" s="4"/>
      <c r="K152" s="2"/>
      <c r="L152" s="2"/>
    </row>
    <row r="153" spans="1:22" ht="15" outlineLevel="1">
      <c r="A153" s="4"/>
      <c r="B153" s="236" t="s">
        <v>305</v>
      </c>
      <c r="C153" s="231" t="str">
        <f>+C13</f>
        <v>Licensee 1</v>
      </c>
      <c r="D153" s="231" t="str">
        <f t="shared" ref="D153:J153" si="17">+D13</f>
        <v>Licensee 2</v>
      </c>
      <c r="E153" s="231" t="str">
        <f t="shared" si="17"/>
        <v>Licensee 3</v>
      </c>
      <c r="F153" s="231" t="str">
        <f t="shared" si="17"/>
        <v>Licensee 4</v>
      </c>
      <c r="G153" s="231" t="str">
        <f t="shared" si="17"/>
        <v>Licensee 5</v>
      </c>
      <c r="H153" s="231" t="str">
        <f t="shared" si="17"/>
        <v>Licensee 6</v>
      </c>
      <c r="I153" s="231" t="str">
        <f t="shared" si="17"/>
        <v>Non-regulated</v>
      </c>
      <c r="J153" s="231" t="str">
        <f t="shared" si="17"/>
        <v>Total</v>
      </c>
      <c r="K153" s="2"/>
      <c r="L153" s="2"/>
    </row>
    <row r="154" spans="1:22" ht="15.75" customHeight="1" outlineLevel="1">
      <c r="A154" s="4"/>
      <c r="B154" s="136" t="s">
        <v>353</v>
      </c>
      <c r="C154" s="314">
        <f>C123</f>
        <v>0</v>
      </c>
      <c r="D154" s="314">
        <f t="shared" ref="D154:I154" si="18">D123</f>
        <v>0</v>
      </c>
      <c r="E154" s="314">
        <f t="shared" si="18"/>
        <v>0</v>
      </c>
      <c r="F154" s="314">
        <f t="shared" si="18"/>
        <v>0</v>
      </c>
      <c r="G154" s="314">
        <f t="shared" si="18"/>
        <v>0</v>
      </c>
      <c r="H154" s="314">
        <f t="shared" si="18"/>
        <v>0</v>
      </c>
      <c r="I154" s="314">
        <f t="shared" si="18"/>
        <v>1</v>
      </c>
      <c r="J154" s="314">
        <f>SUM(C154:I154)</f>
        <v>1</v>
      </c>
      <c r="K154" s="2"/>
      <c r="L154" s="2"/>
    </row>
    <row r="155" spans="1:22" ht="15" outlineLevel="1">
      <c r="A155" s="4"/>
      <c r="B155" s="136" t="s">
        <v>354</v>
      </c>
      <c r="C155" s="314" t="e">
        <f>C148</f>
        <v>#DIV/0!</v>
      </c>
      <c r="D155" s="314" t="e">
        <f t="shared" ref="D155:I155" si="19">D148</f>
        <v>#DIV/0!</v>
      </c>
      <c r="E155" s="314" t="e">
        <f t="shared" si="19"/>
        <v>#DIV/0!</v>
      </c>
      <c r="F155" s="314" t="e">
        <f t="shared" si="19"/>
        <v>#DIV/0!</v>
      </c>
      <c r="G155" s="314" t="e">
        <f t="shared" si="19"/>
        <v>#DIV/0!</v>
      </c>
      <c r="H155" s="314" t="e">
        <f t="shared" si="19"/>
        <v>#DIV/0!</v>
      </c>
      <c r="I155" s="314" t="e">
        <f t="shared" si="19"/>
        <v>#DIV/0!</v>
      </c>
      <c r="J155" s="314" t="e">
        <f>SUM(C155:I155)</f>
        <v>#DIV/0!</v>
      </c>
      <c r="K155" s="2"/>
      <c r="L155" s="2"/>
    </row>
    <row r="156" spans="1:22" ht="15" outlineLevel="1">
      <c r="A156" s="4"/>
      <c r="B156" s="227" t="str">
        <f>CONCATENATE("Established Deficit at ",+D9)</f>
        <v>Established Deficit at 31 March 2025</v>
      </c>
      <c r="C156" s="336">
        <f>C154*'P1.2 PDAM Actuary provided data'!$D$109</f>
        <v>0</v>
      </c>
      <c r="D156" s="336">
        <f>D154*'P1.2 PDAM Actuary provided data'!$D$109</f>
        <v>0</v>
      </c>
      <c r="E156" s="336">
        <f>E154*'P1.2 PDAM Actuary provided data'!$D$109</f>
        <v>0</v>
      </c>
      <c r="F156" s="336">
        <f>F154*'P1.2 PDAM Actuary provided data'!$D$109</f>
        <v>0</v>
      </c>
      <c r="G156" s="336">
        <f>G154*'P1.2 PDAM Actuary provided data'!$D$109</f>
        <v>0</v>
      </c>
      <c r="H156" s="336">
        <f>H154*'P1.2 PDAM Actuary provided data'!$D$109</f>
        <v>0</v>
      </c>
      <c r="I156" s="336">
        <f>I154*'P1.2 PDAM Actuary provided data'!$D$109</f>
        <v>0</v>
      </c>
      <c r="J156" s="336">
        <f>SUM(C156:I156)</f>
        <v>0</v>
      </c>
      <c r="K156" s="2"/>
      <c r="L156" s="2"/>
    </row>
    <row r="157" spans="1:22" ht="15" outlineLevel="1">
      <c r="A157" s="4"/>
      <c r="B157" s="227" t="str">
        <f>CONCATENATE("Incremental Deficit at ",+D9)</f>
        <v>Incremental Deficit at 31 March 2025</v>
      </c>
      <c r="C157" s="336" t="e">
        <f>C155*'P1.2 PDAM Actuary provided data'!$D$111</f>
        <v>#DIV/0!</v>
      </c>
      <c r="D157" s="336" t="e">
        <f>D155*'P1.2 PDAM Actuary provided data'!$D$111</f>
        <v>#DIV/0!</v>
      </c>
      <c r="E157" s="336" t="e">
        <f>E155*'P1.2 PDAM Actuary provided data'!$D$111</f>
        <v>#DIV/0!</v>
      </c>
      <c r="F157" s="336" t="e">
        <f>F155*'P1.2 PDAM Actuary provided data'!$D$111</f>
        <v>#DIV/0!</v>
      </c>
      <c r="G157" s="336" t="e">
        <f>G155*'P1.2 PDAM Actuary provided data'!$D$111</f>
        <v>#DIV/0!</v>
      </c>
      <c r="H157" s="336" t="e">
        <f>H155*'P1.2 PDAM Actuary provided data'!$D$111</f>
        <v>#DIV/0!</v>
      </c>
      <c r="I157" s="336" t="e">
        <f>I155*'P1.2 PDAM Actuary provided data'!$D$111</f>
        <v>#DIV/0!</v>
      </c>
      <c r="J157" s="336" t="e">
        <f>SUM(C157:I157)</f>
        <v>#DIV/0!</v>
      </c>
      <c r="K157" s="2"/>
      <c r="L157" s="2"/>
    </row>
    <row r="158" spans="1:22" ht="15">
      <c r="A158" s="4"/>
      <c r="B158" s="4"/>
      <c r="C158" s="214"/>
      <c r="D158" s="2"/>
      <c r="E158" s="4"/>
      <c r="F158" s="4"/>
      <c r="G158" s="214"/>
      <c r="H158" s="2"/>
      <c r="I158" s="4"/>
      <c r="J158" s="4"/>
      <c r="K158" s="2"/>
      <c r="L158" s="2"/>
    </row>
    <row r="159" spans="1:22" s="19" customFormat="1" ht="15.5">
      <c r="A159" s="4"/>
      <c r="B159" s="30"/>
      <c r="C159" s="30"/>
      <c r="D159" s="30"/>
      <c r="E159" s="30"/>
      <c r="F159" s="30"/>
      <c r="G159" s="30"/>
      <c r="H159" s="30"/>
      <c r="I159" s="30"/>
      <c r="J159" s="30"/>
      <c r="K159" s="30"/>
      <c r="L159" s="30"/>
      <c r="M159" s="197"/>
      <c r="N159" s="197"/>
      <c r="O159" s="197"/>
      <c r="P159" s="197"/>
      <c r="Q159" s="197"/>
      <c r="R159" s="197"/>
      <c r="S159" s="197"/>
      <c r="T159" s="197"/>
      <c r="U159" s="197"/>
      <c r="V159" s="65"/>
    </row>
    <row r="160" spans="1:22" s="19" customFormat="1" ht="14.5">
      <c r="A160" s="4"/>
      <c r="B160" s="31"/>
      <c r="C160" s="237"/>
      <c r="D160" s="237"/>
      <c r="E160" s="237"/>
      <c r="F160" s="237"/>
      <c r="G160" s="237"/>
      <c r="H160" s="237"/>
      <c r="I160" s="237"/>
      <c r="J160" s="237"/>
      <c r="K160" s="238"/>
      <c r="L160" s="238"/>
      <c r="M160" s="197"/>
      <c r="N160" s="197"/>
      <c r="O160" s="197"/>
      <c r="P160" s="197"/>
      <c r="Q160" s="197"/>
      <c r="R160" s="197"/>
      <c r="S160" s="197"/>
      <c r="T160" s="197"/>
      <c r="U160" s="197"/>
      <c r="V160" s="65"/>
    </row>
    <row r="161" spans="1:22" s="19" customFormat="1" ht="15" customHeight="1">
      <c r="A161" s="4"/>
      <c r="B161" s="347"/>
      <c r="C161" s="347"/>
      <c r="D161" s="347"/>
      <c r="E161" s="347"/>
      <c r="F161" s="347"/>
      <c r="G161" s="347"/>
      <c r="H161" s="347"/>
      <c r="I161" s="347"/>
      <c r="J161" s="347"/>
      <c r="K161" s="238"/>
      <c r="L161" s="238"/>
      <c r="M161" s="197"/>
      <c r="N161" s="197"/>
      <c r="O161" s="197"/>
      <c r="P161" s="197"/>
      <c r="Q161" s="197"/>
      <c r="R161" s="197"/>
      <c r="S161" s="197"/>
      <c r="T161" s="197"/>
      <c r="U161" s="197"/>
      <c r="V161" s="65"/>
    </row>
    <row r="162" spans="1:22" s="19" customFormat="1" ht="15" customHeight="1">
      <c r="A162" s="4"/>
      <c r="B162" s="347"/>
      <c r="C162" s="347"/>
      <c r="D162" s="347"/>
      <c r="E162" s="347"/>
      <c r="F162" s="347"/>
      <c r="G162" s="347"/>
      <c r="H162" s="347"/>
      <c r="I162" s="347"/>
      <c r="J162" s="347"/>
      <c r="K162" s="238"/>
      <c r="L162" s="238"/>
      <c r="M162" s="197"/>
      <c r="N162" s="197"/>
      <c r="O162" s="197"/>
      <c r="P162" s="197"/>
      <c r="Q162" s="197"/>
      <c r="R162" s="197"/>
      <c r="S162" s="197"/>
      <c r="T162" s="197"/>
      <c r="U162" s="197"/>
      <c r="V162" s="65"/>
    </row>
    <row r="163" spans="1:22" s="19" customFormat="1" ht="15" customHeight="1">
      <c r="A163" s="4"/>
      <c r="B163" s="347"/>
      <c r="C163" s="347"/>
      <c r="D163" s="347"/>
      <c r="E163" s="347"/>
      <c r="F163" s="347"/>
      <c r="G163" s="347"/>
      <c r="H163" s="347"/>
      <c r="I163" s="347"/>
      <c r="J163" s="347"/>
      <c r="K163" s="238"/>
      <c r="L163" s="238"/>
      <c r="M163" s="197"/>
      <c r="N163" s="197"/>
      <c r="O163" s="197"/>
      <c r="P163" s="197"/>
      <c r="Q163" s="197"/>
      <c r="R163" s="197"/>
      <c r="S163" s="197"/>
      <c r="T163" s="197"/>
      <c r="U163" s="197"/>
      <c r="V163" s="65"/>
    </row>
    <row r="164" spans="1:22" s="19" customFormat="1" ht="15" customHeight="1">
      <c r="A164" s="4"/>
      <c r="B164" s="347"/>
      <c r="C164" s="347"/>
      <c r="D164" s="347"/>
      <c r="E164" s="347"/>
      <c r="F164" s="347"/>
      <c r="G164" s="347"/>
      <c r="H164" s="347"/>
      <c r="I164" s="347"/>
      <c r="J164" s="347"/>
      <c r="K164" s="238"/>
      <c r="L164" s="238"/>
      <c r="M164" s="197"/>
      <c r="N164" s="197"/>
      <c r="O164" s="197"/>
      <c r="P164" s="197"/>
      <c r="Q164" s="197"/>
      <c r="R164" s="197"/>
      <c r="S164" s="197"/>
      <c r="T164" s="197"/>
      <c r="U164" s="197"/>
      <c r="V164" s="65"/>
    </row>
    <row r="165" spans="1:22" s="19" customFormat="1" ht="15" customHeight="1">
      <c r="A165" s="4"/>
      <c r="B165" s="347"/>
      <c r="C165" s="347"/>
      <c r="D165" s="347"/>
      <c r="E165" s="347"/>
      <c r="F165" s="347"/>
      <c r="G165" s="347"/>
      <c r="H165" s="347"/>
      <c r="I165" s="347"/>
      <c r="J165" s="347"/>
      <c r="K165" s="238"/>
      <c r="L165" s="238"/>
      <c r="M165" s="197"/>
      <c r="N165" s="197"/>
      <c r="O165" s="197"/>
      <c r="P165" s="197"/>
      <c r="Q165" s="197"/>
      <c r="R165" s="197"/>
      <c r="S165" s="197"/>
      <c r="T165" s="197"/>
      <c r="U165" s="197"/>
      <c r="V165" s="65"/>
    </row>
    <row r="166" spans="1:22" s="19" customFormat="1" ht="15" customHeight="1">
      <c r="A166" s="4"/>
      <c r="B166" s="237"/>
      <c r="C166" s="237"/>
      <c r="D166" s="237"/>
      <c r="E166" s="237"/>
      <c r="F166" s="237"/>
      <c r="G166" s="237"/>
      <c r="H166" s="237"/>
      <c r="I166" s="237"/>
      <c r="J166" s="237"/>
      <c r="K166" s="238"/>
      <c r="L166" s="238"/>
      <c r="M166" s="197"/>
      <c r="N166" s="197"/>
      <c r="O166" s="197"/>
      <c r="P166" s="197"/>
      <c r="Q166" s="197"/>
      <c r="R166" s="197"/>
      <c r="S166" s="197"/>
      <c r="T166" s="197"/>
      <c r="U166" s="197"/>
      <c r="V166" s="65"/>
    </row>
    <row r="167" spans="1:22" s="19" customFormat="1" ht="32.25" customHeight="1">
      <c r="A167" s="4"/>
      <c r="B167" s="347"/>
      <c r="C167" s="347"/>
      <c r="D167" s="347"/>
      <c r="E167" s="347"/>
      <c r="F167" s="347"/>
      <c r="G167" s="347"/>
      <c r="H167" s="347"/>
      <c r="I167" s="347"/>
      <c r="J167" s="347"/>
      <c r="K167" s="238"/>
      <c r="L167" s="238"/>
      <c r="M167" s="197"/>
      <c r="N167" s="197"/>
      <c r="O167" s="197"/>
      <c r="P167" s="197"/>
      <c r="Q167" s="197"/>
      <c r="R167" s="197"/>
      <c r="S167" s="197"/>
      <c r="T167" s="197"/>
      <c r="U167" s="197"/>
      <c r="V167" s="65"/>
    </row>
    <row r="168" spans="1:22" s="19" customFormat="1" ht="14.5">
      <c r="A168" s="4"/>
      <c r="B168" s="237"/>
      <c r="C168" s="237"/>
      <c r="D168" s="237"/>
      <c r="E168" s="237"/>
      <c r="F168" s="237"/>
      <c r="G168" s="237"/>
      <c r="H168" s="237"/>
      <c r="I168" s="237"/>
      <c r="J168" s="237"/>
      <c r="K168" s="238"/>
      <c r="L168" s="238"/>
      <c r="M168" s="197"/>
      <c r="N168" s="197"/>
      <c r="O168" s="197"/>
      <c r="P168" s="197"/>
      <c r="Q168" s="197"/>
      <c r="R168" s="197"/>
      <c r="S168" s="197"/>
      <c r="T168" s="197"/>
      <c r="U168" s="197"/>
      <c r="V168" s="65"/>
    </row>
    <row r="169" spans="1:22" s="19" customFormat="1" ht="14.5">
      <c r="A169" s="4"/>
      <c r="B169" s="31"/>
      <c r="C169" s="237"/>
      <c r="D169" s="237"/>
      <c r="E169" s="237"/>
      <c r="F169" s="237"/>
      <c r="G169" s="237"/>
      <c r="H169" s="237"/>
      <c r="I169" s="237"/>
      <c r="J169" s="237"/>
      <c r="K169" s="238"/>
      <c r="L169" s="238"/>
      <c r="M169" s="197"/>
      <c r="N169" s="197"/>
      <c r="O169" s="197"/>
      <c r="P169" s="197"/>
      <c r="Q169" s="197"/>
      <c r="R169" s="197"/>
      <c r="S169" s="197"/>
      <c r="T169" s="197"/>
      <c r="U169" s="197"/>
      <c r="V169" s="65"/>
    </row>
    <row r="170" spans="1:22" s="19" customFormat="1" ht="14.5">
      <c r="A170" s="4"/>
      <c r="B170" s="239"/>
      <c r="C170" s="237"/>
      <c r="D170" s="237"/>
      <c r="E170" s="237"/>
      <c r="F170" s="237"/>
      <c r="G170" s="237"/>
      <c r="H170" s="237"/>
      <c r="I170" s="237"/>
      <c r="J170" s="237"/>
      <c r="K170" s="238"/>
      <c r="L170" s="238"/>
      <c r="M170" s="197"/>
      <c r="N170" s="197"/>
      <c r="O170" s="197"/>
      <c r="P170" s="197"/>
      <c r="Q170" s="197"/>
      <c r="R170" s="197"/>
      <c r="S170" s="197"/>
      <c r="T170" s="197"/>
      <c r="U170" s="197"/>
      <c r="V170" s="65"/>
    </row>
    <row r="171" spans="1:22" s="19" customFormat="1" ht="14.5">
      <c r="A171" s="4"/>
      <c r="B171" s="32"/>
      <c r="C171" s="237"/>
      <c r="D171" s="237"/>
      <c r="E171" s="237"/>
      <c r="F171" s="237"/>
      <c r="G171" s="237"/>
      <c r="H171" s="237"/>
      <c r="I171" s="237"/>
      <c r="J171" s="237"/>
      <c r="K171" s="238"/>
      <c r="L171" s="238"/>
      <c r="M171" s="197"/>
      <c r="N171" s="197"/>
      <c r="O171" s="197"/>
      <c r="P171" s="197"/>
      <c r="Q171" s="197"/>
      <c r="R171" s="197"/>
      <c r="S171" s="197"/>
      <c r="T171" s="197"/>
      <c r="U171" s="197"/>
      <c r="V171" s="65"/>
    </row>
    <row r="172" spans="1:22" s="19" customFormat="1" ht="14.5">
      <c r="A172" s="4"/>
      <c r="B172" s="239"/>
      <c r="C172" s="237"/>
      <c r="D172" s="237"/>
      <c r="E172" s="237"/>
      <c r="F172" s="237"/>
      <c r="G172" s="237"/>
      <c r="H172" s="237"/>
      <c r="I172" s="237"/>
      <c r="J172" s="237"/>
      <c r="K172" s="238"/>
      <c r="L172" s="238"/>
      <c r="M172" s="197"/>
      <c r="N172" s="197"/>
      <c r="O172" s="197"/>
      <c r="P172" s="197"/>
      <c r="Q172" s="197"/>
      <c r="R172" s="197"/>
      <c r="S172" s="197"/>
      <c r="T172" s="197"/>
      <c r="U172" s="197"/>
      <c r="V172" s="65"/>
    </row>
    <row r="173" spans="1:22" s="19" customFormat="1" ht="14.5">
      <c r="A173" s="4"/>
      <c r="B173" s="347"/>
      <c r="C173" s="347"/>
      <c r="D173" s="347"/>
      <c r="E173" s="347"/>
      <c r="F173" s="347"/>
      <c r="G173" s="347"/>
      <c r="H173" s="347"/>
      <c r="I173" s="347"/>
      <c r="J173" s="347"/>
      <c r="K173" s="238"/>
      <c r="L173" s="238"/>
      <c r="M173" s="197"/>
      <c r="N173" s="197"/>
      <c r="O173" s="197"/>
      <c r="P173" s="197"/>
      <c r="Q173" s="197"/>
      <c r="R173" s="197"/>
      <c r="S173" s="197"/>
      <c r="T173" s="197"/>
      <c r="U173" s="197"/>
      <c r="V173" s="65"/>
    </row>
    <row r="174" spans="1:22" s="19" customFormat="1" ht="14.5">
      <c r="A174" s="4"/>
      <c r="B174" s="347"/>
      <c r="C174" s="347"/>
      <c r="D174" s="347"/>
      <c r="E174" s="347"/>
      <c r="F174" s="347"/>
      <c r="G174" s="347"/>
      <c r="H174" s="347"/>
      <c r="I174" s="347"/>
      <c r="J174" s="347"/>
      <c r="K174" s="238"/>
      <c r="L174" s="238"/>
      <c r="M174" s="197"/>
      <c r="N174" s="197"/>
      <c r="O174" s="197"/>
      <c r="P174" s="197"/>
      <c r="Q174" s="197"/>
      <c r="R174" s="197"/>
      <c r="S174" s="197"/>
      <c r="T174" s="197"/>
      <c r="U174" s="197"/>
      <c r="V174" s="65"/>
    </row>
    <row r="175" spans="1:22" s="19" customFormat="1" ht="14.5">
      <c r="A175" s="4"/>
      <c r="B175" s="348"/>
      <c r="C175" s="348"/>
      <c r="D175" s="348"/>
      <c r="E175" s="348"/>
      <c r="F175" s="348"/>
      <c r="G175" s="348"/>
      <c r="H175" s="348"/>
      <c r="I175" s="348"/>
      <c r="J175" s="348"/>
      <c r="K175" s="238"/>
      <c r="L175" s="238"/>
      <c r="M175" s="197"/>
      <c r="N175" s="197"/>
      <c r="O175" s="197"/>
      <c r="P175" s="197"/>
      <c r="Q175" s="197"/>
      <c r="R175" s="197"/>
      <c r="S175" s="197"/>
      <c r="T175" s="197"/>
      <c r="U175" s="197"/>
      <c r="V175" s="65"/>
    </row>
    <row r="176" spans="1:22" ht="14.5">
      <c r="A176" s="4"/>
      <c r="B176" s="348"/>
      <c r="C176" s="348"/>
      <c r="D176" s="348"/>
      <c r="E176" s="348"/>
      <c r="F176" s="348"/>
      <c r="G176" s="348"/>
      <c r="H176" s="348"/>
      <c r="I176" s="348"/>
      <c r="J176" s="348"/>
      <c r="K176" s="238"/>
      <c r="L176" s="238"/>
    </row>
  </sheetData>
  <mergeCells count="19">
    <mergeCell ref="D6:J6"/>
    <mergeCell ref="B11:E11"/>
    <mergeCell ref="D23:E23"/>
    <mergeCell ref="G23:H23"/>
    <mergeCell ref="J23:K23"/>
    <mergeCell ref="D8:E8"/>
    <mergeCell ref="B173:J174"/>
    <mergeCell ref="B175:J176"/>
    <mergeCell ref="B167:J167"/>
    <mergeCell ref="D9:E9"/>
    <mergeCell ref="B151:E151"/>
    <mergeCell ref="B126:E126"/>
    <mergeCell ref="B132:E132"/>
    <mergeCell ref="B161:J162"/>
    <mergeCell ref="B163:J165"/>
    <mergeCell ref="B98:E98"/>
    <mergeCell ref="C76:E76"/>
    <mergeCell ref="C54:E54"/>
    <mergeCell ref="C32:E32"/>
  </mergeCells>
  <phoneticPr fontId="21" type="noConversion"/>
  <dataValidations count="1">
    <dataValidation type="list" allowBlank="1" showInputMessage="1" showErrorMessage="1" sqref="C20" xr:uid="{00000000-0002-0000-0400-000000000000}">
      <formula1>"Yes,No"</formula1>
    </dataValidation>
  </dataValidations>
  <pageMargins left="0.70866141732283472" right="0.70866141732283472" top="0.74803149606299213" bottom="0.74803149606299213" header="0.31496062992125984" footer="0.31496062992125984"/>
  <pageSetup paperSize="8" scale="38" orientation="portrait" r:id="rId1"/>
  <headerFooter>
    <oddFooter>&amp;C_x000D_&amp;1#&amp;"Calibri"&amp;10&amp;K000000 OFFICIAL-InternalOnly</oddFooter>
  </headerFooter>
  <rowBreaks count="1" manualBreakCount="1">
    <brk id="122"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7" tint="0.59999389629810485"/>
    <pageSetUpPr fitToPage="1"/>
  </sheetPr>
  <dimension ref="A1:J163"/>
  <sheetViews>
    <sheetView showGridLines="0" zoomScale="80" zoomScaleNormal="80" workbookViewId="0">
      <selection activeCell="F22" sqref="F22"/>
    </sheetView>
  </sheetViews>
  <sheetFormatPr defaultColWidth="9.1796875" defaultRowHeight="14.5" outlineLevelRow="1"/>
  <cols>
    <col min="1" max="1" width="10.81640625" customWidth="1"/>
    <col min="2" max="2" width="79.54296875" bestFit="1" customWidth="1"/>
    <col min="3" max="5" width="11.26953125" customWidth="1"/>
    <col min="6" max="6" width="60.54296875" customWidth="1"/>
    <col min="7" max="8" width="11.26953125" customWidth="1"/>
    <col min="9" max="9" width="12" customWidth="1"/>
    <col min="10" max="10" width="11.26953125" customWidth="1"/>
    <col min="15" max="15" width="12.81640625" customWidth="1"/>
  </cols>
  <sheetData>
    <row r="1" spans="1:6" ht="25">
      <c r="A1" s="79" t="s">
        <v>355</v>
      </c>
      <c r="B1" s="79"/>
      <c r="C1" s="21"/>
      <c r="D1" s="22"/>
      <c r="E1" s="22"/>
      <c r="F1" s="22"/>
    </row>
    <row r="2" spans="1:6" ht="30.75" customHeight="1">
      <c r="A2" s="79" t="str">
        <f>+'Pension Pack cover'!D12</f>
        <v>NGED (Central Networks ESPS)</v>
      </c>
      <c r="B2" s="135"/>
      <c r="C2" s="21"/>
      <c r="D2" s="22"/>
      <c r="E2" s="22"/>
      <c r="F2" s="22"/>
    </row>
    <row r="3" spans="1:6" ht="25">
      <c r="A3" s="79">
        <f>+'Pension Pack cover'!D24</f>
        <v>2026</v>
      </c>
      <c r="B3" s="135"/>
      <c r="C3" s="21"/>
      <c r="D3" s="22"/>
      <c r="E3" s="22"/>
      <c r="F3" s="22"/>
    </row>
    <row r="4" spans="1:6" ht="15.5">
      <c r="A4" s="6" t="s">
        <v>356</v>
      </c>
      <c r="B4" s="6"/>
      <c r="C4" s="240"/>
      <c r="D4" s="241"/>
      <c r="E4" s="242"/>
      <c r="F4" s="242"/>
    </row>
    <row r="5" spans="1:6" ht="15.5">
      <c r="A5" s="4"/>
      <c r="B5" s="4"/>
      <c r="C5" s="214"/>
      <c r="D5" s="241"/>
      <c r="E5" s="242"/>
      <c r="F5" s="242"/>
    </row>
    <row r="6" spans="1:6" ht="15" customHeight="1">
      <c r="A6" s="4"/>
      <c r="B6" s="243" t="s">
        <v>300</v>
      </c>
      <c r="C6" s="214"/>
      <c r="D6" s="361" t="str">
        <f>'P1.1 PDAM Licensee provided'!D6:J6</f>
        <v>CGPS</v>
      </c>
      <c r="E6" s="362"/>
      <c r="F6" s="362"/>
    </row>
    <row r="7" spans="1:6" ht="15.5">
      <c r="A7" s="4"/>
      <c r="B7" s="4"/>
      <c r="C7" s="214"/>
      <c r="D7" s="241"/>
      <c r="E7" s="242"/>
      <c r="F7" s="242"/>
    </row>
    <row r="8" spans="1:6" ht="15.5">
      <c r="A8" s="244" t="str">
        <f>CONCATENATE("Section A - Assets and Liabilities at ",'P1.1 PDAM Licensee provided'!D8," valuation")</f>
        <v>Section A - Assets and Liabilities at 31 March 2022 valuation</v>
      </c>
      <c r="B8" s="4"/>
      <c r="C8" s="214"/>
      <c r="D8" s="241"/>
      <c r="E8" s="242"/>
      <c r="F8" s="242"/>
    </row>
    <row r="9" spans="1:6" outlineLevel="1">
      <c r="A9" s="4"/>
      <c r="B9" s="4"/>
      <c r="C9" s="214"/>
      <c r="D9" s="4"/>
      <c r="E9" s="242"/>
      <c r="F9" s="242"/>
    </row>
    <row r="10" spans="1:6" ht="15.5" outlineLevel="1">
      <c r="A10" s="245"/>
      <c r="B10" s="243" t="s">
        <v>357</v>
      </c>
      <c r="C10" s="246" t="s">
        <v>317</v>
      </c>
      <c r="D10" s="299">
        <v>0</v>
      </c>
      <c r="E10" s="242"/>
      <c r="F10" s="242"/>
    </row>
    <row r="11" spans="1:6" ht="15.5" outlineLevel="1">
      <c r="A11" s="245"/>
      <c r="B11" s="243" t="s">
        <v>358</v>
      </c>
      <c r="C11" s="246" t="s">
        <v>317</v>
      </c>
      <c r="D11" s="299">
        <v>0</v>
      </c>
      <c r="E11" s="242"/>
      <c r="F11" s="242"/>
    </row>
    <row r="12" spans="1:6" ht="15.5" outlineLevel="1">
      <c r="A12" s="245"/>
      <c r="B12" s="247" t="str">
        <f>CONCATENATE("Scheme surplus (+ve)/ deficit (-ve) at ",'P1.1 PDAM Licensee provided'!D8)</f>
        <v>Scheme surplus (+ve)/ deficit (-ve) at 31 March 2022</v>
      </c>
      <c r="C12" s="246" t="s">
        <v>317</v>
      </c>
      <c r="D12" s="338">
        <f>SUM(D10:D11)</f>
        <v>0</v>
      </c>
      <c r="E12" s="242"/>
      <c r="F12" s="242"/>
    </row>
    <row r="13" spans="1:6" ht="15.5">
      <c r="A13" s="4"/>
      <c r="B13" s="4"/>
      <c r="C13" s="214"/>
      <c r="D13" s="241"/>
      <c r="E13" s="242"/>
      <c r="F13" s="242"/>
    </row>
    <row r="14" spans="1:6" ht="15.5">
      <c r="A14" s="244" t="str">
        <f>CONCATENATE("Section B - Assets and Liabilities at ",'P1.1 PDAM Licensee provided'!D9," valuation")</f>
        <v>Section B - Assets and Liabilities at 31 March 2025 valuation</v>
      </c>
      <c r="B14" s="4"/>
      <c r="C14" s="214"/>
      <c r="D14" s="241"/>
      <c r="E14" s="242"/>
      <c r="F14" s="242"/>
    </row>
    <row r="15" spans="1:6" ht="15.5" outlineLevel="1">
      <c r="A15" s="4"/>
      <c r="B15" s="4"/>
      <c r="C15" s="214"/>
      <c r="D15" s="241"/>
      <c r="E15" s="242"/>
      <c r="F15" s="242"/>
    </row>
    <row r="16" spans="1:6" outlineLevel="1">
      <c r="A16" s="4"/>
      <c r="B16" s="243" t="s">
        <v>357</v>
      </c>
      <c r="C16" s="246" t="s">
        <v>317</v>
      </c>
      <c r="D16" s="299">
        <v>0</v>
      </c>
      <c r="E16" s="242"/>
      <c r="F16" s="242"/>
    </row>
    <row r="17" spans="1:6" outlineLevel="1">
      <c r="A17" s="4"/>
      <c r="B17" s="243" t="s">
        <v>359</v>
      </c>
      <c r="C17" s="246" t="s">
        <v>317</v>
      </c>
      <c r="D17" s="299">
        <v>0</v>
      </c>
      <c r="E17" s="242"/>
      <c r="F17" s="242"/>
    </row>
    <row r="18" spans="1:6" outlineLevel="1">
      <c r="A18" s="4"/>
      <c r="B18" s="243" t="s">
        <v>360</v>
      </c>
      <c r="C18" s="246" t="s">
        <v>317</v>
      </c>
      <c r="D18" s="299">
        <v>0</v>
      </c>
      <c r="E18" s="242"/>
      <c r="F18" s="242"/>
    </row>
    <row r="19" spans="1:6" outlineLevel="1">
      <c r="A19" s="4"/>
      <c r="B19" s="243" t="s">
        <v>361</v>
      </c>
      <c r="C19" s="246" t="s">
        <v>317</v>
      </c>
      <c r="D19" s="299">
        <v>0</v>
      </c>
      <c r="E19" s="242"/>
      <c r="F19" s="242"/>
    </row>
    <row r="20" spans="1:6" outlineLevel="1">
      <c r="A20" s="4"/>
      <c r="B20" s="243" t="s">
        <v>362</v>
      </c>
      <c r="C20" s="246" t="s">
        <v>317</v>
      </c>
      <c r="D20" s="338">
        <f>SUM(D17:D19)</f>
        <v>0</v>
      </c>
      <c r="E20" s="242"/>
      <c r="F20" s="242"/>
    </row>
    <row r="21" spans="1:6" outlineLevel="1">
      <c r="A21" s="4"/>
      <c r="B21" s="247" t="str">
        <f>CONCATENATE("Scheme surplus (+ve)/ deficit (-ve) at ",'P1.1 PDAM Licensee provided'!D9)</f>
        <v>Scheme surplus (+ve)/ deficit (-ve) at 31 March 2025</v>
      </c>
      <c r="C21" s="246" t="s">
        <v>317</v>
      </c>
      <c r="D21" s="338">
        <f>D16+D20</f>
        <v>0</v>
      </c>
      <c r="E21" s="242"/>
      <c r="F21" s="242"/>
    </row>
    <row r="22" spans="1:6">
      <c r="A22" s="4"/>
      <c r="B22" s="247"/>
      <c r="C22" s="246"/>
      <c r="D22" s="246"/>
      <c r="E22" s="246"/>
      <c r="F22" s="242"/>
    </row>
    <row r="23" spans="1:6">
      <c r="A23" s="351" t="s">
        <v>363</v>
      </c>
      <c r="B23" s="351"/>
      <c r="C23" s="351"/>
      <c r="D23" s="351"/>
      <c r="E23" s="242"/>
      <c r="F23" s="242"/>
    </row>
    <row r="24" spans="1:6" ht="15.5" outlineLevel="1">
      <c r="A24" s="4"/>
      <c r="B24" s="4"/>
      <c r="C24" s="214"/>
      <c r="D24" s="241"/>
      <c r="E24" s="242"/>
      <c r="F24" s="242"/>
    </row>
    <row r="25" spans="1:6" outlineLevel="1">
      <c r="A25" s="4"/>
      <c r="B25" s="243" t="str">
        <f>CONCATENATE("Scheme surplus (+ve)/ deficit (-ve) at ",'P1.1 PDAM Licensee provided'!D8)</f>
        <v>Scheme surplus (+ve)/ deficit (-ve) at 31 March 2022</v>
      </c>
      <c r="C25" s="246" t="s">
        <v>317</v>
      </c>
      <c r="D25" s="338">
        <f>D12</f>
        <v>0</v>
      </c>
      <c r="E25" s="242"/>
      <c r="F25" s="242"/>
    </row>
    <row r="26" spans="1:6" outlineLevel="1">
      <c r="A26" s="4"/>
      <c r="B26" s="90" t="s">
        <v>364</v>
      </c>
      <c r="C26" s="246" t="s">
        <v>317</v>
      </c>
      <c r="D26" s="299">
        <v>0</v>
      </c>
      <c r="E26" s="242"/>
      <c r="F26" s="242"/>
    </row>
    <row r="27" spans="1:6" outlineLevel="1">
      <c r="A27" s="4"/>
      <c r="B27" s="90" t="s">
        <v>365</v>
      </c>
      <c r="C27" s="246" t="s">
        <v>317</v>
      </c>
      <c r="D27" s="299">
        <v>0</v>
      </c>
      <c r="E27" s="242"/>
      <c r="F27" s="242"/>
    </row>
    <row r="28" spans="1:6" outlineLevel="1">
      <c r="A28" s="4"/>
      <c r="B28" s="90" t="s">
        <v>366</v>
      </c>
      <c r="C28" s="246" t="s">
        <v>317</v>
      </c>
      <c r="D28" s="299">
        <v>0</v>
      </c>
      <c r="E28" s="242"/>
      <c r="F28" s="242"/>
    </row>
    <row r="29" spans="1:6" outlineLevel="1">
      <c r="A29" s="4"/>
      <c r="B29" s="90" t="s">
        <v>367</v>
      </c>
      <c r="C29" s="246" t="s">
        <v>317</v>
      </c>
      <c r="D29" s="299">
        <v>0</v>
      </c>
      <c r="E29" s="242"/>
      <c r="F29" s="242"/>
    </row>
    <row r="30" spans="1:6" outlineLevel="1">
      <c r="A30" s="4"/>
      <c r="B30" s="90" t="s">
        <v>368</v>
      </c>
      <c r="C30" s="246" t="s">
        <v>317</v>
      </c>
      <c r="D30" s="299">
        <v>0</v>
      </c>
      <c r="E30" s="242"/>
      <c r="F30" s="242"/>
    </row>
    <row r="31" spans="1:6" outlineLevel="1">
      <c r="A31" s="4"/>
      <c r="B31" s="90" t="s">
        <v>369</v>
      </c>
      <c r="C31" s="246" t="s">
        <v>317</v>
      </c>
      <c r="D31" s="299">
        <v>0</v>
      </c>
      <c r="E31" s="242"/>
      <c r="F31" s="242"/>
    </row>
    <row r="32" spans="1:6" outlineLevel="1">
      <c r="A32" s="4"/>
      <c r="B32" s="90" t="s">
        <v>370</v>
      </c>
      <c r="C32" s="246" t="s">
        <v>317</v>
      </c>
      <c r="D32" s="299">
        <v>0</v>
      </c>
      <c r="E32" s="242"/>
      <c r="F32" s="242"/>
    </row>
    <row r="33" spans="1:6" outlineLevel="1">
      <c r="A33" s="4"/>
      <c r="B33" s="90" t="s">
        <v>371</v>
      </c>
      <c r="C33" s="246" t="s">
        <v>317</v>
      </c>
      <c r="D33" s="299">
        <v>0</v>
      </c>
      <c r="E33" s="242"/>
      <c r="F33" s="242"/>
    </row>
    <row r="34" spans="1:6" outlineLevel="1">
      <c r="A34" s="4"/>
      <c r="B34" s="90" t="s">
        <v>372</v>
      </c>
      <c r="C34" s="246" t="s">
        <v>317</v>
      </c>
      <c r="D34" s="299">
        <v>0</v>
      </c>
      <c r="E34" s="242"/>
      <c r="F34" s="242"/>
    </row>
    <row r="35" spans="1:6" outlineLevel="1">
      <c r="A35" s="4"/>
      <c r="B35" s="90" t="s">
        <v>373</v>
      </c>
      <c r="C35" s="246" t="s">
        <v>317</v>
      </c>
      <c r="D35" s="299">
        <v>0</v>
      </c>
      <c r="E35" s="242"/>
      <c r="F35" s="242"/>
    </row>
    <row r="36" spans="1:6" outlineLevel="1">
      <c r="A36" s="4"/>
      <c r="B36" s="300" t="s">
        <v>374</v>
      </c>
      <c r="C36" s="246" t="s">
        <v>317</v>
      </c>
      <c r="D36" s="299">
        <v>0</v>
      </c>
      <c r="E36" s="242"/>
      <c r="F36" s="242"/>
    </row>
    <row r="37" spans="1:6" outlineLevel="1">
      <c r="A37" s="4"/>
      <c r="B37" s="300" t="s">
        <v>374</v>
      </c>
      <c r="C37" s="246" t="s">
        <v>317</v>
      </c>
      <c r="D37" s="299">
        <v>0</v>
      </c>
      <c r="E37" s="242"/>
      <c r="F37" s="242"/>
    </row>
    <row r="38" spans="1:6" outlineLevel="1">
      <c r="A38" s="4"/>
      <c r="B38" s="300" t="s">
        <v>374</v>
      </c>
      <c r="C38" s="246" t="s">
        <v>317</v>
      </c>
      <c r="D38" s="299">
        <v>0</v>
      </c>
      <c r="E38" s="242"/>
      <c r="F38" s="242"/>
    </row>
    <row r="39" spans="1:6" outlineLevel="1">
      <c r="A39" s="4"/>
      <c r="B39" s="300" t="s">
        <v>374</v>
      </c>
      <c r="C39" s="246" t="s">
        <v>317</v>
      </c>
      <c r="D39" s="299">
        <v>0</v>
      </c>
      <c r="E39" s="242"/>
      <c r="F39" s="242"/>
    </row>
    <row r="40" spans="1:6" outlineLevel="1">
      <c r="A40" s="4"/>
      <c r="B40" s="300" t="s">
        <v>374</v>
      </c>
      <c r="C40" s="246" t="s">
        <v>317</v>
      </c>
      <c r="D40" s="299">
        <v>0</v>
      </c>
      <c r="E40" s="242"/>
      <c r="F40" s="242"/>
    </row>
    <row r="41" spans="1:6" outlineLevel="1">
      <c r="A41" s="4"/>
      <c r="B41" s="247" t="str">
        <f>CONCATENATE("Scheme surplus (+ve)/ deficit (-ve) at ",'P1.1 PDAM Licensee provided'!D9)</f>
        <v>Scheme surplus (+ve)/ deficit (-ve) at 31 March 2025</v>
      </c>
      <c r="C41" s="246" t="s">
        <v>317</v>
      </c>
      <c r="D41" s="338">
        <f>SUM(D25:D40)</f>
        <v>0</v>
      </c>
      <c r="E41" s="242"/>
      <c r="F41" s="242"/>
    </row>
    <row r="42" spans="1:6" outlineLevel="1">
      <c r="A42" s="4"/>
      <c r="B42" s="182" t="s">
        <v>375</v>
      </c>
      <c r="D42" s="248" t="str">
        <f>IF(D41-D21&lt;0.1,"OK","ERROR")</f>
        <v>OK</v>
      </c>
      <c r="E42" s="242"/>
      <c r="F42" s="242"/>
    </row>
    <row r="43" spans="1:6">
      <c r="A43" s="4"/>
      <c r="B43" s="247"/>
      <c r="C43" s="246"/>
      <c r="D43" s="246"/>
      <c r="E43" s="246"/>
      <c r="F43" s="242"/>
    </row>
    <row r="44" spans="1:6" ht="15.75" customHeight="1">
      <c r="A44" s="351" t="s">
        <v>376</v>
      </c>
      <c r="B44" s="351"/>
      <c r="C44" s="363"/>
      <c r="D44" s="363"/>
      <c r="E44" s="242"/>
      <c r="F44" s="242"/>
    </row>
    <row r="45" spans="1:6" outlineLevel="1">
      <c r="A45" s="4"/>
      <c r="B45" s="4"/>
      <c r="C45" s="246"/>
      <c r="D45" s="249" t="s">
        <v>377</v>
      </c>
      <c r="E45" s="242"/>
      <c r="F45" s="242"/>
    </row>
    <row r="46" spans="1:6" ht="18.75" customHeight="1" outlineLevel="1">
      <c r="A46" s="4"/>
      <c r="B46" s="179" t="str">
        <f>CONCATENATE("Liabilities at ",+'P1.1 PDAM Licensee provided'!D8)</f>
        <v>Liabilities at 31 March 2022</v>
      </c>
      <c r="C46" s="246" t="s">
        <v>317</v>
      </c>
      <c r="D46" s="338">
        <f>-D11</f>
        <v>0</v>
      </c>
      <c r="E46" s="242"/>
      <c r="F46" s="242"/>
    </row>
    <row r="47" spans="1:6" outlineLevel="1">
      <c r="A47" s="250" t="s">
        <v>378</v>
      </c>
      <c r="B47" s="251" t="s">
        <v>379</v>
      </c>
      <c r="C47" s="246" t="s">
        <v>317</v>
      </c>
      <c r="D47" s="299">
        <v>0</v>
      </c>
      <c r="E47" s="242"/>
      <c r="F47" s="242"/>
    </row>
    <row r="48" spans="1:6" outlineLevel="1">
      <c r="A48" s="250" t="s">
        <v>378</v>
      </c>
      <c r="B48" s="251" t="s">
        <v>380</v>
      </c>
      <c r="C48" s="246" t="s">
        <v>317</v>
      </c>
      <c r="D48" s="299">
        <v>0</v>
      </c>
      <c r="E48" s="242"/>
      <c r="F48" s="242"/>
    </row>
    <row r="49" spans="1:6" outlineLevel="1">
      <c r="A49" s="250" t="s">
        <v>378</v>
      </c>
      <c r="B49" s="17" t="s">
        <v>381</v>
      </c>
      <c r="C49" s="246" t="s">
        <v>317</v>
      </c>
      <c r="D49" s="299">
        <v>0</v>
      </c>
      <c r="E49" s="242"/>
      <c r="F49" s="242"/>
    </row>
    <row r="50" spans="1:6" outlineLevel="1">
      <c r="A50" s="250" t="s">
        <v>382</v>
      </c>
      <c r="B50" s="251" t="s">
        <v>383</v>
      </c>
      <c r="C50" s="246" t="s">
        <v>317</v>
      </c>
      <c r="D50" s="299">
        <v>0</v>
      </c>
      <c r="E50" s="242"/>
      <c r="F50" s="242"/>
    </row>
    <row r="51" spans="1:6" outlineLevel="1">
      <c r="A51" s="250" t="s">
        <v>382</v>
      </c>
      <c r="B51" s="251" t="s">
        <v>384</v>
      </c>
      <c r="C51" s="246" t="s">
        <v>317</v>
      </c>
      <c r="D51" s="299">
        <v>0</v>
      </c>
      <c r="E51" s="242"/>
      <c r="F51" s="242"/>
    </row>
    <row r="52" spans="1:6" outlineLevel="1">
      <c r="A52" s="250" t="s">
        <v>378</v>
      </c>
      <c r="B52" s="17" t="s">
        <v>385</v>
      </c>
      <c r="C52" s="246" t="s">
        <v>317</v>
      </c>
      <c r="D52" s="299">
        <v>0</v>
      </c>
      <c r="E52" s="242"/>
      <c r="F52" s="242"/>
    </row>
    <row r="53" spans="1:6" outlineLevel="1">
      <c r="A53" s="250" t="s">
        <v>382</v>
      </c>
      <c r="B53" s="17" t="s">
        <v>386</v>
      </c>
      <c r="C53" s="246" t="s">
        <v>317</v>
      </c>
      <c r="D53" s="299">
        <v>0</v>
      </c>
      <c r="E53" s="242"/>
      <c r="F53" s="242"/>
    </row>
    <row r="54" spans="1:6" outlineLevel="1">
      <c r="A54" s="250" t="s">
        <v>378</v>
      </c>
      <c r="B54" s="251" t="s">
        <v>387</v>
      </c>
      <c r="C54" s="246" t="s">
        <v>317</v>
      </c>
      <c r="D54" s="299">
        <v>0</v>
      </c>
      <c r="E54" s="242"/>
      <c r="F54" s="242"/>
    </row>
    <row r="55" spans="1:6" outlineLevel="1">
      <c r="A55" s="250" t="s">
        <v>388</v>
      </c>
      <c r="B55" s="251" t="s">
        <v>389</v>
      </c>
      <c r="C55" s="246" t="s">
        <v>317</v>
      </c>
      <c r="D55" s="299">
        <v>0</v>
      </c>
      <c r="E55" s="242"/>
      <c r="F55" s="242"/>
    </row>
    <row r="56" spans="1:6" outlineLevel="1">
      <c r="A56" s="250" t="s">
        <v>388</v>
      </c>
      <c r="B56" s="251" t="s">
        <v>390</v>
      </c>
      <c r="C56" s="246" t="s">
        <v>317</v>
      </c>
      <c r="D56" s="299">
        <v>0</v>
      </c>
      <c r="E56" s="242"/>
      <c r="F56" s="242"/>
    </row>
    <row r="57" spans="1:6" outlineLevel="1">
      <c r="A57" s="250" t="s">
        <v>388</v>
      </c>
      <c r="B57" s="252" t="s">
        <v>391</v>
      </c>
      <c r="C57" s="246" t="s">
        <v>317</v>
      </c>
      <c r="D57" s="299">
        <v>0</v>
      </c>
      <c r="E57" s="242"/>
      <c r="F57" s="242"/>
    </row>
    <row r="58" spans="1:6" outlineLevel="1">
      <c r="A58" s="250" t="s">
        <v>388</v>
      </c>
      <c r="B58" s="252" t="s">
        <v>392</v>
      </c>
      <c r="C58" s="246" t="s">
        <v>317</v>
      </c>
      <c r="D58" s="299">
        <v>0</v>
      </c>
      <c r="E58" s="242"/>
      <c r="F58" s="242"/>
    </row>
    <row r="59" spans="1:6" outlineLevel="1">
      <c r="A59" s="250" t="s">
        <v>388</v>
      </c>
      <c r="B59" s="252" t="s">
        <v>393</v>
      </c>
      <c r="C59" s="246" t="s">
        <v>317</v>
      </c>
      <c r="D59" s="299">
        <v>0</v>
      </c>
      <c r="E59" s="242"/>
      <c r="F59" s="242"/>
    </row>
    <row r="60" spans="1:6" outlineLevel="1">
      <c r="A60" s="250" t="s">
        <v>388</v>
      </c>
      <c r="B60" s="251" t="s">
        <v>394</v>
      </c>
      <c r="C60" s="246" t="s">
        <v>317</v>
      </c>
      <c r="D60" s="299">
        <v>0</v>
      </c>
      <c r="E60" s="242"/>
      <c r="F60" s="242"/>
    </row>
    <row r="61" spans="1:6" outlineLevel="1">
      <c r="A61" s="250" t="s">
        <v>388</v>
      </c>
      <c r="B61" s="300" t="s">
        <v>374</v>
      </c>
      <c r="C61" s="246" t="s">
        <v>317</v>
      </c>
      <c r="D61" s="299">
        <v>0</v>
      </c>
      <c r="E61" s="242"/>
      <c r="F61" s="242"/>
    </row>
    <row r="62" spans="1:6" outlineLevel="1">
      <c r="A62" s="250" t="s">
        <v>388</v>
      </c>
      <c r="B62" s="300" t="s">
        <v>374</v>
      </c>
      <c r="C62" s="246" t="s">
        <v>317</v>
      </c>
      <c r="D62" s="299">
        <v>0</v>
      </c>
      <c r="E62" s="242"/>
      <c r="F62" s="242"/>
    </row>
    <row r="63" spans="1:6" outlineLevel="1">
      <c r="A63" s="250" t="s">
        <v>388</v>
      </c>
      <c r="B63" s="300" t="s">
        <v>374</v>
      </c>
      <c r="C63" s="246" t="s">
        <v>317</v>
      </c>
      <c r="D63" s="299">
        <v>0</v>
      </c>
      <c r="E63" s="242"/>
      <c r="F63" s="242"/>
    </row>
    <row r="64" spans="1:6" outlineLevel="1">
      <c r="A64" s="250" t="s">
        <v>388</v>
      </c>
      <c r="B64" s="300" t="s">
        <v>374</v>
      </c>
      <c r="C64" s="246" t="s">
        <v>317</v>
      </c>
      <c r="D64" s="299">
        <v>0</v>
      </c>
      <c r="E64" s="242"/>
      <c r="F64" s="242"/>
    </row>
    <row r="65" spans="1:6" ht="15.75" customHeight="1" outlineLevel="1">
      <c r="A65" s="250" t="s">
        <v>388</v>
      </c>
      <c r="B65" s="300" t="s">
        <v>374</v>
      </c>
      <c r="C65" s="246" t="s">
        <v>317</v>
      </c>
      <c r="D65" s="299">
        <v>0</v>
      </c>
      <c r="E65" s="242"/>
      <c r="F65" s="242"/>
    </row>
    <row r="66" spans="1:6" ht="6.75" customHeight="1" outlineLevel="1">
      <c r="A66" s="4"/>
      <c r="B66" s="16"/>
      <c r="C66" s="246"/>
      <c r="D66" s="242"/>
      <c r="E66" s="242"/>
      <c r="F66" s="242"/>
    </row>
    <row r="67" spans="1:6" outlineLevel="1">
      <c r="A67" s="4"/>
      <c r="B67" s="81" t="str">
        <f>CONCATENATE("Liabilities at ",+'P1.1 PDAM Licensee provided'!D9)</f>
        <v>Liabilities at 31 March 2025</v>
      </c>
      <c r="C67" s="246" t="s">
        <v>317</v>
      </c>
      <c r="D67" s="338">
        <f>SUM(D46:D65)</f>
        <v>0</v>
      </c>
      <c r="E67" s="242"/>
      <c r="F67" s="242"/>
    </row>
    <row r="68" spans="1:6" outlineLevel="1">
      <c r="A68" s="4"/>
      <c r="B68" s="182" t="s">
        <v>375</v>
      </c>
      <c r="C68" s="246"/>
      <c r="D68" s="23" t="str">
        <f>IF(ROUND(D67,1)=ROUND(-D20,1),"OK","ERROR")</f>
        <v>OK</v>
      </c>
      <c r="E68" s="242"/>
      <c r="F68" s="242"/>
    </row>
    <row r="69" spans="1:6">
      <c r="A69" s="4"/>
      <c r="B69" s="253"/>
      <c r="C69" s="246"/>
      <c r="D69" s="242"/>
      <c r="E69" s="242"/>
      <c r="F69" s="242"/>
    </row>
    <row r="70" spans="1:6" ht="27" customHeight="1">
      <c r="A70" s="351" t="s">
        <v>395</v>
      </c>
      <c r="B70" s="351"/>
      <c r="C70" s="363"/>
      <c r="D70" s="363"/>
      <c r="E70" s="242"/>
      <c r="F70" s="242"/>
    </row>
    <row r="71" spans="1:6" ht="15" customHeight="1" outlineLevel="1">
      <c r="A71" s="9"/>
      <c r="B71" s="9"/>
      <c r="C71" s="18"/>
      <c r="D71" s="18"/>
      <c r="E71" s="242"/>
      <c r="F71" s="242"/>
    </row>
    <row r="72" spans="1:6" outlineLevel="1">
      <c r="A72" s="4"/>
      <c r="B72" s="182" t="s">
        <v>396</v>
      </c>
      <c r="C72" s="246"/>
      <c r="D72" s="242"/>
      <c r="E72" s="242"/>
      <c r="F72" s="242"/>
    </row>
    <row r="73" spans="1:6" outlineLevel="1">
      <c r="A73" s="4"/>
      <c r="B73" s="254" t="s">
        <v>397</v>
      </c>
      <c r="C73" s="246" t="s">
        <v>318</v>
      </c>
      <c r="D73" s="301">
        <v>0</v>
      </c>
      <c r="E73" s="242"/>
      <c r="F73" s="242"/>
    </row>
    <row r="74" spans="1:6" outlineLevel="1">
      <c r="A74" s="4"/>
      <c r="B74" s="254" t="s">
        <v>398</v>
      </c>
      <c r="C74" s="246" t="s">
        <v>318</v>
      </c>
      <c r="D74" s="301">
        <v>0</v>
      </c>
      <c r="E74" s="242"/>
      <c r="F74" s="242"/>
    </row>
    <row r="75" spans="1:6" outlineLevel="1">
      <c r="A75" s="4"/>
      <c r="B75" s="254" t="s">
        <v>399</v>
      </c>
      <c r="C75" s="246" t="s">
        <v>318</v>
      </c>
      <c r="D75" s="301">
        <v>0</v>
      </c>
      <c r="E75" s="242"/>
      <c r="F75" s="242"/>
    </row>
    <row r="76" spans="1:6" outlineLevel="1">
      <c r="A76" s="4"/>
      <c r="B76" s="182"/>
      <c r="C76" s="246"/>
      <c r="D76" s="242"/>
      <c r="E76" s="242"/>
      <c r="F76" s="242"/>
    </row>
    <row r="77" spans="1:6" outlineLevel="1">
      <c r="A77" s="4"/>
      <c r="B77" s="243" t="s">
        <v>400</v>
      </c>
      <c r="C77" s="246" t="s">
        <v>317</v>
      </c>
      <c r="D77" s="338">
        <f>(D17*D73)+(D18*D74)+(D19*D75)</f>
        <v>0</v>
      </c>
      <c r="E77" s="242"/>
      <c r="F77" s="242"/>
    </row>
    <row r="78" spans="1:6" outlineLevel="1">
      <c r="A78" s="4"/>
      <c r="B78" s="182"/>
      <c r="C78" s="246"/>
      <c r="D78" s="246"/>
      <c r="E78" s="242"/>
      <c r="F78" s="242"/>
    </row>
    <row r="79" spans="1:6" outlineLevel="1">
      <c r="A79" s="4"/>
      <c r="B79" s="243" t="s">
        <v>401</v>
      </c>
      <c r="C79" s="246" t="s">
        <v>317</v>
      </c>
      <c r="D79" s="338">
        <f>D20-D77</f>
        <v>0</v>
      </c>
      <c r="E79" s="242"/>
      <c r="F79" s="242"/>
    </row>
    <row r="80" spans="1:6" outlineLevel="1">
      <c r="A80" s="182"/>
      <c r="B80" s="182"/>
      <c r="C80" s="246"/>
      <c r="D80" s="242"/>
      <c r="E80" s="242"/>
      <c r="F80" s="242"/>
    </row>
    <row r="81" spans="1:10" ht="27.5" outlineLevel="1">
      <c r="A81" s="182"/>
      <c r="B81" s="255" t="s">
        <v>402</v>
      </c>
      <c r="C81" s="246" t="s">
        <v>317</v>
      </c>
      <c r="D81" s="302">
        <v>0</v>
      </c>
      <c r="E81" s="242"/>
      <c r="F81" s="242"/>
    </row>
    <row r="82" spans="1:10" ht="27.5" outlineLevel="1">
      <c r="A82" s="182"/>
      <c r="B82" s="255" t="s">
        <v>403</v>
      </c>
      <c r="C82" s="246" t="s">
        <v>317</v>
      </c>
      <c r="D82" s="302">
        <v>0</v>
      </c>
      <c r="E82" s="242"/>
      <c r="F82" s="242"/>
    </row>
    <row r="83" spans="1:10" outlineLevel="1">
      <c r="A83" s="182"/>
      <c r="B83" s="255" t="s">
        <v>404</v>
      </c>
      <c r="C83" s="246" t="s">
        <v>317</v>
      </c>
      <c r="D83" s="339">
        <f>D81+D82</f>
        <v>0</v>
      </c>
      <c r="E83" s="242"/>
      <c r="F83" s="242"/>
    </row>
    <row r="84" spans="1:10" outlineLevel="1">
      <c r="A84" s="182"/>
      <c r="B84" s="182" t="s">
        <v>375</v>
      </c>
      <c r="D84" s="23" t="str">
        <f>IF(ROUND(D77,1)=ROUND(D83,1),"OK","ERROR")</f>
        <v>OK</v>
      </c>
      <c r="E84" s="242"/>
      <c r="F84" s="242"/>
    </row>
    <row r="85" spans="1:10">
      <c r="A85" s="182"/>
      <c r="B85" s="182"/>
      <c r="C85" s="246"/>
      <c r="D85" s="242"/>
      <c r="E85" s="242"/>
      <c r="F85" s="242"/>
    </row>
    <row r="86" spans="1:10" ht="30" customHeight="1">
      <c r="A86" s="351" t="s">
        <v>405</v>
      </c>
      <c r="B86" s="351"/>
      <c r="C86" s="363"/>
      <c r="D86" s="363"/>
      <c r="E86" s="242"/>
      <c r="F86" s="242"/>
    </row>
    <row r="87" spans="1:10" outlineLevel="1">
      <c r="A87" s="4"/>
      <c r="B87" s="4"/>
      <c r="C87" s="246"/>
      <c r="D87" s="242"/>
      <c r="E87" s="242"/>
      <c r="F87" s="242"/>
    </row>
    <row r="88" spans="1:10" ht="39" customHeight="1" outlineLevel="1">
      <c r="A88" s="4"/>
      <c r="B88" s="182" t="s">
        <v>406</v>
      </c>
      <c r="C88" s="256" t="s">
        <v>307</v>
      </c>
      <c r="D88" s="257" t="s">
        <v>407</v>
      </c>
      <c r="E88" s="257" t="s">
        <v>408</v>
      </c>
      <c r="F88" s="257" t="s">
        <v>409</v>
      </c>
    </row>
    <row r="89" spans="1:10" outlineLevel="1">
      <c r="A89" s="4"/>
      <c r="B89" s="182"/>
      <c r="C89" s="258" t="s">
        <v>317</v>
      </c>
      <c r="D89" s="258" t="s">
        <v>317</v>
      </c>
      <c r="E89" s="258" t="s">
        <v>317</v>
      </c>
      <c r="F89" s="259"/>
    </row>
    <row r="90" spans="1:10" s="5" customFormat="1" ht="30" customHeight="1" outlineLevel="1">
      <c r="A90" s="260"/>
      <c r="B90" s="261" t="str">
        <f>CONCATENATE("'a. assets attributable to post cut off date pensionable service at previous Valuation - ",'P1.1 PDAM Licensee provided'!D8,"")</f>
        <v>'a. assets attributable to post cut off date pensionable service at previous Valuation - 31 March 2022</v>
      </c>
      <c r="C90" s="304">
        <v>0</v>
      </c>
      <c r="D90" s="304">
        <v>0</v>
      </c>
      <c r="E90" s="340">
        <f>C90-D90</f>
        <v>0</v>
      </c>
      <c r="F90" s="303"/>
      <c r="G90"/>
      <c r="H90"/>
      <c r="I90"/>
      <c r="J90"/>
    </row>
    <row r="91" spans="1:10" s="5" customFormat="1" ht="30" customHeight="1" outlineLevel="1">
      <c r="A91" s="250" t="s">
        <v>378</v>
      </c>
      <c r="B91" s="138" t="s">
        <v>410</v>
      </c>
      <c r="C91" s="304">
        <v>0</v>
      </c>
      <c r="D91" s="304">
        <v>0</v>
      </c>
      <c r="E91" s="340">
        <f t="shared" ref="E91:E104" si="0">C91-D91</f>
        <v>0</v>
      </c>
      <c r="F91" s="303"/>
      <c r="G91"/>
      <c r="H91"/>
      <c r="I91"/>
      <c r="J91"/>
    </row>
    <row r="92" spans="1:10" s="5" customFormat="1" ht="54" outlineLevel="1">
      <c r="A92" s="250" t="s">
        <v>378</v>
      </c>
      <c r="B92" s="138" t="s">
        <v>411</v>
      </c>
      <c r="C92" s="304">
        <v>0</v>
      </c>
      <c r="D92" s="304">
        <v>0</v>
      </c>
      <c r="E92" s="340">
        <f t="shared" ref="E92" si="1">C92-D92</f>
        <v>0</v>
      </c>
      <c r="F92" s="303"/>
      <c r="G92"/>
      <c r="H92"/>
      <c r="I92"/>
      <c r="J92"/>
    </row>
    <row r="93" spans="1:10" s="5" customFormat="1" ht="30" customHeight="1" outlineLevel="1">
      <c r="A93" s="250" t="s">
        <v>378</v>
      </c>
      <c r="B93" s="261" t="s">
        <v>412</v>
      </c>
      <c r="C93" s="304">
        <v>0</v>
      </c>
      <c r="D93" s="304">
        <v>0</v>
      </c>
      <c r="E93" s="340">
        <f t="shared" si="0"/>
        <v>0</v>
      </c>
      <c r="F93" s="303"/>
      <c r="G93"/>
      <c r="H93"/>
      <c r="I93"/>
      <c r="J93"/>
    </row>
    <row r="94" spans="1:10" s="5" customFormat="1" ht="30" customHeight="1" outlineLevel="1">
      <c r="A94" s="250" t="s">
        <v>378</v>
      </c>
      <c r="B94" s="261" t="s">
        <v>413</v>
      </c>
      <c r="C94" s="304">
        <v>0</v>
      </c>
      <c r="D94" s="304">
        <v>0</v>
      </c>
      <c r="E94" s="340">
        <f t="shared" si="0"/>
        <v>0</v>
      </c>
      <c r="F94" s="303"/>
      <c r="G94"/>
      <c r="H94"/>
      <c r="I94"/>
      <c r="J94"/>
    </row>
    <row r="95" spans="1:10" s="5" customFormat="1" ht="39.75" customHeight="1" outlineLevel="1">
      <c r="A95" s="250" t="s">
        <v>378</v>
      </c>
      <c r="B95" s="262" t="s">
        <v>414</v>
      </c>
      <c r="C95" s="304">
        <v>0</v>
      </c>
      <c r="D95" s="304">
        <v>0</v>
      </c>
      <c r="E95" s="340">
        <f t="shared" si="0"/>
        <v>0</v>
      </c>
      <c r="F95" s="337"/>
      <c r="G95"/>
      <c r="H95"/>
      <c r="I95"/>
      <c r="J95"/>
    </row>
    <row r="96" spans="1:10" ht="27.5" outlineLevel="1">
      <c r="A96" s="250" t="s">
        <v>378</v>
      </c>
      <c r="B96" s="262" t="s">
        <v>415</v>
      </c>
      <c r="C96" s="304">
        <v>0</v>
      </c>
      <c r="D96" s="304">
        <v>0</v>
      </c>
      <c r="E96" s="340">
        <f t="shared" si="0"/>
        <v>0</v>
      </c>
      <c r="F96" s="303"/>
    </row>
    <row r="97" spans="1:6" ht="26.25" customHeight="1" outlineLevel="1">
      <c r="A97" s="250" t="s">
        <v>378</v>
      </c>
      <c r="B97" s="136" t="s">
        <v>416</v>
      </c>
      <c r="C97" s="304">
        <v>0</v>
      </c>
      <c r="D97" s="304">
        <v>0</v>
      </c>
      <c r="E97" s="340">
        <f t="shared" si="0"/>
        <v>0</v>
      </c>
      <c r="F97" s="303"/>
    </row>
    <row r="98" spans="1:6" ht="27.5" outlineLevel="1">
      <c r="A98" s="250" t="s">
        <v>378</v>
      </c>
      <c r="B98" s="262" t="s">
        <v>417</v>
      </c>
      <c r="C98" s="304">
        <v>0</v>
      </c>
      <c r="D98" s="304">
        <v>0</v>
      </c>
      <c r="E98" s="340">
        <f t="shared" si="0"/>
        <v>0</v>
      </c>
      <c r="F98" s="303"/>
    </row>
    <row r="99" spans="1:6" ht="27.5" outlineLevel="1">
      <c r="A99" s="250" t="s">
        <v>378</v>
      </c>
      <c r="B99" s="262" t="s">
        <v>418</v>
      </c>
      <c r="C99" s="304">
        <v>0</v>
      </c>
      <c r="D99" s="304">
        <v>0</v>
      </c>
      <c r="E99" s="340">
        <f t="shared" si="0"/>
        <v>0</v>
      </c>
      <c r="F99" s="303"/>
    </row>
    <row r="100" spans="1:6" ht="27" outlineLevel="1">
      <c r="A100" s="250" t="s">
        <v>382</v>
      </c>
      <c r="B100" s="263" t="s">
        <v>419</v>
      </c>
      <c r="C100" s="304">
        <v>0</v>
      </c>
      <c r="D100" s="304">
        <v>0</v>
      </c>
      <c r="E100" s="340">
        <f t="shared" si="0"/>
        <v>0</v>
      </c>
      <c r="F100" s="303"/>
    </row>
    <row r="101" spans="1:6" ht="27.5" outlineLevel="1">
      <c r="A101" s="250" t="s">
        <v>382</v>
      </c>
      <c r="B101" s="262" t="s">
        <v>420</v>
      </c>
      <c r="C101" s="304">
        <v>0</v>
      </c>
      <c r="D101" s="304">
        <v>0</v>
      </c>
      <c r="E101" s="340">
        <f t="shared" si="0"/>
        <v>0</v>
      </c>
      <c r="F101" s="303"/>
    </row>
    <row r="102" spans="1:6" ht="27.5" outlineLevel="1">
      <c r="A102" s="250" t="s">
        <v>382</v>
      </c>
      <c r="B102" s="262" t="s">
        <v>421</v>
      </c>
      <c r="C102" s="304">
        <v>0</v>
      </c>
      <c r="D102" s="304">
        <v>0</v>
      </c>
      <c r="E102" s="340">
        <f t="shared" si="0"/>
        <v>0</v>
      </c>
      <c r="F102" s="303"/>
    </row>
    <row r="103" spans="1:6" ht="27.5" outlineLevel="1">
      <c r="A103" s="250" t="s">
        <v>382</v>
      </c>
      <c r="B103" s="262" t="s">
        <v>422</v>
      </c>
      <c r="C103" s="304">
        <v>0</v>
      </c>
      <c r="D103" s="304">
        <v>0</v>
      </c>
      <c r="E103" s="340">
        <f t="shared" si="0"/>
        <v>0</v>
      </c>
      <c r="F103" s="303"/>
    </row>
    <row r="104" spans="1:6" ht="41" outlineLevel="1">
      <c r="A104" s="250" t="s">
        <v>378</v>
      </c>
      <c r="B104" s="262" t="s">
        <v>423</v>
      </c>
      <c r="C104" s="304">
        <v>0</v>
      </c>
      <c r="D104" s="304">
        <v>0</v>
      </c>
      <c r="E104" s="340">
        <f t="shared" si="0"/>
        <v>0</v>
      </c>
      <c r="F104" s="303"/>
    </row>
    <row r="105" spans="1:6" outlineLevel="1">
      <c r="A105" s="264" t="s">
        <v>424</v>
      </c>
      <c r="B105" s="255" t="str">
        <f>CONCATENATE("Assets attributable to pre / post cut-off date notional sub fund at ",'P1.1 PDAM Licensee provided'!D9,"")</f>
        <v>Assets attributable to pre / post cut-off date notional sub fund at 31 March 2025</v>
      </c>
      <c r="C105" s="339">
        <f>SUM(C90:C104)</f>
        <v>0</v>
      </c>
      <c r="D105" s="339">
        <f>SUM(D90:D104)</f>
        <v>0</v>
      </c>
      <c r="E105" s="339">
        <f>SUM(E90:E104)</f>
        <v>0</v>
      </c>
      <c r="F105" s="242"/>
    </row>
    <row r="106" spans="1:6" outlineLevel="1">
      <c r="A106" s="182"/>
      <c r="B106" s="182"/>
      <c r="C106" s="214"/>
      <c r="D106" s="1"/>
      <c r="E106" s="242"/>
      <c r="F106" s="242"/>
    </row>
    <row r="107" spans="1:6" ht="30" customHeight="1">
      <c r="A107" s="351" t="s">
        <v>425</v>
      </c>
      <c r="B107" s="351"/>
      <c r="C107" s="363"/>
      <c r="D107" s="363"/>
      <c r="E107" s="242"/>
      <c r="F107" s="242"/>
    </row>
    <row r="108" spans="1:6" outlineLevel="1">
      <c r="A108" s="4"/>
      <c r="B108" s="4"/>
      <c r="C108" s="246"/>
      <c r="D108" s="242"/>
      <c r="E108" s="242"/>
      <c r="F108" s="242"/>
    </row>
    <row r="109" spans="1:6" outlineLevel="1">
      <c r="A109" s="4"/>
      <c r="B109" s="227" t="s">
        <v>426</v>
      </c>
      <c r="C109" s="246" t="s">
        <v>317</v>
      </c>
      <c r="D109" s="338">
        <f>D79+E105</f>
        <v>0</v>
      </c>
      <c r="E109" s="242"/>
      <c r="F109" s="242"/>
    </row>
    <row r="110" spans="1:6" outlineLevel="1">
      <c r="A110" s="4"/>
      <c r="B110" s="4"/>
      <c r="C110" s="246"/>
      <c r="D110" s="242"/>
      <c r="E110" s="242"/>
      <c r="F110" s="242"/>
    </row>
    <row r="111" spans="1:6" outlineLevel="1">
      <c r="A111" s="4"/>
      <c r="B111" s="227" t="s">
        <v>427</v>
      </c>
      <c r="C111" s="246" t="s">
        <v>317</v>
      </c>
      <c r="D111" s="338">
        <f>D77+D105</f>
        <v>0</v>
      </c>
      <c r="E111" s="242"/>
      <c r="F111" s="242"/>
    </row>
    <row r="112" spans="1:6" outlineLevel="1">
      <c r="A112" s="4"/>
      <c r="B112" s="4"/>
      <c r="C112" s="246"/>
      <c r="D112" s="242"/>
      <c r="E112" s="242"/>
      <c r="F112" s="242"/>
    </row>
    <row r="162" spans="2:2">
      <c r="B162" s="197"/>
    </row>
    <row r="163" spans="2:2">
      <c r="B163" s="197"/>
    </row>
  </sheetData>
  <mergeCells count="6">
    <mergeCell ref="D6:F6"/>
    <mergeCell ref="A23:D23"/>
    <mergeCell ref="A107:D107"/>
    <mergeCell ref="A44:D44"/>
    <mergeCell ref="A70:D70"/>
    <mergeCell ref="A86:D86"/>
  </mergeCells>
  <phoneticPr fontId="21" type="noConversion"/>
  <pageMargins left="0.70866141732283472" right="0.70866141732283472" top="0.74803149606299213" bottom="0.74803149606299213" header="0.31496062992125984" footer="0.31496062992125984"/>
  <pageSetup paperSize="8" scale="47" orientation="portrait" r:id="rId1"/>
  <headerFooter>
    <oddFooter>&amp;C_x000D_&amp;1#&amp;"Calibri"&amp;10&amp;K000000 OFFICIAL-InternalOnly</oddFooter>
  </headerFooter>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499984740745262"/>
  </sheetPr>
  <dimension ref="A1:AB97"/>
  <sheetViews>
    <sheetView showGridLines="0" showZeros="0" workbookViewId="0">
      <pane xSplit="3" ySplit="14" topLeftCell="T68" activePane="bottomRight" state="frozenSplit"/>
      <selection pane="topRight" activeCell="C97" sqref="C97"/>
      <selection pane="bottomLeft" activeCell="C97" sqref="C97"/>
      <selection pane="bottomRight" activeCell="AD72" sqref="AD72"/>
    </sheetView>
  </sheetViews>
  <sheetFormatPr defaultRowHeight="14.5"/>
  <cols>
    <col min="1" max="1" width="10" customWidth="1"/>
    <col min="2" max="2" width="29.81640625" customWidth="1"/>
    <col min="3" max="3" width="22" customWidth="1"/>
    <col min="4" max="4" width="11.26953125" customWidth="1"/>
    <col min="5" max="11" width="9.1796875" bestFit="1" customWidth="1"/>
    <col min="28" max="28" width="49.54296875" customWidth="1"/>
  </cols>
  <sheetData>
    <row r="1" spans="1:27" s="120" customFormat="1" ht="20">
      <c r="A1" s="79" t="s">
        <v>428</v>
      </c>
      <c r="B1" s="79"/>
      <c r="C1" s="74"/>
      <c r="D1" s="137" t="s">
        <v>429</v>
      </c>
      <c r="E1" s="137"/>
      <c r="F1" s="137"/>
      <c r="G1" s="74"/>
      <c r="H1" s="74"/>
      <c r="I1" s="74"/>
      <c r="J1" s="74"/>
      <c r="K1" s="74"/>
      <c r="L1" s="74"/>
      <c r="M1" s="74"/>
      <c r="N1" s="74"/>
      <c r="O1" s="74"/>
      <c r="P1" s="74"/>
      <c r="Q1" s="74"/>
      <c r="R1" s="74"/>
      <c r="S1" s="74"/>
      <c r="T1" s="177"/>
      <c r="U1" s="177"/>
      <c r="V1" s="177"/>
      <c r="W1" s="177"/>
      <c r="X1" s="177"/>
      <c r="Y1" s="177"/>
      <c r="Z1" s="177"/>
      <c r="AA1" s="177"/>
    </row>
    <row r="2" spans="1:27" s="120" customFormat="1" ht="20">
      <c r="A2" s="79" t="str">
        <f>+'Pension Pack cover'!D14</f>
        <v>Licensee 1</v>
      </c>
      <c r="B2" s="79"/>
      <c r="C2" s="74"/>
      <c r="D2" s="137" t="s">
        <v>430</v>
      </c>
      <c r="E2" s="137"/>
      <c r="F2" s="137"/>
      <c r="G2" s="74"/>
      <c r="H2" s="74"/>
      <c r="I2" s="74"/>
      <c r="J2" s="74"/>
      <c r="K2" s="74"/>
      <c r="L2" s="74"/>
      <c r="M2" s="74"/>
      <c r="N2" s="74"/>
      <c r="O2" s="74"/>
      <c r="P2" s="74"/>
      <c r="Q2" s="74"/>
      <c r="R2" s="74"/>
      <c r="S2" s="74"/>
      <c r="T2" s="177"/>
      <c r="U2" s="177"/>
      <c r="V2" s="177"/>
      <c r="W2" s="177"/>
      <c r="X2" s="177"/>
      <c r="Y2" s="177"/>
      <c r="Z2" s="177"/>
      <c r="AA2" s="177"/>
    </row>
    <row r="3" spans="1:27" s="120" customFormat="1" ht="20">
      <c r="A3" s="135">
        <f>+'Pension Pack cover'!D24</f>
        <v>2026</v>
      </c>
      <c r="B3" s="79"/>
      <c r="C3" s="74"/>
      <c r="D3" s="137" t="s">
        <v>431</v>
      </c>
      <c r="E3" s="137"/>
      <c r="F3" s="137"/>
      <c r="G3" s="74"/>
      <c r="H3" s="74"/>
      <c r="I3" s="74"/>
      <c r="J3" s="74"/>
      <c r="K3" s="74"/>
      <c r="L3" s="74"/>
      <c r="M3" s="74"/>
      <c r="N3" s="74"/>
      <c r="O3" s="74"/>
      <c r="P3" s="74"/>
      <c r="Q3" s="74"/>
      <c r="R3" s="74"/>
      <c r="S3" s="74"/>
      <c r="T3" s="177"/>
      <c r="U3" s="177"/>
      <c r="V3" s="177"/>
      <c r="W3" s="177"/>
      <c r="X3" s="177"/>
      <c r="Y3" s="177"/>
      <c r="Z3" s="177"/>
      <c r="AA3" s="177"/>
    </row>
    <row r="4" spans="1:27">
      <c r="F4" s="97"/>
      <c r="G4" s="97"/>
      <c r="S4" s="178"/>
      <c r="T4" s="177"/>
      <c r="U4" s="177"/>
      <c r="V4" s="177"/>
      <c r="W4" s="177"/>
      <c r="X4" s="177"/>
      <c r="Y4" s="177"/>
      <c r="Z4" s="177"/>
      <c r="AA4" s="177"/>
    </row>
    <row r="5" spans="1:27" ht="16.5" customHeight="1">
      <c r="B5" t="s">
        <v>432</v>
      </c>
      <c r="F5" s="97"/>
      <c r="S5" s="178"/>
      <c r="T5" s="177"/>
      <c r="U5" s="177"/>
      <c r="V5" s="177"/>
      <c r="W5" s="177"/>
      <c r="X5" s="177"/>
      <c r="Y5" s="177"/>
      <c r="Z5" s="177"/>
      <c r="AA5" s="177"/>
    </row>
    <row r="6" spans="1:27" ht="16.5" customHeight="1">
      <c r="B6" t="s">
        <v>433</v>
      </c>
      <c r="F6" s="97"/>
      <c r="T6" s="177"/>
      <c r="U6" s="177"/>
      <c r="V6" s="177"/>
      <c r="W6" s="177"/>
      <c r="X6" s="177"/>
      <c r="Y6" s="177"/>
      <c r="Z6" s="177"/>
      <c r="AA6" s="177"/>
    </row>
    <row r="7" spans="1:27">
      <c r="T7" s="177"/>
      <c r="U7" s="177"/>
      <c r="V7" s="177"/>
      <c r="W7" s="177"/>
      <c r="X7" s="177"/>
      <c r="Y7" s="177"/>
      <c r="Z7" s="177"/>
      <c r="AA7" s="177"/>
    </row>
    <row r="8" spans="1:27" ht="14.5" customHeight="1">
      <c r="B8" t="s">
        <v>434</v>
      </c>
      <c r="D8">
        <v>1</v>
      </c>
      <c r="E8">
        <v>2</v>
      </c>
      <c r="F8">
        <v>3</v>
      </c>
      <c r="G8">
        <v>4</v>
      </c>
      <c r="H8">
        <v>5</v>
      </c>
      <c r="I8">
        <v>6</v>
      </c>
      <c r="J8">
        <v>7</v>
      </c>
      <c r="K8">
        <v>8</v>
      </c>
      <c r="L8">
        <v>9</v>
      </c>
      <c r="M8">
        <v>10</v>
      </c>
      <c r="N8">
        <v>11</v>
      </c>
      <c r="O8">
        <v>12</v>
      </c>
      <c r="P8">
        <v>13</v>
      </c>
      <c r="Q8">
        <v>14</v>
      </c>
      <c r="R8">
        <v>15</v>
      </c>
      <c r="S8">
        <v>16</v>
      </c>
      <c r="T8">
        <v>17</v>
      </c>
      <c r="U8">
        <v>18</v>
      </c>
      <c r="V8">
        <v>19</v>
      </c>
      <c r="W8">
        <v>20</v>
      </c>
      <c r="X8">
        <v>21</v>
      </c>
      <c r="Y8">
        <v>22</v>
      </c>
      <c r="Z8">
        <v>23</v>
      </c>
      <c r="AA8">
        <v>24</v>
      </c>
    </row>
    <row r="9" spans="1:27" ht="14.5" customHeight="1">
      <c r="B9" t="s">
        <v>435</v>
      </c>
      <c r="D9">
        <f t="shared" ref="D9:U9" si="0">pco1_num+D8-1</f>
        <v>2</v>
      </c>
      <c r="E9">
        <f t="shared" si="0"/>
        <v>3</v>
      </c>
      <c r="F9">
        <f t="shared" si="0"/>
        <v>4</v>
      </c>
      <c r="G9">
        <f t="shared" si="0"/>
        <v>5</v>
      </c>
      <c r="H9">
        <f t="shared" si="0"/>
        <v>6</v>
      </c>
      <c r="I9">
        <f t="shared" si="0"/>
        <v>7</v>
      </c>
      <c r="J9">
        <f t="shared" si="0"/>
        <v>8</v>
      </c>
      <c r="K9">
        <f t="shared" si="0"/>
        <v>9</v>
      </c>
      <c r="L9">
        <f t="shared" si="0"/>
        <v>10</v>
      </c>
      <c r="M9">
        <f t="shared" si="0"/>
        <v>11</v>
      </c>
      <c r="N9">
        <f t="shared" si="0"/>
        <v>12</v>
      </c>
      <c r="O9">
        <f t="shared" si="0"/>
        <v>13</v>
      </c>
      <c r="P9">
        <f t="shared" si="0"/>
        <v>14</v>
      </c>
      <c r="Q9">
        <f t="shared" si="0"/>
        <v>15</v>
      </c>
      <c r="R9">
        <f t="shared" si="0"/>
        <v>16</v>
      </c>
      <c r="S9">
        <f t="shared" si="0"/>
        <v>17</v>
      </c>
      <c r="T9">
        <f t="shared" si="0"/>
        <v>18</v>
      </c>
      <c r="U9">
        <f t="shared" si="0"/>
        <v>19</v>
      </c>
      <c r="V9">
        <f t="shared" ref="V9" si="1">pco1_num+V8-1</f>
        <v>20</v>
      </c>
      <c r="W9">
        <f t="shared" ref="W9" si="2">pco1_num+W8-1</f>
        <v>21</v>
      </c>
      <c r="X9">
        <f t="shared" ref="X9" si="3">pco1_num+X8-1</f>
        <v>22</v>
      </c>
      <c r="Y9">
        <f t="shared" ref="Y9" si="4">pco1_num+Y8-1</f>
        <v>23</v>
      </c>
      <c r="Z9">
        <f t="shared" ref="Z9" si="5">pco1_num+Z8-1</f>
        <v>24</v>
      </c>
      <c r="AA9">
        <f t="shared" ref="AA9" si="6">pco1_num+AA8-1</f>
        <v>25</v>
      </c>
    </row>
    <row r="10" spans="1:27" ht="16">
      <c r="D10" s="119" t="str">
        <f t="shared" ref="D10:U10" si="7">INDEX(yearQ,D9)</f>
        <v>2010-11</v>
      </c>
      <c r="E10" s="119" t="str">
        <f t="shared" si="7"/>
        <v>2011-12</v>
      </c>
      <c r="F10" s="119" t="str">
        <f t="shared" si="7"/>
        <v>2012-13</v>
      </c>
      <c r="G10" s="119" t="str">
        <f t="shared" si="7"/>
        <v>2013-14</v>
      </c>
      <c r="H10" s="119" t="str">
        <f t="shared" si="7"/>
        <v>2014-15</v>
      </c>
      <c r="I10" s="119" t="str">
        <f t="shared" si="7"/>
        <v>2015-16</v>
      </c>
      <c r="J10" s="119" t="str">
        <f t="shared" si="7"/>
        <v>2016-17</v>
      </c>
      <c r="K10" s="119" t="str">
        <f t="shared" si="7"/>
        <v>2017-18</v>
      </c>
      <c r="L10" s="119" t="str">
        <f t="shared" si="7"/>
        <v>2018-19</v>
      </c>
      <c r="M10" s="119" t="str">
        <f t="shared" si="7"/>
        <v>2019-20</v>
      </c>
      <c r="N10" s="119" t="str">
        <f t="shared" si="7"/>
        <v>2020-21</v>
      </c>
      <c r="O10" s="119" t="str">
        <f t="shared" si="7"/>
        <v>2021-22</v>
      </c>
      <c r="P10" s="119" t="str">
        <f t="shared" si="7"/>
        <v>2022-23</v>
      </c>
      <c r="Q10" s="119" t="str">
        <f t="shared" si="7"/>
        <v>2023-24</v>
      </c>
      <c r="R10" s="119" t="str">
        <f t="shared" si="7"/>
        <v>2024-25</v>
      </c>
      <c r="S10" s="119" t="str">
        <f t="shared" si="7"/>
        <v>2025-26</v>
      </c>
      <c r="T10" s="119" t="str">
        <f t="shared" si="7"/>
        <v>2026-27</v>
      </c>
      <c r="U10" s="119" t="str">
        <f t="shared" si="7"/>
        <v>2027-28</v>
      </c>
      <c r="V10" s="119" t="str">
        <f t="shared" ref="V10" si="8">INDEX(yearQ,V9)</f>
        <v>2028-29</v>
      </c>
      <c r="W10" s="119" t="str">
        <f t="shared" ref="W10" si="9">INDEX(yearQ,W9)</f>
        <v>2029-30</v>
      </c>
      <c r="X10" s="119" t="str">
        <f t="shared" ref="X10" si="10">INDEX(yearQ,X9)</f>
        <v>2030-31</v>
      </c>
      <c r="Y10" s="119" t="str">
        <f t="shared" ref="Y10" si="11">INDEX(yearQ,Y9)</f>
        <v>2031-32</v>
      </c>
      <c r="Z10" s="119" t="str">
        <f t="shared" ref="Z10" si="12">INDEX(yearQ,Z9)</f>
        <v>2032-33</v>
      </c>
      <c r="AA10" s="119" t="str">
        <f t="shared" ref="AA10" si="13">INDEX(yearQ,AA9)</f>
        <v>2033-34</v>
      </c>
    </row>
    <row r="11" spans="1:27">
      <c r="B11" t="s">
        <v>436</v>
      </c>
      <c r="D11" s="164" t="str">
        <f t="shared" ref="D11:U11" si="14">IF(D9=rr_num,1,"")</f>
        <v/>
      </c>
      <c r="E11" s="164" t="str">
        <f t="shared" si="14"/>
        <v/>
      </c>
      <c r="F11" s="164" t="str">
        <f t="shared" si="14"/>
        <v/>
      </c>
      <c r="G11" s="164" t="str">
        <f t="shared" si="14"/>
        <v/>
      </c>
      <c r="H11" s="164" t="str">
        <f t="shared" si="14"/>
        <v/>
      </c>
      <c r="I11" s="164" t="str">
        <f t="shared" si="14"/>
        <v/>
      </c>
      <c r="J11" s="164" t="str">
        <f t="shared" si="14"/>
        <v/>
      </c>
      <c r="K11" s="164" t="str">
        <f t="shared" si="14"/>
        <v/>
      </c>
      <c r="L11" s="164" t="str">
        <f t="shared" si="14"/>
        <v/>
      </c>
      <c r="M11" s="164" t="str">
        <f t="shared" si="14"/>
        <v/>
      </c>
      <c r="N11" s="164" t="str">
        <f t="shared" si="14"/>
        <v/>
      </c>
      <c r="O11" s="164" t="str">
        <f t="shared" si="14"/>
        <v/>
      </c>
      <c r="P11" s="164" t="str">
        <f t="shared" si="14"/>
        <v/>
      </c>
      <c r="Q11" s="164" t="str">
        <f t="shared" si="14"/>
        <v/>
      </c>
      <c r="R11" s="164" t="str">
        <f t="shared" si="14"/>
        <v/>
      </c>
      <c r="S11" s="164" t="str">
        <f t="shared" si="14"/>
        <v/>
      </c>
      <c r="T11" s="164">
        <f t="shared" si="14"/>
        <v>1</v>
      </c>
      <c r="U11" s="164" t="str">
        <f t="shared" si="14"/>
        <v/>
      </c>
      <c r="V11" s="164" t="str">
        <f t="shared" ref="V11" si="15">IF(V9=rr_num,1,"")</f>
        <v/>
      </c>
      <c r="W11" s="164" t="str">
        <f t="shared" ref="W11" si="16">IF(W9=rr_num,1,"")</f>
        <v/>
      </c>
      <c r="X11" s="164" t="str">
        <f t="shared" ref="X11" si="17">IF(X9=rr_num,1,"")</f>
        <v/>
      </c>
      <c r="Y11" s="164" t="str">
        <f t="shared" ref="Y11" si="18">IF(Y9=rr_num,1,"")</f>
        <v/>
      </c>
      <c r="Z11" s="164" t="str">
        <f t="shared" ref="Z11" si="19">IF(Z9=rr_num,1,"")</f>
        <v/>
      </c>
      <c r="AA11" s="164" t="str">
        <f t="shared" ref="AA11" si="20">IF(AA9=rr_num,1,"")</f>
        <v/>
      </c>
    </row>
    <row r="12" spans="1:27">
      <c r="B12" t="s">
        <v>437</v>
      </c>
      <c r="D12" s="164">
        <f t="shared" ref="D12:U12" si="21">IF(D9&lt;=rr_num-2,1,0)</f>
        <v>1</v>
      </c>
      <c r="E12" s="164">
        <f t="shared" si="21"/>
        <v>1</v>
      </c>
      <c r="F12" s="164">
        <f t="shared" si="21"/>
        <v>1</v>
      </c>
      <c r="G12" s="164">
        <f t="shared" si="21"/>
        <v>1</v>
      </c>
      <c r="H12" s="164">
        <f t="shared" si="21"/>
        <v>1</v>
      </c>
      <c r="I12" s="164">
        <f t="shared" si="21"/>
        <v>1</v>
      </c>
      <c r="J12" s="164">
        <f t="shared" si="21"/>
        <v>1</v>
      </c>
      <c r="K12" s="164">
        <f t="shared" si="21"/>
        <v>1</v>
      </c>
      <c r="L12" s="164">
        <f t="shared" si="21"/>
        <v>1</v>
      </c>
      <c r="M12" s="164">
        <f t="shared" si="21"/>
        <v>1</v>
      </c>
      <c r="N12" s="164">
        <f t="shared" si="21"/>
        <v>1</v>
      </c>
      <c r="O12" s="164">
        <f t="shared" si="21"/>
        <v>1</v>
      </c>
      <c r="P12" s="164">
        <f t="shared" si="21"/>
        <v>1</v>
      </c>
      <c r="Q12" s="164">
        <f t="shared" si="21"/>
        <v>1</v>
      </c>
      <c r="R12" s="164">
        <f t="shared" si="21"/>
        <v>1</v>
      </c>
      <c r="S12" s="164">
        <f t="shared" si="21"/>
        <v>0</v>
      </c>
      <c r="T12" s="164">
        <f t="shared" si="21"/>
        <v>0</v>
      </c>
      <c r="U12" s="164">
        <f t="shared" si="21"/>
        <v>0</v>
      </c>
      <c r="V12" s="164">
        <f t="shared" ref="V12" si="22">IF(V9&lt;=rr_num-2,1,0)</f>
        <v>0</v>
      </c>
      <c r="W12" s="164">
        <f t="shared" ref="W12" si="23">IF(W9&lt;=rr_num-2,1,0)</f>
        <v>0</v>
      </c>
      <c r="X12" s="164">
        <f t="shared" ref="X12" si="24">IF(X9&lt;=rr_num-2,1,0)</f>
        <v>0</v>
      </c>
      <c r="Y12" s="164">
        <f t="shared" ref="Y12" si="25">IF(Y9&lt;=rr_num-2,1,0)</f>
        <v>0</v>
      </c>
      <c r="Z12" s="164">
        <f t="shared" ref="Z12" si="26">IF(Z9&lt;=rr_num-2,1,0)</f>
        <v>0</v>
      </c>
      <c r="AA12" s="164">
        <f t="shared" ref="AA12" si="27">IF(AA9&lt;=rr_num-2,1,0)</f>
        <v>0</v>
      </c>
    </row>
    <row r="13" spans="1:27">
      <c r="B13" t="s">
        <v>438</v>
      </c>
      <c r="D13" s="164">
        <f t="shared" ref="D13:U13" si="28">IF(OR(D9=rr_num,D9=rr_num-1),1,0)</f>
        <v>0</v>
      </c>
      <c r="E13" s="164">
        <f t="shared" si="28"/>
        <v>0</v>
      </c>
      <c r="F13" s="164">
        <f t="shared" si="28"/>
        <v>0</v>
      </c>
      <c r="G13" s="164">
        <f t="shared" si="28"/>
        <v>0</v>
      </c>
      <c r="H13" s="164">
        <f t="shared" si="28"/>
        <v>0</v>
      </c>
      <c r="I13" s="164">
        <f t="shared" si="28"/>
        <v>0</v>
      </c>
      <c r="J13" s="164">
        <f t="shared" si="28"/>
        <v>0</v>
      </c>
      <c r="K13" s="164">
        <f t="shared" si="28"/>
        <v>0</v>
      </c>
      <c r="L13" s="164">
        <f t="shared" si="28"/>
        <v>0</v>
      </c>
      <c r="M13" s="164">
        <f t="shared" si="28"/>
        <v>0</v>
      </c>
      <c r="N13" s="164">
        <f t="shared" si="28"/>
        <v>0</v>
      </c>
      <c r="O13" s="164">
        <f t="shared" si="28"/>
        <v>0</v>
      </c>
      <c r="P13" s="164">
        <f t="shared" si="28"/>
        <v>0</v>
      </c>
      <c r="Q13" s="164">
        <f t="shared" si="28"/>
        <v>0</v>
      </c>
      <c r="R13" s="164">
        <f t="shared" si="28"/>
        <v>0</v>
      </c>
      <c r="S13" s="164">
        <f t="shared" si="28"/>
        <v>1</v>
      </c>
      <c r="T13" s="164">
        <f t="shared" si="28"/>
        <v>1</v>
      </c>
      <c r="U13" s="164">
        <f t="shared" si="28"/>
        <v>0</v>
      </c>
      <c r="V13" s="164">
        <f t="shared" ref="V13" si="29">IF(OR(V9=rr_num,V9=rr_num-1),1,0)</f>
        <v>0</v>
      </c>
      <c r="W13" s="164">
        <f t="shared" ref="W13" si="30">IF(OR(W9=rr_num,W9=rr_num-1),1,0)</f>
        <v>0</v>
      </c>
      <c r="X13" s="164">
        <f t="shared" ref="X13" si="31">IF(OR(X9=rr_num,X9=rr_num-1),1,0)</f>
        <v>0</v>
      </c>
      <c r="Y13" s="164">
        <f t="shared" ref="Y13" si="32">IF(OR(Y9=rr_num,Y9=rr_num-1),1,0)</f>
        <v>0</v>
      </c>
      <c r="Z13" s="164">
        <f t="shared" ref="Z13" si="33">IF(OR(Z9=rr_num,Z9=rr_num-1),1,0)</f>
        <v>0</v>
      </c>
      <c r="AA13" s="164">
        <f t="shared" ref="AA13" si="34">IF(OR(AA9=rr_num,AA9=rr_num-1),1,0)</f>
        <v>0</v>
      </c>
    </row>
    <row r="14" spans="1:27">
      <c r="B14" t="s">
        <v>439</v>
      </c>
      <c r="D14" s="164">
        <f t="shared" ref="D14:U14" si="35">IF(D9&gt;rr_num,1,0)</f>
        <v>0</v>
      </c>
      <c r="E14" s="164">
        <f t="shared" si="35"/>
        <v>0</v>
      </c>
      <c r="F14" s="164">
        <f t="shared" si="35"/>
        <v>0</v>
      </c>
      <c r="G14" s="164">
        <f t="shared" si="35"/>
        <v>0</v>
      </c>
      <c r="H14" s="164">
        <f t="shared" si="35"/>
        <v>0</v>
      </c>
      <c r="I14" s="164">
        <f t="shared" si="35"/>
        <v>0</v>
      </c>
      <c r="J14" s="164">
        <f t="shared" si="35"/>
        <v>0</v>
      </c>
      <c r="K14" s="164">
        <f t="shared" si="35"/>
        <v>0</v>
      </c>
      <c r="L14" s="164">
        <f t="shared" si="35"/>
        <v>0</v>
      </c>
      <c r="M14" s="164">
        <f t="shared" si="35"/>
        <v>0</v>
      </c>
      <c r="N14" s="164">
        <f t="shared" si="35"/>
        <v>0</v>
      </c>
      <c r="O14" s="164">
        <f t="shared" si="35"/>
        <v>0</v>
      </c>
      <c r="P14" s="164">
        <f t="shared" si="35"/>
        <v>0</v>
      </c>
      <c r="Q14" s="164">
        <f t="shared" si="35"/>
        <v>0</v>
      </c>
      <c r="R14" s="164">
        <f t="shared" si="35"/>
        <v>0</v>
      </c>
      <c r="S14" s="164">
        <f t="shared" si="35"/>
        <v>0</v>
      </c>
      <c r="T14" s="164">
        <f t="shared" si="35"/>
        <v>0</v>
      </c>
      <c r="U14" s="164">
        <f t="shared" si="35"/>
        <v>1</v>
      </c>
      <c r="V14" s="164">
        <f t="shared" ref="V14" si="36">IF(V9&gt;rr_num,1,0)</f>
        <v>1</v>
      </c>
      <c r="W14" s="164">
        <f t="shared" ref="W14" si="37">IF(W9&gt;rr_num,1,0)</f>
        <v>1</v>
      </c>
      <c r="X14" s="164">
        <f t="shared" ref="X14" si="38">IF(X9&gt;rr_num,1,0)</f>
        <v>1</v>
      </c>
      <c r="Y14" s="164">
        <f t="shared" ref="Y14" si="39">IF(Y9&gt;rr_num,1,0)</f>
        <v>1</v>
      </c>
      <c r="Z14" s="164">
        <f t="shared" ref="Z14" si="40">IF(Z9&gt;rr_num,1,0)</f>
        <v>1</v>
      </c>
      <c r="AA14" s="164">
        <f t="shared" ref="AA14" si="41">IF(AA9&gt;rr_num,1,0)</f>
        <v>1</v>
      </c>
    </row>
    <row r="16" spans="1:27">
      <c r="B16" s="97" t="s">
        <v>440</v>
      </c>
    </row>
    <row r="17" spans="2:27">
      <c r="B17" t="s">
        <v>441</v>
      </c>
      <c r="D17" s="142"/>
      <c r="E17" s="142"/>
      <c r="F17" s="142"/>
      <c r="G17" s="142"/>
      <c r="H17" s="142"/>
      <c r="I17" s="142"/>
      <c r="J17" s="142"/>
      <c r="K17" s="142"/>
      <c r="L17" s="142"/>
      <c r="M17" s="142"/>
      <c r="N17" s="142"/>
      <c r="O17" s="142"/>
      <c r="P17" s="142"/>
      <c r="Q17" s="142"/>
      <c r="R17" s="142"/>
      <c r="S17" s="142"/>
      <c r="T17" s="142"/>
      <c r="U17" s="117"/>
      <c r="V17" s="117"/>
      <c r="W17" s="117"/>
      <c r="X17" s="117"/>
      <c r="Y17" s="117"/>
      <c r="Z17" s="117"/>
      <c r="AA17" s="117"/>
    </row>
    <row r="18" spans="2:27">
      <c r="B18" t="s">
        <v>442</v>
      </c>
      <c r="D18" s="142"/>
      <c r="E18" s="142">
        <v>0</v>
      </c>
      <c r="F18" s="142"/>
      <c r="G18" s="142"/>
      <c r="H18" s="142"/>
      <c r="I18" s="142"/>
      <c r="J18" s="142"/>
      <c r="K18" s="142"/>
      <c r="L18" s="142"/>
      <c r="M18" s="142"/>
      <c r="N18" s="142"/>
      <c r="O18" s="142"/>
      <c r="P18" s="142"/>
      <c r="Q18" s="142"/>
      <c r="R18" s="142"/>
      <c r="S18" s="142"/>
      <c r="T18" s="142"/>
      <c r="U18" s="117"/>
      <c r="V18" s="117"/>
      <c r="W18" s="117"/>
      <c r="X18" s="117"/>
      <c r="Y18" s="117"/>
      <c r="Z18" s="117"/>
      <c r="AA18" s="117"/>
    </row>
    <row r="19" spans="2:27">
      <c r="B19" s="118" t="s">
        <v>443</v>
      </c>
      <c r="C19" s="118"/>
      <c r="D19" s="146">
        <f t="shared" ref="D19:U19" si="42">SUM(D17:D18)</f>
        <v>0</v>
      </c>
      <c r="E19" s="146">
        <f t="shared" si="42"/>
        <v>0</v>
      </c>
      <c r="F19" s="146">
        <f t="shared" si="42"/>
        <v>0</v>
      </c>
      <c r="G19" s="146">
        <f t="shared" si="42"/>
        <v>0</v>
      </c>
      <c r="H19" s="146">
        <f t="shared" si="42"/>
        <v>0</v>
      </c>
      <c r="I19" s="146">
        <f t="shared" si="42"/>
        <v>0</v>
      </c>
      <c r="J19" s="146">
        <f t="shared" si="42"/>
        <v>0</v>
      </c>
      <c r="K19" s="146">
        <f t="shared" si="42"/>
        <v>0</v>
      </c>
      <c r="L19" s="146">
        <f t="shared" si="42"/>
        <v>0</v>
      </c>
      <c r="M19" s="146">
        <f t="shared" si="42"/>
        <v>0</v>
      </c>
      <c r="N19" s="146">
        <f t="shared" si="42"/>
        <v>0</v>
      </c>
      <c r="O19" s="146">
        <f t="shared" si="42"/>
        <v>0</v>
      </c>
      <c r="P19" s="146">
        <f t="shared" si="42"/>
        <v>0</v>
      </c>
      <c r="Q19" s="146">
        <f t="shared" si="42"/>
        <v>0</v>
      </c>
      <c r="R19" s="146">
        <f t="shared" si="42"/>
        <v>0</v>
      </c>
      <c r="S19" s="146">
        <f t="shared" si="42"/>
        <v>0</v>
      </c>
      <c r="T19" s="146">
        <f t="shared" si="42"/>
        <v>0</v>
      </c>
      <c r="U19" s="146">
        <f t="shared" si="42"/>
        <v>0</v>
      </c>
      <c r="V19" s="146">
        <f t="shared" ref="V19" si="43">SUM(V17:V18)</f>
        <v>0</v>
      </c>
      <c r="W19" s="146">
        <f t="shared" ref="W19" si="44">SUM(W17:W18)</f>
        <v>0</v>
      </c>
      <c r="X19" s="146">
        <f t="shared" ref="X19" si="45">SUM(X17:X18)</f>
        <v>0</v>
      </c>
      <c r="Y19" s="146">
        <f t="shared" ref="Y19" si="46">SUM(Y17:Y18)</f>
        <v>0</v>
      </c>
      <c r="Z19" s="146">
        <f t="shared" ref="Z19" si="47">SUM(Z17:Z18)</f>
        <v>0</v>
      </c>
      <c r="AA19" s="146">
        <f t="shared" ref="AA19" si="48">SUM(AA17:AA18)</f>
        <v>0</v>
      </c>
    </row>
    <row r="20" spans="2:27">
      <c r="B20" t="s">
        <v>444</v>
      </c>
      <c r="D20" s="142"/>
      <c r="E20" s="142"/>
      <c r="F20" s="142"/>
      <c r="G20" s="142"/>
      <c r="H20" s="142"/>
      <c r="I20" s="142"/>
      <c r="J20" s="142"/>
      <c r="K20" s="142"/>
      <c r="L20" s="142"/>
      <c r="M20" s="142"/>
      <c r="N20" s="142"/>
      <c r="O20" s="142"/>
      <c r="P20" s="142"/>
      <c r="Q20" s="142"/>
      <c r="R20" s="142"/>
      <c r="S20" s="142"/>
      <c r="T20" s="142"/>
      <c r="U20" s="117"/>
      <c r="V20" s="117"/>
      <c r="W20" s="117"/>
      <c r="X20" s="117"/>
      <c r="Y20" s="117"/>
      <c r="Z20" s="117"/>
      <c r="AA20" s="117"/>
    </row>
    <row r="21" spans="2:27">
      <c r="B21" s="118" t="s">
        <v>445</v>
      </c>
      <c r="C21" s="118"/>
      <c r="D21" s="146">
        <f t="shared" ref="D21:U21" si="49">D19-D20</f>
        <v>0</v>
      </c>
      <c r="E21" s="146">
        <f t="shared" si="49"/>
        <v>0</v>
      </c>
      <c r="F21" s="146">
        <f t="shared" si="49"/>
        <v>0</v>
      </c>
      <c r="G21" s="146">
        <f t="shared" si="49"/>
        <v>0</v>
      </c>
      <c r="H21" s="146">
        <f t="shared" si="49"/>
        <v>0</v>
      </c>
      <c r="I21" s="146">
        <f t="shared" si="49"/>
        <v>0</v>
      </c>
      <c r="J21" s="146">
        <f t="shared" si="49"/>
        <v>0</v>
      </c>
      <c r="K21" s="146">
        <f t="shared" si="49"/>
        <v>0</v>
      </c>
      <c r="L21" s="146">
        <f t="shared" si="49"/>
        <v>0</v>
      </c>
      <c r="M21" s="146">
        <f t="shared" si="49"/>
        <v>0</v>
      </c>
      <c r="N21" s="146">
        <f t="shared" si="49"/>
        <v>0</v>
      </c>
      <c r="O21" s="146">
        <f t="shared" si="49"/>
        <v>0</v>
      </c>
      <c r="P21" s="146">
        <f t="shared" si="49"/>
        <v>0</v>
      </c>
      <c r="Q21" s="146">
        <f t="shared" si="49"/>
        <v>0</v>
      </c>
      <c r="R21" s="146">
        <f t="shared" si="49"/>
        <v>0</v>
      </c>
      <c r="S21" s="146">
        <f t="shared" si="49"/>
        <v>0</v>
      </c>
      <c r="T21" s="146">
        <f t="shared" si="49"/>
        <v>0</v>
      </c>
      <c r="U21" s="146">
        <f t="shared" si="49"/>
        <v>0</v>
      </c>
      <c r="V21" s="146">
        <f t="shared" ref="V21" si="50">V19-V20</f>
        <v>0</v>
      </c>
      <c r="W21" s="146">
        <f t="shared" ref="W21" si="51">W19-W20</f>
        <v>0</v>
      </c>
      <c r="X21" s="146">
        <f t="shared" ref="X21" si="52">X19-X20</f>
        <v>0</v>
      </c>
      <c r="Y21" s="146">
        <f t="shared" ref="Y21" si="53">Y19-Y20</f>
        <v>0</v>
      </c>
      <c r="Z21" s="146">
        <f t="shared" ref="Z21" si="54">Z19-Z20</f>
        <v>0</v>
      </c>
      <c r="AA21" s="146">
        <f t="shared" ref="AA21" si="55">AA19-AA20</f>
        <v>0</v>
      </c>
    </row>
    <row r="22" spans="2:27">
      <c r="B22" t="s">
        <v>446</v>
      </c>
      <c r="D22" s="142"/>
      <c r="E22" s="142"/>
      <c r="F22" s="142"/>
      <c r="G22" s="142"/>
      <c r="H22" s="142"/>
      <c r="I22" s="142"/>
      <c r="J22" s="142"/>
      <c r="K22" s="142"/>
      <c r="L22" s="142"/>
      <c r="M22" s="142"/>
      <c r="N22" s="142"/>
      <c r="O22" s="142"/>
      <c r="P22" s="142"/>
      <c r="Q22" s="142"/>
      <c r="R22" s="142"/>
      <c r="S22" s="117"/>
      <c r="T22" s="117"/>
      <c r="U22" s="117"/>
      <c r="V22" s="117"/>
      <c r="W22" s="117"/>
      <c r="X22" s="117"/>
      <c r="Y22" s="117"/>
      <c r="Z22" s="117"/>
      <c r="AA22" s="117"/>
    </row>
    <row r="23" spans="2:27">
      <c r="B23" t="s">
        <v>447</v>
      </c>
      <c r="D23" s="92"/>
      <c r="E23" s="92"/>
      <c r="F23" s="92"/>
      <c r="G23" s="92"/>
      <c r="H23" s="92"/>
      <c r="I23" s="92"/>
      <c r="J23" s="92"/>
      <c r="K23" s="92"/>
      <c r="L23" s="92"/>
      <c r="M23" s="92"/>
      <c r="N23" s="92"/>
      <c r="O23" s="92"/>
      <c r="P23" s="92"/>
      <c r="Q23" s="92"/>
      <c r="R23" s="92"/>
      <c r="S23" s="92"/>
      <c r="T23" s="92"/>
      <c r="U23" s="92"/>
      <c r="V23" s="92"/>
      <c r="W23" s="92"/>
      <c r="X23" s="92"/>
      <c r="Y23" s="92"/>
      <c r="Z23" s="92"/>
      <c r="AA23" s="92"/>
    </row>
    <row r="24" spans="2:27" ht="15" thickBot="1">
      <c r="B24" s="103" t="s">
        <v>448</v>
      </c>
      <c r="C24" s="103"/>
      <c r="D24" s="147">
        <f t="shared" ref="D24:U24" si="56">D22-D21</f>
        <v>0</v>
      </c>
      <c r="E24" s="147">
        <f t="shared" si="56"/>
        <v>0</v>
      </c>
      <c r="F24" s="147">
        <f t="shared" si="56"/>
        <v>0</v>
      </c>
      <c r="G24" s="147">
        <f t="shared" si="56"/>
        <v>0</v>
      </c>
      <c r="H24" s="147">
        <f t="shared" si="56"/>
        <v>0</v>
      </c>
      <c r="I24" s="147">
        <f t="shared" si="56"/>
        <v>0</v>
      </c>
      <c r="J24" s="147">
        <f t="shared" si="56"/>
        <v>0</v>
      </c>
      <c r="K24" s="147">
        <f t="shared" si="56"/>
        <v>0</v>
      </c>
      <c r="L24" s="147">
        <f t="shared" si="56"/>
        <v>0</v>
      </c>
      <c r="M24" s="147">
        <f t="shared" si="56"/>
        <v>0</v>
      </c>
      <c r="N24" s="147">
        <f t="shared" si="56"/>
        <v>0</v>
      </c>
      <c r="O24" s="147">
        <f t="shared" si="56"/>
        <v>0</v>
      </c>
      <c r="P24" s="147">
        <f t="shared" si="56"/>
        <v>0</v>
      </c>
      <c r="Q24" s="147">
        <f t="shared" si="56"/>
        <v>0</v>
      </c>
      <c r="R24" s="147">
        <f t="shared" si="56"/>
        <v>0</v>
      </c>
      <c r="S24" s="147">
        <f t="shared" si="56"/>
        <v>0</v>
      </c>
      <c r="T24" s="147">
        <f t="shared" si="56"/>
        <v>0</v>
      </c>
      <c r="U24" s="147">
        <f t="shared" si="56"/>
        <v>0</v>
      </c>
      <c r="V24" s="147">
        <f t="shared" ref="V24" si="57">V22-V21</f>
        <v>0</v>
      </c>
      <c r="W24" s="147">
        <f t="shared" ref="W24" si="58">W22-W21</f>
        <v>0</v>
      </c>
      <c r="X24" s="147">
        <f t="shared" ref="X24" si="59">X22-X21</f>
        <v>0</v>
      </c>
      <c r="Y24" s="147">
        <f t="shared" ref="Y24" si="60">Y22-Y21</f>
        <v>0</v>
      </c>
      <c r="Z24" s="147">
        <f t="shared" ref="Z24" si="61">Z22-Z21</f>
        <v>0</v>
      </c>
      <c r="AA24" s="147">
        <f t="shared" ref="AA24" si="62">AA22-AA21</f>
        <v>0</v>
      </c>
    </row>
    <row r="26" spans="2:27">
      <c r="B26" s="97" t="s">
        <v>449</v>
      </c>
    </row>
    <row r="27" spans="2:27">
      <c r="B27" t="s">
        <v>450</v>
      </c>
      <c r="D27" s="167">
        <f t="shared" ref="D27:Q27" si="63">INDEX(CT,D9)</f>
        <v>0.28000000000000003</v>
      </c>
      <c r="E27" s="167">
        <f t="shared" si="63"/>
        <v>0.26</v>
      </c>
      <c r="F27" s="167">
        <f t="shared" si="63"/>
        <v>0.24</v>
      </c>
      <c r="G27" s="167">
        <f t="shared" si="63"/>
        <v>0.23</v>
      </c>
      <c r="H27" s="167">
        <f t="shared" si="63"/>
        <v>0.21</v>
      </c>
      <c r="I27" s="167">
        <f t="shared" si="63"/>
        <v>0.2</v>
      </c>
      <c r="J27" s="167">
        <f t="shared" si="63"/>
        <v>0.2</v>
      </c>
      <c r="K27" s="167">
        <f t="shared" si="63"/>
        <v>0.19</v>
      </c>
      <c r="L27" s="167">
        <f t="shared" si="63"/>
        <v>0.19</v>
      </c>
      <c r="M27" s="167">
        <f t="shared" si="63"/>
        <v>0.19</v>
      </c>
      <c r="N27" s="167">
        <f t="shared" si="63"/>
        <v>0.19</v>
      </c>
      <c r="O27" s="167">
        <f>INDEX(CT,O9)</f>
        <v>0.19</v>
      </c>
      <c r="P27" s="167">
        <f t="shared" si="63"/>
        <v>0.19</v>
      </c>
      <c r="Q27" s="167">
        <f t="shared" si="63"/>
        <v>0.25</v>
      </c>
      <c r="R27" s="167">
        <f t="shared" ref="R27:AA27" si="64">INDEX(CT,R9)</f>
        <v>0.25</v>
      </c>
      <c r="S27" s="167">
        <f t="shared" si="64"/>
        <v>0.25</v>
      </c>
      <c r="T27" s="167">
        <f t="shared" si="64"/>
        <v>0.25</v>
      </c>
      <c r="U27" s="167">
        <f t="shared" si="64"/>
        <v>0</v>
      </c>
      <c r="V27" s="167">
        <f t="shared" si="64"/>
        <v>0</v>
      </c>
      <c r="W27" s="167">
        <f t="shared" si="64"/>
        <v>0</v>
      </c>
      <c r="X27" s="167">
        <f t="shared" si="64"/>
        <v>0</v>
      </c>
      <c r="Y27" s="167">
        <f t="shared" si="64"/>
        <v>0</v>
      </c>
      <c r="Z27" s="167">
        <f t="shared" si="64"/>
        <v>0</v>
      </c>
      <c r="AA27" s="167">
        <f t="shared" si="64"/>
        <v>0</v>
      </c>
    </row>
    <row r="28" spans="2:27">
      <c r="B28" t="s">
        <v>451</v>
      </c>
      <c r="D28" s="116">
        <v>0.17</v>
      </c>
      <c r="E28" s="116">
        <v>0.17</v>
      </c>
      <c r="F28" s="116">
        <v>0.17</v>
      </c>
      <c r="G28" s="116">
        <v>0.17</v>
      </c>
      <c r="H28" s="116">
        <v>0.17</v>
      </c>
      <c r="I28" s="116">
        <v>0.17</v>
      </c>
      <c r="J28" s="116">
        <v>0.17</v>
      </c>
      <c r="K28" s="116">
        <v>0.17</v>
      </c>
      <c r="L28" s="116">
        <v>0.17</v>
      </c>
      <c r="M28" s="116">
        <v>0.17</v>
      </c>
      <c r="N28" s="116">
        <v>0.17</v>
      </c>
      <c r="O28" s="139"/>
      <c r="P28" s="139"/>
      <c r="Q28" s="139"/>
      <c r="R28" s="139"/>
      <c r="S28" s="139"/>
      <c r="T28" s="139"/>
      <c r="U28" s="139"/>
      <c r="V28" s="139"/>
      <c r="W28" s="139"/>
      <c r="X28" s="139"/>
      <c r="Y28" s="139"/>
      <c r="Z28" s="139"/>
      <c r="AA28" s="139"/>
    </row>
    <row r="29" spans="2:27" ht="15" thickBot="1">
      <c r="B29" s="103" t="s">
        <v>452</v>
      </c>
      <c r="C29" s="103"/>
      <c r="D29" s="148">
        <f t="shared" ref="D29:P29" si="65">IF(D27=0,D28,D27)</f>
        <v>0.28000000000000003</v>
      </c>
      <c r="E29" s="148">
        <f t="shared" si="65"/>
        <v>0.26</v>
      </c>
      <c r="F29" s="148">
        <f t="shared" si="65"/>
        <v>0.24</v>
      </c>
      <c r="G29" s="148">
        <f t="shared" si="65"/>
        <v>0.23</v>
      </c>
      <c r="H29" s="148">
        <f t="shared" si="65"/>
        <v>0.21</v>
      </c>
      <c r="I29" s="148">
        <f t="shared" si="65"/>
        <v>0.2</v>
      </c>
      <c r="J29" s="148">
        <f t="shared" si="65"/>
        <v>0.2</v>
      </c>
      <c r="K29" s="148">
        <f t="shared" si="65"/>
        <v>0.19</v>
      </c>
      <c r="L29" s="148">
        <f t="shared" si="65"/>
        <v>0.19</v>
      </c>
      <c r="M29" s="148">
        <f t="shared" si="65"/>
        <v>0.19</v>
      </c>
      <c r="N29" s="148">
        <f t="shared" si="65"/>
        <v>0.19</v>
      </c>
      <c r="O29" s="148">
        <f t="shared" si="65"/>
        <v>0.19</v>
      </c>
      <c r="P29" s="148">
        <f t="shared" si="65"/>
        <v>0.19</v>
      </c>
      <c r="Q29" s="148">
        <f>IF(Q27=0,Q28,Q27)</f>
        <v>0.25</v>
      </c>
      <c r="R29" s="148">
        <f t="shared" ref="R29:AA29" si="66">IF(R27=0,R28,R27)</f>
        <v>0.25</v>
      </c>
      <c r="S29" s="148">
        <f t="shared" si="66"/>
        <v>0.25</v>
      </c>
      <c r="T29" s="148">
        <f t="shared" si="66"/>
        <v>0.25</v>
      </c>
      <c r="U29" s="148">
        <f t="shared" si="66"/>
        <v>0</v>
      </c>
      <c r="V29" s="148">
        <f t="shared" si="66"/>
        <v>0</v>
      </c>
      <c r="W29" s="148">
        <f t="shared" si="66"/>
        <v>0</v>
      </c>
      <c r="X29" s="148">
        <f t="shared" si="66"/>
        <v>0</v>
      </c>
      <c r="Y29" s="148">
        <f t="shared" si="66"/>
        <v>0</v>
      </c>
      <c r="Z29" s="148">
        <f t="shared" si="66"/>
        <v>0</v>
      </c>
      <c r="AA29" s="148">
        <f t="shared" si="66"/>
        <v>0</v>
      </c>
    </row>
    <row r="30" spans="2:27" ht="14.5" hidden="1" customHeight="1"/>
    <row r="32" spans="2:27">
      <c r="B32" t="s">
        <v>453</v>
      </c>
      <c r="C32" s="173">
        <f>1-SUM(D32:U32)</f>
        <v>1</v>
      </c>
      <c r="D32" s="145"/>
      <c r="E32" s="172">
        <f t="shared" ref="E32:AA32" si="67">IF(D11=1,E29,0)</f>
        <v>0</v>
      </c>
      <c r="F32" s="172">
        <f t="shared" si="67"/>
        <v>0</v>
      </c>
      <c r="G32" s="172">
        <f t="shared" si="67"/>
        <v>0</v>
      </c>
      <c r="H32" s="172">
        <f t="shared" si="67"/>
        <v>0</v>
      </c>
      <c r="I32" s="172">
        <f t="shared" si="67"/>
        <v>0</v>
      </c>
      <c r="J32" s="172">
        <f t="shared" si="67"/>
        <v>0</v>
      </c>
      <c r="K32" s="172">
        <f t="shared" si="67"/>
        <v>0</v>
      </c>
      <c r="L32" s="172">
        <f t="shared" si="67"/>
        <v>0</v>
      </c>
      <c r="M32" s="172">
        <f t="shared" si="67"/>
        <v>0</v>
      </c>
      <c r="N32" s="172">
        <f t="shared" si="67"/>
        <v>0</v>
      </c>
      <c r="O32" s="172">
        <f t="shared" si="67"/>
        <v>0</v>
      </c>
      <c r="P32" s="172">
        <f t="shared" si="67"/>
        <v>0</v>
      </c>
      <c r="Q32" s="172">
        <f t="shared" si="67"/>
        <v>0</v>
      </c>
      <c r="R32" s="172">
        <f t="shared" si="67"/>
        <v>0</v>
      </c>
      <c r="S32" s="172">
        <f t="shared" si="67"/>
        <v>0</v>
      </c>
      <c r="T32" s="172">
        <f t="shared" si="67"/>
        <v>0</v>
      </c>
      <c r="U32" s="172">
        <f t="shared" si="67"/>
        <v>0</v>
      </c>
      <c r="V32" s="172">
        <f t="shared" si="67"/>
        <v>0</v>
      </c>
      <c r="W32" s="172">
        <f t="shared" si="67"/>
        <v>0</v>
      </c>
      <c r="X32" s="172">
        <f t="shared" si="67"/>
        <v>0</v>
      </c>
      <c r="Y32" s="172">
        <f t="shared" si="67"/>
        <v>0</v>
      </c>
      <c r="Z32" s="172">
        <f t="shared" si="67"/>
        <v>0</v>
      </c>
      <c r="AA32" s="172">
        <f t="shared" si="67"/>
        <v>0</v>
      </c>
    </row>
    <row r="34" spans="2:27">
      <c r="B34" s="97" t="s">
        <v>454</v>
      </c>
    </row>
    <row r="35" spans="2:27">
      <c r="B35" t="s">
        <v>455</v>
      </c>
      <c r="D35" s="140"/>
      <c r="E35" s="140"/>
      <c r="F35" s="140"/>
      <c r="G35" s="140"/>
      <c r="H35" s="140"/>
      <c r="I35" s="140"/>
      <c r="J35" s="140"/>
      <c r="K35" s="140"/>
      <c r="L35" s="140"/>
      <c r="M35" s="140"/>
      <c r="N35" s="140"/>
      <c r="O35" s="140"/>
      <c r="P35" s="140"/>
      <c r="Q35" s="140"/>
      <c r="R35" s="140"/>
      <c r="S35" s="140"/>
      <c r="T35" s="140"/>
      <c r="U35" s="115"/>
      <c r="V35" s="115"/>
      <c r="W35" s="115"/>
      <c r="X35" s="115"/>
      <c r="Y35" s="115"/>
      <c r="Z35" s="115"/>
      <c r="AA35" s="115"/>
    </row>
    <row r="36" spans="2:27">
      <c r="B36" t="s">
        <v>456</v>
      </c>
      <c r="D36" s="149">
        <f t="shared" ref="D36:U36" si="68">1/(2+D35)</f>
        <v>0.5</v>
      </c>
      <c r="E36" s="149">
        <f t="shared" si="68"/>
        <v>0.5</v>
      </c>
      <c r="F36" s="149">
        <f t="shared" si="68"/>
        <v>0.5</v>
      </c>
      <c r="G36" s="149">
        <f t="shared" si="68"/>
        <v>0.5</v>
      </c>
      <c r="H36" s="149">
        <f t="shared" si="68"/>
        <v>0.5</v>
      </c>
      <c r="I36" s="149">
        <f t="shared" si="68"/>
        <v>0.5</v>
      </c>
      <c r="J36" s="149">
        <f t="shared" si="68"/>
        <v>0.5</v>
      </c>
      <c r="K36" s="149">
        <f t="shared" si="68"/>
        <v>0.5</v>
      </c>
      <c r="L36" s="149">
        <f t="shared" si="68"/>
        <v>0.5</v>
      </c>
      <c r="M36" s="149">
        <f t="shared" si="68"/>
        <v>0.5</v>
      </c>
      <c r="N36" s="149">
        <f t="shared" si="68"/>
        <v>0.5</v>
      </c>
      <c r="O36" s="149">
        <f t="shared" si="68"/>
        <v>0.5</v>
      </c>
      <c r="P36" s="149">
        <f t="shared" si="68"/>
        <v>0.5</v>
      </c>
      <c r="Q36" s="149">
        <f t="shared" si="68"/>
        <v>0.5</v>
      </c>
      <c r="R36" s="149">
        <f t="shared" si="68"/>
        <v>0.5</v>
      </c>
      <c r="S36" s="149">
        <f t="shared" si="68"/>
        <v>0.5</v>
      </c>
      <c r="T36" s="149">
        <f>1/(2+T35)</f>
        <v>0.5</v>
      </c>
      <c r="U36" s="149">
        <f t="shared" si="68"/>
        <v>0.5</v>
      </c>
      <c r="V36" s="149">
        <f t="shared" ref="V36" si="69">1/(2+V35)</f>
        <v>0.5</v>
      </c>
      <c r="W36" s="149">
        <f t="shared" ref="W36" si="70">1/(2+W35)</f>
        <v>0.5</v>
      </c>
      <c r="X36" s="149">
        <f t="shared" ref="X36" si="71">1/(2+X35)</f>
        <v>0.5</v>
      </c>
      <c r="Y36" s="149">
        <f t="shared" ref="Y36" si="72">1/(2+Y35)</f>
        <v>0.5</v>
      </c>
      <c r="Z36" s="149">
        <f t="shared" ref="Z36" si="73">1/(2+Z35)</f>
        <v>0.5</v>
      </c>
      <c r="AA36" s="149">
        <f t="shared" ref="AA36" si="74">1/(2+AA35)</f>
        <v>0.5</v>
      </c>
    </row>
    <row r="37" spans="2:27" ht="15" thickBot="1">
      <c r="B37" s="103" t="s">
        <v>457</v>
      </c>
      <c r="C37" s="103"/>
      <c r="D37" s="150">
        <f t="shared" ref="D37:U37" si="75">1+D36*D35</f>
        <v>1</v>
      </c>
      <c r="E37" s="150">
        <f t="shared" si="75"/>
        <v>1</v>
      </c>
      <c r="F37" s="150">
        <f t="shared" si="75"/>
        <v>1</v>
      </c>
      <c r="G37" s="150">
        <f t="shared" si="75"/>
        <v>1</v>
      </c>
      <c r="H37" s="150">
        <f t="shared" si="75"/>
        <v>1</v>
      </c>
      <c r="I37" s="150">
        <f t="shared" si="75"/>
        <v>1</v>
      </c>
      <c r="J37" s="150">
        <f t="shared" si="75"/>
        <v>1</v>
      </c>
      <c r="K37" s="150">
        <f t="shared" si="75"/>
        <v>1</v>
      </c>
      <c r="L37" s="150">
        <f t="shared" si="75"/>
        <v>1</v>
      </c>
      <c r="M37" s="150">
        <f t="shared" si="75"/>
        <v>1</v>
      </c>
      <c r="N37" s="150">
        <f t="shared" si="75"/>
        <v>1</v>
      </c>
      <c r="O37" s="150">
        <f t="shared" si="75"/>
        <v>1</v>
      </c>
      <c r="P37" s="150">
        <f t="shared" si="75"/>
        <v>1</v>
      </c>
      <c r="Q37" s="150">
        <f t="shared" si="75"/>
        <v>1</v>
      </c>
      <c r="R37" s="150">
        <f t="shared" si="75"/>
        <v>1</v>
      </c>
      <c r="S37" s="150">
        <f t="shared" si="75"/>
        <v>1</v>
      </c>
      <c r="T37" s="150">
        <f t="shared" si="75"/>
        <v>1</v>
      </c>
      <c r="U37" s="150">
        <f t="shared" si="75"/>
        <v>1</v>
      </c>
      <c r="V37" s="150">
        <f t="shared" ref="V37" si="76">1+V36*V35</f>
        <v>1</v>
      </c>
      <c r="W37" s="150">
        <f t="shared" ref="W37" si="77">1+W36*W35</f>
        <v>1</v>
      </c>
      <c r="X37" s="150">
        <f t="shared" ref="X37" si="78">1+X36*X35</f>
        <v>1</v>
      </c>
      <c r="Y37" s="150">
        <f t="shared" ref="Y37" si="79">1+Y36*Y35</f>
        <v>1</v>
      </c>
      <c r="Z37" s="150">
        <f t="shared" ref="Z37" si="80">1+Z36*Z35</f>
        <v>1</v>
      </c>
      <c r="AA37" s="150">
        <f t="shared" ref="AA37" si="81">1+AA36*AA35</f>
        <v>1</v>
      </c>
    </row>
    <row r="43" spans="2:27">
      <c r="B43" s="97" t="s">
        <v>458</v>
      </c>
    </row>
    <row r="44" spans="2:27" s="113" customFormat="1" ht="42.65" customHeight="1">
      <c r="D44" s="168">
        <f t="shared" ref="D44:Z44" si="82">IF(D9&gt;rr_num,0,IF(D9=rr_num,1+D35,(1+D35)*E44))</f>
        <v>1</v>
      </c>
      <c r="E44" s="168">
        <f t="shared" si="82"/>
        <v>1</v>
      </c>
      <c r="F44" s="168">
        <f t="shared" si="82"/>
        <v>1</v>
      </c>
      <c r="G44" s="168">
        <f t="shared" si="82"/>
        <v>1</v>
      </c>
      <c r="H44" s="168">
        <f t="shared" si="82"/>
        <v>1</v>
      </c>
      <c r="I44" s="168">
        <f t="shared" si="82"/>
        <v>1</v>
      </c>
      <c r="J44" s="168">
        <f t="shared" si="82"/>
        <v>1</v>
      </c>
      <c r="K44" s="168">
        <f t="shared" si="82"/>
        <v>1</v>
      </c>
      <c r="L44" s="168">
        <f t="shared" si="82"/>
        <v>1</v>
      </c>
      <c r="M44" s="168">
        <f t="shared" si="82"/>
        <v>1</v>
      </c>
      <c r="N44" s="168">
        <f t="shared" si="82"/>
        <v>1</v>
      </c>
      <c r="O44" s="168">
        <f t="shared" si="82"/>
        <v>1</v>
      </c>
      <c r="P44" s="168">
        <f t="shared" si="82"/>
        <v>1</v>
      </c>
      <c r="Q44" s="168">
        <f t="shared" si="82"/>
        <v>1</v>
      </c>
      <c r="R44" s="168">
        <f t="shared" si="82"/>
        <v>1</v>
      </c>
      <c r="S44" s="168">
        <f t="shared" si="82"/>
        <v>1</v>
      </c>
      <c r="T44" s="168">
        <f t="shared" si="82"/>
        <v>1</v>
      </c>
      <c r="U44" s="168">
        <f t="shared" si="82"/>
        <v>0</v>
      </c>
      <c r="V44" s="168">
        <f t="shared" si="82"/>
        <v>0</v>
      </c>
      <c r="W44" s="168">
        <f t="shared" si="82"/>
        <v>0</v>
      </c>
      <c r="X44" s="168">
        <f t="shared" si="82"/>
        <v>0</v>
      </c>
      <c r="Y44" s="168">
        <f t="shared" si="82"/>
        <v>0</v>
      </c>
      <c r="Z44" s="168">
        <f t="shared" si="82"/>
        <v>0</v>
      </c>
      <c r="AA44" s="168">
        <f>IF(AA9&gt;rr_num,0,IF(AA9=rr_num,1+AA35,(1+AA35)*#REF!))</f>
        <v>0</v>
      </c>
    </row>
    <row r="45" spans="2:27" s="113" customFormat="1">
      <c r="B45"/>
      <c r="D45" s="114"/>
      <c r="E45" s="114"/>
      <c r="F45" s="114"/>
      <c r="G45" s="114"/>
      <c r="H45" s="114"/>
      <c r="I45" s="112"/>
      <c r="J45" s="114"/>
      <c r="K45" s="114"/>
      <c r="L45" s="114"/>
      <c r="M45" s="114"/>
      <c r="N45" s="114"/>
      <c r="O45" s="114"/>
      <c r="P45" s="114"/>
      <c r="Q45" s="114"/>
      <c r="R45" s="114"/>
      <c r="S45" s="114"/>
      <c r="T45" s="114"/>
      <c r="U45" s="114"/>
      <c r="V45" s="114"/>
      <c r="W45" s="114"/>
      <c r="X45" s="114"/>
      <c r="Y45" s="114"/>
      <c r="Z45" s="114"/>
      <c r="AA45" s="114"/>
    </row>
    <row r="46" spans="2:27">
      <c r="B46" s="97" t="s">
        <v>459</v>
      </c>
    </row>
    <row r="47" spans="2:27">
      <c r="B47" t="s">
        <v>460</v>
      </c>
      <c r="C47" s="141"/>
    </row>
    <row r="48" spans="2:27">
      <c r="B48" t="s">
        <v>461</v>
      </c>
      <c r="C48" s="141" cm="1">
        <f t="array" ref="C48">-SUM(D12:AA12*D20:AA20*D44:AA44*(1-D29:AA29)/D37:AA37)/C32</f>
        <v>0</v>
      </c>
    </row>
    <row r="49" spans="2:27" ht="15" thickBot="1">
      <c r="B49" s="18" t="s">
        <v>462</v>
      </c>
      <c r="C49" s="165">
        <f>SUM(C47:C48)</f>
        <v>0</v>
      </c>
    </row>
    <row r="50" spans="2:27" s="113" customFormat="1">
      <c r="B50"/>
      <c r="D50" s="114"/>
      <c r="E50" s="114"/>
      <c r="F50" s="114"/>
      <c r="G50" s="114"/>
      <c r="H50" s="114"/>
      <c r="I50" s="112"/>
      <c r="J50" s="114"/>
      <c r="K50" s="114"/>
      <c r="L50" s="114"/>
      <c r="M50" s="114"/>
      <c r="N50" s="114"/>
      <c r="O50" s="114"/>
      <c r="P50" s="114"/>
      <c r="Q50" s="114"/>
      <c r="R50" s="114"/>
      <c r="S50" s="114"/>
      <c r="T50" s="114"/>
      <c r="U50" s="114"/>
      <c r="V50" s="114"/>
      <c r="W50" s="114"/>
      <c r="X50" s="114"/>
      <c r="Y50" s="114"/>
      <c r="Z50" s="114"/>
      <c r="AA50" s="114"/>
    </row>
    <row r="51" spans="2:27" s="113" customFormat="1" ht="21">
      <c r="B51" s="111" t="s">
        <v>463</v>
      </c>
      <c r="C51" s="110">
        <f>C49</f>
        <v>0</v>
      </c>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row>
    <row r="52" spans="2:27" s="113" customFormat="1">
      <c r="B52"/>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row>
    <row r="53" spans="2:27" ht="36.65" customHeight="1">
      <c r="D53" s="151">
        <f t="shared" ref="D53:U53" si="83">IF(D12=1,D24*(1-D29)/(D37*$C$32),0)</f>
        <v>0</v>
      </c>
      <c r="E53" s="151">
        <f t="shared" si="83"/>
        <v>0</v>
      </c>
      <c r="F53" s="151">
        <f t="shared" si="83"/>
        <v>0</v>
      </c>
      <c r="G53" s="151">
        <f t="shared" si="83"/>
        <v>0</v>
      </c>
      <c r="H53" s="151">
        <f t="shared" si="83"/>
        <v>0</v>
      </c>
      <c r="I53" s="151">
        <f t="shared" si="83"/>
        <v>0</v>
      </c>
      <c r="J53" s="151">
        <f t="shared" si="83"/>
        <v>0</v>
      </c>
      <c r="K53" s="151">
        <f t="shared" si="83"/>
        <v>0</v>
      </c>
      <c r="L53" s="151">
        <f t="shared" si="83"/>
        <v>0</v>
      </c>
      <c r="M53" s="151">
        <f t="shared" si="83"/>
        <v>0</v>
      </c>
      <c r="N53" s="151">
        <f t="shared" si="83"/>
        <v>0</v>
      </c>
      <c r="O53" s="151">
        <f t="shared" si="83"/>
        <v>0</v>
      </c>
      <c r="P53" s="151">
        <f t="shared" si="83"/>
        <v>0</v>
      </c>
      <c r="Q53" s="151">
        <f t="shared" si="83"/>
        <v>0</v>
      </c>
      <c r="R53" s="151">
        <f t="shared" si="83"/>
        <v>0</v>
      </c>
      <c r="S53" s="151">
        <f t="shared" si="83"/>
        <v>0</v>
      </c>
      <c r="T53" s="151">
        <f t="shared" si="83"/>
        <v>0</v>
      </c>
      <c r="U53" s="151">
        <f t="shared" si="83"/>
        <v>0</v>
      </c>
      <c r="V53" s="151">
        <f t="shared" ref="V53" si="84">IF(V12=1,V24*(1-V29)/(V37*$C$32),0)</f>
        <v>0</v>
      </c>
      <c r="W53" s="151">
        <f t="shared" ref="W53" si="85">IF(W12=1,W24*(1-W29)/(W37*$C$32),0)</f>
        <v>0</v>
      </c>
      <c r="X53" s="151">
        <f t="shared" ref="X53" si="86">IF(X12=1,X24*(1-X29)/(X37*$C$32),0)</f>
        <v>0</v>
      </c>
      <c r="Y53" s="151">
        <f t="shared" ref="Y53" si="87">IF(Y12=1,Y24*(1-Y29)/(Y37*$C$32),0)</f>
        <v>0</v>
      </c>
      <c r="Z53" s="151">
        <f t="shared" ref="Z53" si="88">IF(Z12=1,Z24*(1-Z29)/(Z37*$C$32),0)</f>
        <v>0</v>
      </c>
      <c r="AA53" s="151">
        <f t="shared" ref="AA53" si="89">IF(AA12=1,AA24*(1-AA29)/(AA37*$C$32),0)</f>
        <v>0</v>
      </c>
    </row>
    <row r="54" spans="2:27" ht="48.65" customHeight="1">
      <c r="D54" s="151">
        <f t="shared" ref="D54:U54" si="90">IF(D12=1,D53*D44,0)</f>
        <v>0</v>
      </c>
      <c r="E54" s="151">
        <f t="shared" si="90"/>
        <v>0</v>
      </c>
      <c r="F54" s="151">
        <f t="shared" si="90"/>
        <v>0</v>
      </c>
      <c r="G54" s="151">
        <f t="shared" si="90"/>
        <v>0</v>
      </c>
      <c r="H54" s="151">
        <f t="shared" si="90"/>
        <v>0</v>
      </c>
      <c r="I54" s="151">
        <f t="shared" si="90"/>
        <v>0</v>
      </c>
      <c r="J54" s="151">
        <f t="shared" si="90"/>
        <v>0</v>
      </c>
      <c r="K54" s="151">
        <f t="shared" si="90"/>
        <v>0</v>
      </c>
      <c r="L54" s="151">
        <f t="shared" si="90"/>
        <v>0</v>
      </c>
      <c r="M54" s="151">
        <f t="shared" si="90"/>
        <v>0</v>
      </c>
      <c r="N54" s="151">
        <f t="shared" si="90"/>
        <v>0</v>
      </c>
      <c r="O54" s="151">
        <f t="shared" si="90"/>
        <v>0</v>
      </c>
      <c r="P54" s="151">
        <f t="shared" si="90"/>
        <v>0</v>
      </c>
      <c r="Q54" s="151">
        <f t="shared" si="90"/>
        <v>0</v>
      </c>
      <c r="R54" s="151">
        <f t="shared" si="90"/>
        <v>0</v>
      </c>
      <c r="S54" s="151">
        <f t="shared" si="90"/>
        <v>0</v>
      </c>
      <c r="T54" s="151">
        <f t="shared" si="90"/>
        <v>0</v>
      </c>
      <c r="U54" s="151">
        <f t="shared" si="90"/>
        <v>0</v>
      </c>
      <c r="V54" s="151">
        <f t="shared" ref="V54" si="91">IF(V12=1,V53*V44,0)</f>
        <v>0</v>
      </c>
      <c r="W54" s="151">
        <f t="shared" ref="W54" si="92">IF(W12=1,W53*W44,0)</f>
        <v>0</v>
      </c>
      <c r="X54" s="151">
        <f t="shared" ref="X54" si="93">IF(X12=1,X53*X44,0)</f>
        <v>0</v>
      </c>
      <c r="Y54" s="151">
        <f t="shared" ref="Y54" si="94">IF(Y12=1,Y53*Y44,0)</f>
        <v>0</v>
      </c>
      <c r="Z54" s="151">
        <f t="shared" ref="Z54" si="95">IF(Z12=1,Z53*Z44,0)</f>
        <v>0</v>
      </c>
      <c r="AA54" s="151">
        <f t="shared" ref="AA54" si="96">IF(AA12=1,AA53*AA44,0)</f>
        <v>0</v>
      </c>
    </row>
    <row r="56" spans="2:27" ht="21">
      <c r="B56" s="111" t="s">
        <v>464</v>
      </c>
      <c r="C56" s="110">
        <f>SUM(D54:U54)</f>
        <v>0</v>
      </c>
    </row>
    <row r="58" spans="2:27" ht="35.15" customHeight="1">
      <c r="D58" s="151">
        <f t="shared" ref="D58:U58" si="97">IF(D13=1,D18*(1-D29)/(D37*$C$32),0)</f>
        <v>0</v>
      </c>
      <c r="E58" s="151">
        <f t="shared" si="97"/>
        <v>0</v>
      </c>
      <c r="F58" s="151">
        <f t="shared" si="97"/>
        <v>0</v>
      </c>
      <c r="G58" s="151">
        <f t="shared" si="97"/>
        <v>0</v>
      </c>
      <c r="H58" s="151">
        <f t="shared" si="97"/>
        <v>0</v>
      </c>
      <c r="I58" s="151">
        <f t="shared" si="97"/>
        <v>0</v>
      </c>
      <c r="J58" s="151">
        <f t="shared" si="97"/>
        <v>0</v>
      </c>
      <c r="K58" s="151">
        <f t="shared" si="97"/>
        <v>0</v>
      </c>
      <c r="L58" s="151">
        <f t="shared" si="97"/>
        <v>0</v>
      </c>
      <c r="M58" s="151">
        <f t="shared" si="97"/>
        <v>0</v>
      </c>
      <c r="N58" s="151">
        <f t="shared" si="97"/>
        <v>0</v>
      </c>
      <c r="O58" s="151">
        <f t="shared" si="97"/>
        <v>0</v>
      </c>
      <c r="P58" s="151">
        <f t="shared" si="97"/>
        <v>0</v>
      </c>
      <c r="Q58" s="151">
        <f t="shared" si="97"/>
        <v>0</v>
      </c>
      <c r="R58" s="151">
        <f t="shared" si="97"/>
        <v>0</v>
      </c>
      <c r="S58" s="151">
        <f t="shared" si="97"/>
        <v>0</v>
      </c>
      <c r="T58" s="151">
        <f t="shared" si="97"/>
        <v>0</v>
      </c>
      <c r="U58" s="151">
        <f t="shared" si="97"/>
        <v>0</v>
      </c>
      <c r="V58" s="151">
        <f t="shared" ref="V58" si="98">IF(V13=1,V18*(1-V29)/(V37*$C$32),0)</f>
        <v>0</v>
      </c>
      <c r="W58" s="151">
        <f t="shared" ref="W58" si="99">IF(W13=1,W18*(1-W29)/(W37*$C$32),0)</f>
        <v>0</v>
      </c>
      <c r="X58" s="151">
        <f t="shared" ref="X58" si="100">IF(X13=1,X18*(1-X29)/(X37*$C$32),0)</f>
        <v>0</v>
      </c>
      <c r="Y58" s="151">
        <f t="shared" ref="Y58" si="101">IF(Y13=1,Y18*(1-Y29)/(Y37*$C$32),0)</f>
        <v>0</v>
      </c>
      <c r="Z58" s="151">
        <f t="shared" ref="Z58" si="102">IF(Z13=1,Z18*(1-Z29)/(Z37*$C$32),0)</f>
        <v>0</v>
      </c>
      <c r="AA58" s="151">
        <f t="shared" ref="AA58" si="103">IF(AA13=1,AA18*(1-AA29)/(AA37*$C$32),0)</f>
        <v>0</v>
      </c>
    </row>
    <row r="59" spans="2:27" ht="48.65" customHeight="1">
      <c r="D59" s="151">
        <f t="shared" ref="D59:U59" si="104">IF(D13=1,-D58*D44,0)</f>
        <v>0</v>
      </c>
      <c r="E59" s="151">
        <f t="shared" si="104"/>
        <v>0</v>
      </c>
      <c r="F59" s="151">
        <f t="shared" si="104"/>
        <v>0</v>
      </c>
      <c r="G59" s="151">
        <f t="shared" si="104"/>
        <v>0</v>
      </c>
      <c r="H59" s="151">
        <f t="shared" si="104"/>
        <v>0</v>
      </c>
      <c r="I59" s="151">
        <f t="shared" si="104"/>
        <v>0</v>
      </c>
      <c r="J59" s="151">
        <f t="shared" si="104"/>
        <v>0</v>
      </c>
      <c r="K59" s="151">
        <f t="shared" si="104"/>
        <v>0</v>
      </c>
      <c r="L59" s="151">
        <f t="shared" si="104"/>
        <v>0</v>
      </c>
      <c r="M59" s="151">
        <f t="shared" si="104"/>
        <v>0</v>
      </c>
      <c r="N59" s="151">
        <f t="shared" si="104"/>
        <v>0</v>
      </c>
      <c r="O59" s="151">
        <f t="shared" si="104"/>
        <v>0</v>
      </c>
      <c r="P59" s="151">
        <f t="shared" si="104"/>
        <v>0</v>
      </c>
      <c r="Q59" s="151">
        <f t="shared" si="104"/>
        <v>0</v>
      </c>
      <c r="R59" s="151">
        <f t="shared" si="104"/>
        <v>0</v>
      </c>
      <c r="S59" s="151">
        <f t="shared" si="104"/>
        <v>0</v>
      </c>
      <c r="T59" s="151">
        <f t="shared" si="104"/>
        <v>0</v>
      </c>
      <c r="U59" s="151">
        <f t="shared" si="104"/>
        <v>0</v>
      </c>
      <c r="V59" s="151">
        <f t="shared" ref="V59" si="105">IF(V13=1,-V58*V44,0)</f>
        <v>0</v>
      </c>
      <c r="W59" s="151">
        <f t="shared" ref="W59" si="106">IF(W13=1,-W58*W44,0)</f>
        <v>0</v>
      </c>
      <c r="X59" s="151">
        <f t="shared" ref="X59" si="107">IF(X13=1,-X58*X44,0)</f>
        <v>0</v>
      </c>
      <c r="Y59" s="151">
        <f t="shared" ref="Y59" si="108">IF(Y13=1,-Y58*Y44,0)</f>
        <v>0</v>
      </c>
      <c r="Z59" s="151">
        <f t="shared" ref="Z59" si="109">IF(Z13=1,-Z58*Z44,0)</f>
        <v>0</v>
      </c>
      <c r="AA59" s="151">
        <f t="shared" ref="AA59" si="110">IF(AA13=1,-AA58*AA44,0)</f>
        <v>0</v>
      </c>
    </row>
    <row r="61" spans="2:27" ht="21">
      <c r="B61" s="111" t="s">
        <v>465</v>
      </c>
      <c r="C61" s="152">
        <f>SUM(D59:AA59)</f>
        <v>0</v>
      </c>
    </row>
    <row r="63" spans="2:27" ht="21.5" thickBot="1">
      <c r="B63" s="109" t="s">
        <v>466</v>
      </c>
      <c r="C63" s="153">
        <f>C51+C56+C61</f>
        <v>0</v>
      </c>
    </row>
    <row r="67" spans="1:28" ht="21">
      <c r="A67" s="94" t="s">
        <v>467</v>
      </c>
      <c r="B67" s="93"/>
      <c r="C67" s="93"/>
    </row>
    <row r="69" spans="1:28">
      <c r="B69" t="s">
        <v>468</v>
      </c>
      <c r="D69" s="108"/>
      <c r="E69" s="108"/>
      <c r="F69" s="108"/>
      <c r="G69" s="108"/>
      <c r="H69" s="108"/>
      <c r="I69" s="108"/>
      <c r="J69" s="108"/>
      <c r="K69" s="108"/>
      <c r="L69" s="160"/>
      <c r="M69" s="160"/>
      <c r="N69" s="160"/>
      <c r="O69" s="160"/>
      <c r="P69" s="160"/>
      <c r="Q69" s="160"/>
      <c r="R69" s="160"/>
      <c r="S69" s="160"/>
      <c r="T69" s="160"/>
      <c r="U69" s="160"/>
      <c r="V69" s="160"/>
      <c r="W69" s="160"/>
      <c r="X69" s="160"/>
      <c r="Y69" s="160"/>
      <c r="Z69" s="160"/>
      <c r="AA69" s="160"/>
    </row>
    <row r="70" spans="1:28">
      <c r="B70" t="s">
        <v>469</v>
      </c>
      <c r="D70" s="149">
        <f t="shared" ref="D70:U70" si="111">1/(2+D69)</f>
        <v>0.5</v>
      </c>
      <c r="E70" s="149">
        <f t="shared" si="111"/>
        <v>0.5</v>
      </c>
      <c r="F70" s="149">
        <f t="shared" si="111"/>
        <v>0.5</v>
      </c>
      <c r="G70" s="149">
        <f t="shared" si="111"/>
        <v>0.5</v>
      </c>
      <c r="H70" s="149">
        <f t="shared" si="111"/>
        <v>0.5</v>
      </c>
      <c r="I70" s="149">
        <f t="shared" si="111"/>
        <v>0.5</v>
      </c>
      <c r="J70" s="149">
        <f t="shared" si="111"/>
        <v>0.5</v>
      </c>
      <c r="K70" s="149">
        <f t="shared" si="111"/>
        <v>0.5</v>
      </c>
      <c r="L70" s="149">
        <f t="shared" si="111"/>
        <v>0.5</v>
      </c>
      <c r="M70" s="149">
        <f t="shared" si="111"/>
        <v>0.5</v>
      </c>
      <c r="N70" s="149">
        <f t="shared" si="111"/>
        <v>0.5</v>
      </c>
      <c r="O70" s="149">
        <f t="shared" si="111"/>
        <v>0.5</v>
      </c>
      <c r="P70" s="149">
        <f t="shared" si="111"/>
        <v>0.5</v>
      </c>
      <c r="Q70" s="149">
        <f t="shared" si="111"/>
        <v>0.5</v>
      </c>
      <c r="R70" s="149">
        <f t="shared" si="111"/>
        <v>0.5</v>
      </c>
      <c r="S70" s="149">
        <f t="shared" si="111"/>
        <v>0.5</v>
      </c>
      <c r="T70" s="149">
        <f t="shared" si="111"/>
        <v>0.5</v>
      </c>
      <c r="U70" s="149">
        <f t="shared" si="111"/>
        <v>0.5</v>
      </c>
      <c r="V70" s="149">
        <f t="shared" ref="V70" si="112">1/(2+V69)</f>
        <v>0.5</v>
      </c>
      <c r="W70" s="149">
        <f t="shared" ref="W70" si="113">1/(2+W69)</f>
        <v>0.5</v>
      </c>
      <c r="X70" s="149">
        <f t="shared" ref="X70" si="114">1/(2+X69)</f>
        <v>0.5</v>
      </c>
      <c r="Y70" s="149">
        <f t="shared" ref="Y70" si="115">1/(2+Y69)</f>
        <v>0.5</v>
      </c>
      <c r="Z70" s="149">
        <f t="shared" ref="Z70" si="116">1/(2+Z69)</f>
        <v>0.5</v>
      </c>
      <c r="AA70" s="149">
        <f t="shared" ref="AA70" si="117">1/(2+AA69)</f>
        <v>0.5</v>
      </c>
    </row>
    <row r="71" spans="1:28" ht="42.75" customHeight="1">
      <c r="D71" s="171">
        <f t="shared" ref="D71:AA71" si="118">IF(D9=rr_num+1,1/(1+D69),IF(D9&lt;=rr_num,0,C71/(1+D69)))</f>
        <v>0</v>
      </c>
      <c r="E71" s="171">
        <f t="shared" si="118"/>
        <v>0</v>
      </c>
      <c r="F71" s="171">
        <f t="shared" si="118"/>
        <v>0</v>
      </c>
      <c r="G71" s="171">
        <f t="shared" si="118"/>
        <v>0</v>
      </c>
      <c r="H71" s="171">
        <f t="shared" si="118"/>
        <v>0</v>
      </c>
      <c r="I71" s="171">
        <f t="shared" si="118"/>
        <v>0</v>
      </c>
      <c r="J71" s="171">
        <f t="shared" si="118"/>
        <v>0</v>
      </c>
      <c r="K71" s="171">
        <f t="shared" si="118"/>
        <v>0</v>
      </c>
      <c r="L71" s="171">
        <f t="shared" si="118"/>
        <v>0</v>
      </c>
      <c r="M71" s="171">
        <f t="shared" si="118"/>
        <v>0</v>
      </c>
      <c r="N71" s="171">
        <f t="shared" si="118"/>
        <v>0</v>
      </c>
      <c r="O71" s="171">
        <f t="shared" si="118"/>
        <v>0</v>
      </c>
      <c r="P71" s="171">
        <f t="shared" si="118"/>
        <v>0</v>
      </c>
      <c r="Q71" s="171">
        <f t="shared" si="118"/>
        <v>0</v>
      </c>
      <c r="R71" s="171">
        <f t="shared" si="118"/>
        <v>0</v>
      </c>
      <c r="S71" s="171">
        <f t="shared" si="118"/>
        <v>0</v>
      </c>
      <c r="T71" s="171">
        <f t="shared" si="118"/>
        <v>0</v>
      </c>
      <c r="U71" s="171">
        <f t="shared" si="118"/>
        <v>1</v>
      </c>
      <c r="V71" s="171">
        <f t="shared" si="118"/>
        <v>1</v>
      </c>
      <c r="W71" s="171">
        <f t="shared" si="118"/>
        <v>1</v>
      </c>
      <c r="X71" s="171">
        <f t="shared" si="118"/>
        <v>1</v>
      </c>
      <c r="Y71" s="171">
        <f t="shared" si="118"/>
        <v>1</v>
      </c>
      <c r="Z71" s="171">
        <f t="shared" si="118"/>
        <v>1</v>
      </c>
      <c r="AA71" s="171">
        <f t="shared" si="118"/>
        <v>1</v>
      </c>
    </row>
    <row r="72" spans="1:28" ht="42.75" customHeight="1">
      <c r="D72" s="154">
        <f t="shared" ref="D72:U72" si="119">(1+D70*D69)*D71</f>
        <v>0</v>
      </c>
      <c r="E72" s="154">
        <f t="shared" si="119"/>
        <v>0</v>
      </c>
      <c r="F72" s="154">
        <f t="shared" si="119"/>
        <v>0</v>
      </c>
      <c r="G72" s="154">
        <f t="shared" si="119"/>
        <v>0</v>
      </c>
      <c r="H72" s="154">
        <f t="shared" si="119"/>
        <v>0</v>
      </c>
      <c r="I72" s="154">
        <f t="shared" si="119"/>
        <v>0</v>
      </c>
      <c r="J72" s="154">
        <f t="shared" si="119"/>
        <v>0</v>
      </c>
      <c r="K72" s="154">
        <f t="shared" si="119"/>
        <v>0</v>
      </c>
      <c r="L72" s="154">
        <f t="shared" si="119"/>
        <v>0</v>
      </c>
      <c r="M72" s="154">
        <f t="shared" si="119"/>
        <v>0</v>
      </c>
      <c r="N72" s="154">
        <f t="shared" si="119"/>
        <v>0</v>
      </c>
      <c r="O72" s="154">
        <f t="shared" si="119"/>
        <v>0</v>
      </c>
      <c r="P72" s="154">
        <f t="shared" si="119"/>
        <v>0</v>
      </c>
      <c r="Q72" s="154">
        <f t="shared" si="119"/>
        <v>0</v>
      </c>
      <c r="R72" s="154">
        <f t="shared" si="119"/>
        <v>0</v>
      </c>
      <c r="S72" s="154">
        <f t="shared" si="119"/>
        <v>0</v>
      </c>
      <c r="T72" s="154">
        <f t="shared" si="119"/>
        <v>0</v>
      </c>
      <c r="U72" s="154">
        <f t="shared" si="119"/>
        <v>1</v>
      </c>
      <c r="V72" s="154">
        <f t="shared" ref="V72" si="120">(1+V70*V69)*V71</f>
        <v>1</v>
      </c>
      <c r="W72" s="154">
        <f t="shared" ref="W72" si="121">(1+W70*W69)*W71</f>
        <v>1</v>
      </c>
      <c r="X72" s="154">
        <f t="shared" ref="X72" si="122">(1+X70*X69)*X71</f>
        <v>1</v>
      </c>
      <c r="Y72" s="154">
        <f t="shared" ref="Y72" si="123">(1+Y70*Y69)*Y71</f>
        <v>1</v>
      </c>
      <c r="Z72" s="154">
        <f t="shared" ref="Z72" si="124">(1+Z70*Z69)*Z71</f>
        <v>1</v>
      </c>
      <c r="AA72" s="154">
        <f t="shared" ref="AA72" si="125">(1+AA70*AA69)*AA71</f>
        <v>1</v>
      </c>
    </row>
    <row r="73" spans="1:28" s="105" customFormat="1" ht="22.5" customHeight="1">
      <c r="B73" s="105" t="s">
        <v>470</v>
      </c>
      <c r="D73" s="106"/>
      <c r="E73" s="106"/>
      <c r="F73" s="106"/>
      <c r="G73" s="106"/>
      <c r="H73" s="106"/>
      <c r="I73" s="106"/>
      <c r="J73" s="106"/>
      <c r="K73" s="106"/>
      <c r="L73" s="161"/>
      <c r="M73" s="161"/>
      <c r="N73" s="161"/>
      <c r="O73" s="161"/>
      <c r="P73" s="161"/>
      <c r="Q73" s="161"/>
      <c r="R73" s="161"/>
      <c r="S73" s="161"/>
      <c r="T73" s="161"/>
      <c r="U73" s="161"/>
      <c r="V73" s="161"/>
      <c r="W73" s="161"/>
      <c r="X73" s="161"/>
      <c r="Y73" s="161"/>
      <c r="Z73" s="161"/>
      <c r="AA73" s="161" cm="1">
        <f t="array" ref="AA73">(C87-SUM(D73:Z73*D72:Z72))/AA72</f>
        <v>0</v>
      </c>
      <c r="AB73" s="346" t="s">
        <v>471</v>
      </c>
    </row>
    <row r="74" spans="1:28" ht="15" thickBot="1">
      <c r="B74" t="s">
        <v>472</v>
      </c>
      <c r="D74" s="104">
        <f t="shared" ref="D74:U74" si="126">D73*D72</f>
        <v>0</v>
      </c>
      <c r="E74" s="104">
        <f t="shared" si="126"/>
        <v>0</v>
      </c>
      <c r="F74" s="104">
        <f t="shared" si="126"/>
        <v>0</v>
      </c>
      <c r="G74" s="104">
        <f t="shared" si="126"/>
        <v>0</v>
      </c>
      <c r="H74" s="104">
        <f t="shared" si="126"/>
        <v>0</v>
      </c>
      <c r="I74" s="104">
        <f t="shared" si="126"/>
        <v>0</v>
      </c>
      <c r="J74" s="104">
        <f t="shared" si="126"/>
        <v>0</v>
      </c>
      <c r="K74" s="104">
        <f t="shared" si="126"/>
        <v>0</v>
      </c>
      <c r="L74" s="104">
        <f t="shared" si="126"/>
        <v>0</v>
      </c>
      <c r="M74" s="104">
        <f t="shared" si="126"/>
        <v>0</v>
      </c>
      <c r="N74" s="104">
        <f t="shared" si="126"/>
        <v>0</v>
      </c>
      <c r="O74" s="104">
        <f t="shared" si="126"/>
        <v>0</v>
      </c>
      <c r="P74" s="104">
        <f t="shared" si="126"/>
        <v>0</v>
      </c>
      <c r="Q74" s="104">
        <f t="shared" si="126"/>
        <v>0</v>
      </c>
      <c r="R74" s="104">
        <f t="shared" si="126"/>
        <v>0</v>
      </c>
      <c r="S74" s="104">
        <f t="shared" si="126"/>
        <v>0</v>
      </c>
      <c r="T74" s="104">
        <f t="shared" si="126"/>
        <v>0</v>
      </c>
      <c r="U74" s="104">
        <f t="shared" si="126"/>
        <v>0</v>
      </c>
      <c r="V74" s="104">
        <f t="shared" ref="V74" si="127">V73*V72</f>
        <v>0</v>
      </c>
      <c r="W74" s="104">
        <f t="shared" ref="W74" si="128">W73*W72</f>
        <v>0</v>
      </c>
      <c r="X74" s="104">
        <f t="shared" ref="X74" si="129">X73*X72</f>
        <v>0</v>
      </c>
      <c r="Y74" s="104">
        <f t="shared" ref="Y74" si="130">Y73*Y72</f>
        <v>0</v>
      </c>
      <c r="Z74" s="104">
        <f t="shared" ref="Z74" si="131">Z73*Z72</f>
        <v>0</v>
      </c>
      <c r="AA74" s="104">
        <f t="shared" ref="AA74" si="132">AA73*AA72</f>
        <v>0</v>
      </c>
      <c r="AB74" s="344"/>
    </row>
    <row r="75" spans="1:28" ht="15" thickBot="1">
      <c r="B75" s="103" t="s">
        <v>473</v>
      </c>
      <c r="C75" s="157">
        <f>SUM(D74:AA74)</f>
        <v>0</v>
      </c>
      <c r="D75" s="92"/>
      <c r="E75" s="92"/>
      <c r="F75" s="92"/>
      <c r="G75" s="92"/>
      <c r="H75" s="92"/>
      <c r="I75" s="92"/>
      <c r="J75" s="92"/>
      <c r="K75" s="92"/>
      <c r="L75" s="92"/>
      <c r="M75" s="92"/>
      <c r="N75" s="92"/>
      <c r="O75" s="92"/>
      <c r="P75" s="92"/>
      <c r="Q75" s="92"/>
      <c r="R75" s="92"/>
      <c r="S75" s="92"/>
      <c r="T75" s="92"/>
      <c r="U75" s="92"/>
      <c r="V75" s="92"/>
      <c r="W75" s="92"/>
      <c r="X75" s="92"/>
      <c r="Y75" s="92"/>
      <c r="Z75" s="92"/>
      <c r="AA75" s="92"/>
      <c r="AB75" s="344"/>
    </row>
    <row r="76" spans="1:28">
      <c r="C76" s="99"/>
      <c r="D76" s="92"/>
      <c r="E76" s="92"/>
      <c r="F76" s="92"/>
      <c r="G76" s="92"/>
      <c r="H76" s="92"/>
      <c r="I76" s="92"/>
      <c r="J76" s="92"/>
      <c r="K76" s="92"/>
      <c r="L76" s="92"/>
      <c r="M76" s="92"/>
      <c r="N76" s="92"/>
      <c r="O76" s="92"/>
      <c r="P76" s="92"/>
      <c r="Q76" s="92"/>
      <c r="R76" s="92"/>
      <c r="S76" s="92"/>
      <c r="T76" s="92"/>
      <c r="U76" s="92"/>
      <c r="V76" s="92"/>
      <c r="W76" s="92"/>
      <c r="X76" s="92"/>
      <c r="Y76" s="92"/>
      <c r="Z76" s="92"/>
      <c r="AA76" s="92"/>
      <c r="AB76" s="344"/>
    </row>
    <row r="77" spans="1:28" s="97" customFormat="1">
      <c r="B77" s="97" t="s">
        <v>474</v>
      </c>
      <c r="C77" s="101"/>
      <c r="D77" s="170" t="e">
        <f>D73+INDEX('P1.6 IBAPA and PBAPA - L1'!9:9,MATCH(D10,'P1.6 IBAPA and PBAPA - L1'!4:4,0))</f>
        <v>#N/A</v>
      </c>
      <c r="E77" s="170" t="e">
        <f>E73+INDEX('P1.6 IBAPA and PBAPA - L1'!9:9,MATCH(E10,'P1.6 IBAPA and PBAPA - L1'!4:4,0))</f>
        <v>#N/A</v>
      </c>
      <c r="F77" s="170" t="e">
        <f>F73+INDEX('P1.6 IBAPA and PBAPA - L1'!9:9,MATCH(F10,'P1.6 IBAPA and PBAPA - L1'!4:4,0))</f>
        <v>#N/A</v>
      </c>
      <c r="G77" s="170" t="e">
        <f>G73+INDEX('P1.6 IBAPA and PBAPA - L1'!9:9,MATCH(G10,'P1.6 IBAPA and PBAPA - L1'!4:4,0))</f>
        <v>#N/A</v>
      </c>
      <c r="H77" s="170" t="e">
        <f>H73+INDEX('P1.6 IBAPA and PBAPA - L1'!9:9,MATCH(H10,'P1.6 IBAPA and PBAPA - L1'!4:4,0))</f>
        <v>#N/A</v>
      </c>
      <c r="I77" s="170" t="e">
        <f>I73+INDEX('P1.6 IBAPA and PBAPA - L1'!9:9,MATCH(I10,'P1.6 IBAPA and PBAPA - L1'!4:4,0))</f>
        <v>#N/A</v>
      </c>
      <c r="J77" s="170" t="e">
        <f>J73+INDEX('P1.6 IBAPA and PBAPA - L1'!9:9,MATCH(J10,'P1.6 IBAPA and PBAPA - L1'!4:4,0))</f>
        <v>#N/A</v>
      </c>
      <c r="K77" s="170" t="e">
        <f>K73+INDEX('P1.6 IBAPA and PBAPA - L1'!9:9,MATCH(K10,'P1.6 IBAPA and PBAPA - L1'!4:4,0))</f>
        <v>#N/A</v>
      </c>
      <c r="L77" s="170" t="e">
        <f>L73+INDEX('P1.6 IBAPA and PBAPA - L1'!9:9,MATCH(L10,'P1.6 IBAPA and PBAPA - L1'!4:4,0))</f>
        <v>#N/A</v>
      </c>
      <c r="M77" s="170" t="e">
        <f>M73+INDEX('P1.6 IBAPA and PBAPA - L1'!9:9,MATCH(M10,'P1.6 IBAPA and PBAPA - L1'!4:4,0))</f>
        <v>#N/A</v>
      </c>
      <c r="N77" s="170" t="e">
        <f>N73+INDEX('P1.6 IBAPA and PBAPA - L1'!9:9,MATCH(N10,'P1.6 IBAPA and PBAPA - L1'!4:4,0))</f>
        <v>#N/A</v>
      </c>
      <c r="O77" s="170" t="e">
        <f>O73+INDEX('P1.6 IBAPA and PBAPA - L1'!9:9,MATCH(O10,'P1.6 IBAPA and PBAPA - L1'!4:4,0))</f>
        <v>#N/A</v>
      </c>
      <c r="P77" s="170" t="e">
        <f>P73+INDEX('P1.6 IBAPA and PBAPA - L1'!9:9,MATCH(P10,'P1.6 IBAPA and PBAPA - L1'!4:4,0))</f>
        <v>#N/A</v>
      </c>
      <c r="Q77" s="170" t="e">
        <f>Q73+INDEX('P1.6 IBAPA and PBAPA - L1'!9:9,MATCH(Q10,'P1.6 IBAPA and PBAPA - L1'!4:4,0))</f>
        <v>#N/A</v>
      </c>
      <c r="R77" s="170" t="e">
        <f>R73+INDEX('P1.6 IBAPA and PBAPA - L1'!9:9,MATCH(R10,'P1.6 IBAPA and PBAPA - L1'!4:4,0))</f>
        <v>#N/A</v>
      </c>
      <c r="S77" s="170">
        <f ca="1">S73+INDEX('P1.6 IBAPA and PBAPA - L1'!9:9,MATCH(S10,'P1.6 IBAPA and PBAPA - L1'!4:4,0))</f>
        <v>0</v>
      </c>
      <c r="T77" s="170">
        <f ca="1">T73+INDEX('P1.6 IBAPA and PBAPA - L1'!9:9,MATCH(T10,'P1.6 IBAPA and PBAPA - L1'!4:4,0))</f>
        <v>0</v>
      </c>
      <c r="U77" s="170">
        <f>U73+INDEX('P1.6 IBAPA and PBAPA - L1'!9:9,MATCH(U10,'P1.6 IBAPA and PBAPA - L1'!4:4,0))</f>
        <v>0</v>
      </c>
      <c r="V77" s="170">
        <f>V73+INDEX('P1.6 IBAPA and PBAPA - L1'!9:9,MATCH(V10,'P1.6 IBAPA and PBAPA - L1'!4:4,0))</f>
        <v>0</v>
      </c>
      <c r="W77" s="170">
        <f>W73+INDEX('P1.6 IBAPA and PBAPA - L1'!9:9,MATCH(W10,'P1.6 IBAPA and PBAPA - L1'!4:4,0))</f>
        <v>0</v>
      </c>
      <c r="X77" s="170">
        <f>X73+INDEX('P1.6 IBAPA and PBAPA - L1'!9:9,MATCH(X10,'P1.6 IBAPA and PBAPA - L1'!4:4,0))</f>
        <v>0</v>
      </c>
      <c r="Y77" s="170">
        <f>Y73+INDEX('P1.6 IBAPA and PBAPA - L1'!9:9,MATCH(Y10,'P1.6 IBAPA and PBAPA - L1'!4:4,0))</f>
        <v>0</v>
      </c>
      <c r="Z77" s="170">
        <f>Z73+INDEX('P1.6 IBAPA and PBAPA - L1'!9:9,MATCH(Z10,'P1.6 IBAPA and PBAPA - L1'!4:4,0))</f>
        <v>0</v>
      </c>
      <c r="AA77" s="170">
        <f>AA73+INDEX('P1.6 IBAPA and PBAPA - L1'!9:9,MATCH(AA10,'P1.6 IBAPA and PBAPA - L1'!4:4,0))</f>
        <v>0</v>
      </c>
      <c r="AB77" s="344"/>
    </row>
    <row r="78" spans="1:28" s="97" customFormat="1">
      <c r="B78" s="97" t="s">
        <v>475</v>
      </c>
      <c r="C78" s="101"/>
      <c r="D78" s="102"/>
      <c r="E78" s="102"/>
      <c r="F78" s="102"/>
      <c r="G78" s="102"/>
      <c r="H78" s="102"/>
      <c r="I78" s="102"/>
      <c r="J78" s="102"/>
      <c r="K78" s="102"/>
      <c r="L78" s="102"/>
      <c r="M78" s="102"/>
      <c r="N78" s="102"/>
      <c r="O78" s="102"/>
      <c r="P78" s="102"/>
      <c r="Q78" s="102"/>
      <c r="R78" s="102"/>
      <c r="S78" s="102"/>
      <c r="T78" s="102"/>
      <c r="U78" s="102"/>
      <c r="V78" s="102"/>
      <c r="W78" s="102"/>
      <c r="X78" s="102"/>
      <c r="Y78" s="102"/>
      <c r="Z78" s="102"/>
      <c r="AA78" s="102"/>
      <c r="AB78" s="344"/>
    </row>
    <row r="79" spans="1:28" s="97" customFormat="1" ht="15" thickBot="1">
      <c r="B79" s="97" t="s">
        <v>476</v>
      </c>
      <c r="C79" s="101"/>
      <c r="D79" s="166" t="e">
        <f t="shared" ref="D79:U79" si="133">SUM(D77:D78)</f>
        <v>#N/A</v>
      </c>
      <c r="E79" s="166" t="e">
        <f t="shared" si="133"/>
        <v>#N/A</v>
      </c>
      <c r="F79" s="166" t="e">
        <f t="shared" si="133"/>
        <v>#N/A</v>
      </c>
      <c r="G79" s="166" t="e">
        <f t="shared" si="133"/>
        <v>#N/A</v>
      </c>
      <c r="H79" s="166" t="e">
        <f t="shared" si="133"/>
        <v>#N/A</v>
      </c>
      <c r="I79" s="166" t="e">
        <f t="shared" si="133"/>
        <v>#N/A</v>
      </c>
      <c r="J79" s="166" t="e">
        <f t="shared" si="133"/>
        <v>#N/A</v>
      </c>
      <c r="K79" s="166" t="e">
        <f t="shared" si="133"/>
        <v>#N/A</v>
      </c>
      <c r="L79" s="166" t="e">
        <f t="shared" si="133"/>
        <v>#N/A</v>
      </c>
      <c r="M79" s="166" t="e">
        <f t="shared" si="133"/>
        <v>#N/A</v>
      </c>
      <c r="N79" s="166" t="e">
        <f t="shared" si="133"/>
        <v>#N/A</v>
      </c>
      <c r="O79" s="166" t="e">
        <f t="shared" si="133"/>
        <v>#N/A</v>
      </c>
      <c r="P79" s="166" t="e">
        <f t="shared" si="133"/>
        <v>#N/A</v>
      </c>
      <c r="Q79" s="166" t="e">
        <f t="shared" si="133"/>
        <v>#N/A</v>
      </c>
      <c r="R79" s="166" t="e">
        <f t="shared" si="133"/>
        <v>#N/A</v>
      </c>
      <c r="S79" s="166">
        <f t="shared" ca="1" si="133"/>
        <v>0</v>
      </c>
      <c r="T79" s="166">
        <f t="shared" ca="1" si="133"/>
        <v>0</v>
      </c>
      <c r="U79" s="166">
        <f t="shared" si="133"/>
        <v>0</v>
      </c>
      <c r="V79" s="166">
        <f t="shared" ref="V79" si="134">SUM(V77:V78)</f>
        <v>0</v>
      </c>
      <c r="W79" s="166">
        <f t="shared" ref="W79" si="135">SUM(W77:W78)</f>
        <v>0</v>
      </c>
      <c r="X79" s="166">
        <f t="shared" ref="X79" si="136">SUM(X77:X78)</f>
        <v>0</v>
      </c>
      <c r="Y79" s="166">
        <f t="shared" ref="Y79" si="137">SUM(Y77:Y78)</f>
        <v>0</v>
      </c>
      <c r="Z79" s="166">
        <f t="shared" ref="Z79" si="138">SUM(Z77:Z78)</f>
        <v>0</v>
      </c>
      <c r="AA79" s="166">
        <f t="shared" ref="AA79" si="139">SUM(AA77:AA78)</f>
        <v>0</v>
      </c>
      <c r="AB79" s="344"/>
    </row>
    <row r="80" spans="1:28">
      <c r="C80" s="100"/>
      <c r="D80" s="92"/>
      <c r="E80" s="92"/>
      <c r="F80" s="92"/>
      <c r="G80" s="92"/>
      <c r="H80" s="92"/>
      <c r="I80" s="92"/>
      <c r="J80" s="92"/>
      <c r="K80" s="92"/>
      <c r="L80" s="92"/>
      <c r="M80" s="92"/>
      <c r="N80" s="92"/>
      <c r="O80" s="92"/>
      <c r="P80" s="92"/>
      <c r="Q80" s="92"/>
      <c r="R80" s="92"/>
      <c r="S80" s="92"/>
      <c r="T80" s="92"/>
      <c r="U80" s="92"/>
      <c r="V80" s="92"/>
      <c r="W80" s="92"/>
      <c r="X80" s="92"/>
      <c r="Y80" s="92"/>
      <c r="Z80" s="92"/>
      <c r="AA80" s="92"/>
      <c r="AB80" s="344"/>
    </row>
    <row r="81" spans="1:27">
      <c r="B81" t="s">
        <v>477</v>
      </c>
      <c r="C81" s="99">
        <f>'P1.6 IBAPA and PBAPA - L1'!C16</f>
        <v>0</v>
      </c>
      <c r="D81" s="92"/>
      <c r="E81" s="92"/>
      <c r="F81" s="92"/>
      <c r="G81" s="92"/>
      <c r="H81" s="92"/>
      <c r="I81" s="92"/>
      <c r="J81" s="92"/>
      <c r="K81" s="92"/>
      <c r="L81" s="92"/>
      <c r="M81" s="92"/>
      <c r="N81" s="92"/>
      <c r="O81" s="92"/>
      <c r="P81" s="92"/>
      <c r="Q81" s="92"/>
      <c r="R81" s="92"/>
      <c r="S81" s="92"/>
      <c r="T81" s="92"/>
      <c r="U81" s="92"/>
      <c r="V81" s="92"/>
      <c r="W81" s="92"/>
      <c r="X81" s="92"/>
      <c r="Y81" s="92"/>
      <c r="Z81" s="92"/>
      <c r="AA81" s="92"/>
    </row>
    <row r="82" spans="1:27">
      <c r="B82" t="s">
        <v>478</v>
      </c>
      <c r="C82" s="169">
        <f>INDEX($D$44:$U$44,MATCH(rr_num-1,$D$9:$U$9,0))</f>
        <v>1</v>
      </c>
      <c r="D82" s="92"/>
      <c r="E82" s="92"/>
      <c r="F82" s="92"/>
      <c r="G82" s="92"/>
      <c r="H82" s="92"/>
      <c r="I82" s="92"/>
      <c r="J82" s="92"/>
      <c r="K82" s="92"/>
      <c r="L82" s="92"/>
      <c r="M82" s="92"/>
      <c r="N82" s="92"/>
      <c r="O82" s="92"/>
      <c r="P82" s="92"/>
      <c r="Q82" s="92"/>
      <c r="R82" s="92"/>
      <c r="S82" s="92"/>
      <c r="T82" s="92"/>
      <c r="U82" s="92"/>
      <c r="V82" s="92"/>
      <c r="W82" s="92"/>
      <c r="X82" s="92"/>
      <c r="Y82" s="92"/>
      <c r="Z82" s="92"/>
      <c r="AA82" s="92"/>
    </row>
    <row r="83" spans="1:27">
      <c r="B83" t="s">
        <v>479</v>
      </c>
      <c r="C83" s="155">
        <f>C81*C82</f>
        <v>0</v>
      </c>
      <c r="D83" s="92"/>
      <c r="E83" s="92"/>
      <c r="F83" s="92"/>
      <c r="G83" s="92"/>
      <c r="H83" s="92"/>
      <c r="I83" s="92"/>
      <c r="J83" s="92"/>
      <c r="K83" s="92"/>
      <c r="L83" s="92"/>
      <c r="M83" s="92"/>
      <c r="N83" s="92"/>
      <c r="O83" s="92"/>
      <c r="P83" s="92"/>
      <c r="Q83" s="92"/>
      <c r="R83" s="92"/>
      <c r="S83" s="92"/>
      <c r="T83" s="92"/>
      <c r="U83" s="92"/>
      <c r="V83" s="92"/>
      <c r="W83" s="92"/>
      <c r="X83" s="92"/>
      <c r="Y83" s="92"/>
      <c r="Z83" s="92"/>
      <c r="AA83" s="92"/>
    </row>
    <row r="84" spans="1:27">
      <c r="B84" t="s">
        <v>480</v>
      </c>
      <c r="C84" s="141"/>
      <c r="D84" s="92"/>
      <c r="E84" s="92"/>
      <c r="F84" s="92"/>
      <c r="G84" s="92"/>
      <c r="H84" s="92"/>
      <c r="I84" s="92"/>
      <c r="J84" s="92"/>
      <c r="K84" s="92"/>
      <c r="L84" s="92"/>
      <c r="M84" s="92"/>
      <c r="N84" s="92"/>
      <c r="O84" s="92"/>
      <c r="P84" s="92"/>
      <c r="Q84" s="92"/>
      <c r="R84" s="92"/>
      <c r="S84" s="92"/>
      <c r="T84" s="92"/>
      <c r="U84" s="92"/>
      <c r="V84" s="92"/>
      <c r="W84" s="92"/>
      <c r="X84" s="92"/>
      <c r="Y84" s="92"/>
      <c r="Z84" s="92"/>
      <c r="AA84" s="92"/>
    </row>
    <row r="85" spans="1:27">
      <c r="B85" t="s">
        <v>481</v>
      </c>
      <c r="C85" s="155">
        <f>C83+C84</f>
        <v>0</v>
      </c>
      <c r="D85" s="92"/>
      <c r="E85" s="92"/>
      <c r="F85" s="92"/>
      <c r="G85" s="92"/>
      <c r="H85" s="92"/>
      <c r="I85" s="92"/>
      <c r="J85" s="92"/>
      <c r="K85" s="92"/>
      <c r="L85" s="92"/>
      <c r="M85" s="92"/>
      <c r="N85" s="92"/>
      <c r="O85" s="92"/>
      <c r="P85" s="92"/>
      <c r="Q85" s="92"/>
      <c r="R85" s="92"/>
      <c r="S85" s="92"/>
      <c r="T85" s="92"/>
      <c r="U85" s="92"/>
      <c r="V85" s="92"/>
      <c r="W85" s="92"/>
      <c r="X85" s="92"/>
      <c r="Y85" s="92"/>
      <c r="Z85" s="92"/>
      <c r="AA85" s="92"/>
    </row>
    <row r="86" spans="1:27">
      <c r="B86" t="s">
        <v>482</v>
      </c>
      <c r="C86" s="156">
        <f>C63</f>
        <v>0</v>
      </c>
      <c r="D86" s="92"/>
      <c r="E86" s="92"/>
      <c r="F86" s="92"/>
      <c r="G86" s="92"/>
      <c r="H86" s="92"/>
      <c r="I86" s="92"/>
      <c r="J86" s="92"/>
      <c r="K86" s="92"/>
      <c r="L86" s="92"/>
      <c r="M86" s="92"/>
      <c r="N86" s="92"/>
      <c r="O86" s="92"/>
      <c r="P86" s="92"/>
      <c r="Q86" s="92"/>
      <c r="R86" s="92"/>
      <c r="S86" s="92"/>
      <c r="T86" s="92"/>
      <c r="U86" s="92"/>
      <c r="V86" s="92"/>
      <c r="W86" s="92"/>
      <c r="X86" s="92"/>
      <c r="Y86" s="92"/>
      <c r="Z86" s="92"/>
      <c r="AA86" s="92"/>
    </row>
    <row r="87" spans="1:27" ht="15" thickBot="1">
      <c r="B87" s="98" t="s">
        <v>483</v>
      </c>
      <c r="C87" s="157">
        <f>C85+C86</f>
        <v>0</v>
      </c>
      <c r="D87" s="92"/>
      <c r="E87" s="92"/>
      <c r="F87" s="92"/>
      <c r="G87" s="92"/>
      <c r="H87" s="92"/>
      <c r="I87" s="92"/>
      <c r="J87" s="92"/>
      <c r="K87" s="92"/>
      <c r="L87" s="92"/>
      <c r="M87" s="92"/>
      <c r="N87" s="92"/>
      <c r="O87" s="92"/>
      <c r="P87" s="92"/>
      <c r="Q87" s="92"/>
      <c r="R87" s="92"/>
      <c r="S87" s="92"/>
      <c r="T87" s="92"/>
      <c r="U87" s="92"/>
      <c r="V87" s="92"/>
      <c r="W87" s="92"/>
      <c r="X87" s="92"/>
      <c r="Y87" s="92"/>
      <c r="Z87" s="92"/>
      <c r="AA87" s="92"/>
    </row>
    <row r="88" spans="1:27">
      <c r="C88" s="92"/>
      <c r="D88" s="92"/>
      <c r="E88" s="92"/>
      <c r="F88" s="92"/>
      <c r="G88" s="92"/>
      <c r="H88" s="92"/>
      <c r="I88" s="92"/>
      <c r="J88" s="92"/>
      <c r="K88" s="92"/>
      <c r="L88" s="92"/>
      <c r="M88" s="92"/>
      <c r="N88" s="92"/>
      <c r="O88" s="92"/>
      <c r="P88" s="92"/>
      <c r="Q88" s="92"/>
      <c r="R88" s="92"/>
      <c r="S88" s="92"/>
      <c r="T88" s="92"/>
      <c r="U88" s="92"/>
      <c r="V88" s="92"/>
      <c r="W88" s="92"/>
      <c r="X88" s="92"/>
      <c r="Y88" s="92"/>
      <c r="Z88" s="92"/>
      <c r="AA88" s="92"/>
    </row>
    <row r="89" spans="1:27">
      <c r="C89" s="92"/>
      <c r="D89" s="92"/>
      <c r="E89" s="92"/>
      <c r="F89" s="92"/>
      <c r="G89" s="92"/>
      <c r="H89" s="92"/>
      <c r="I89" s="92"/>
      <c r="J89" s="92"/>
      <c r="K89" s="92"/>
      <c r="L89" s="92"/>
      <c r="M89" s="92"/>
      <c r="N89" s="92"/>
      <c r="O89" s="92"/>
      <c r="P89" s="92"/>
      <c r="Q89" s="92"/>
      <c r="R89" s="92"/>
      <c r="S89" s="92"/>
      <c r="T89" s="92"/>
      <c r="U89" s="92"/>
      <c r="V89" s="92"/>
      <c r="W89" s="92"/>
      <c r="X89" s="92"/>
      <c r="Y89" s="92"/>
      <c r="Z89" s="92"/>
      <c r="AA89" s="92"/>
    </row>
    <row r="90" spans="1:27">
      <c r="B90" s="97" t="s">
        <v>484</v>
      </c>
      <c r="C90" s="92"/>
      <c r="D90" s="92"/>
      <c r="E90" s="92"/>
      <c r="F90" s="92"/>
      <c r="G90" s="92"/>
      <c r="H90" s="92"/>
      <c r="I90" s="92"/>
      <c r="J90" s="92"/>
      <c r="K90" s="92"/>
      <c r="L90" s="92"/>
      <c r="M90" s="92"/>
      <c r="N90" s="92"/>
      <c r="O90" s="92"/>
      <c r="P90" s="92"/>
      <c r="Q90" s="92"/>
      <c r="R90" s="92"/>
      <c r="S90" s="92"/>
      <c r="T90" s="92"/>
      <c r="U90" s="92"/>
      <c r="V90" s="92"/>
      <c r="W90" s="92"/>
      <c r="X90" s="92"/>
      <c r="Y90" s="92"/>
      <c r="Z90" s="92"/>
      <c r="AA90" s="92"/>
    </row>
    <row r="91" spans="1:27" ht="21.5" thickBot="1">
      <c r="B91" s="96">
        <f>C75</f>
        <v>0</v>
      </c>
      <c r="C91" s="95">
        <f>C87</f>
        <v>0</v>
      </c>
    </row>
    <row r="94" spans="1:27" ht="21">
      <c r="A94" s="94" t="s">
        <v>485</v>
      </c>
      <c r="B94" s="93"/>
      <c r="C94" s="93"/>
    </row>
    <row r="96" spans="1:27">
      <c r="B96" t="s">
        <v>486</v>
      </c>
      <c r="C96" s="158">
        <f>C51</f>
        <v>0</v>
      </c>
    </row>
    <row r="97" spans="2:3" ht="15" thickBot="1">
      <c r="B97" s="91" t="s">
        <v>487</v>
      </c>
      <c r="C97" s="159">
        <f>C61</f>
        <v>0</v>
      </c>
    </row>
  </sheetData>
  <conditionalFormatting sqref="D13:U14">
    <cfRule type="cellIs" dxfId="29" priority="69" operator="equal">
      <formula>1</formula>
    </cfRule>
  </conditionalFormatting>
  <conditionalFormatting sqref="D11:AA11">
    <cfRule type="cellIs" dxfId="28" priority="74" operator="equal">
      <formula>1</formula>
    </cfRule>
  </conditionalFormatting>
  <conditionalFormatting sqref="D12:AA12">
    <cfRule type="cellIs" dxfId="27" priority="73" operator="equal">
      <formula>1</formula>
    </cfRule>
  </conditionalFormatting>
  <conditionalFormatting sqref="D14:AA14">
    <cfRule type="cellIs" dxfId="26" priority="66" operator="equal">
      <formula>1</formula>
    </cfRule>
  </conditionalFormatting>
  <conditionalFormatting sqref="D17:AA21">
    <cfRule type="expression" dxfId="25" priority="22">
      <formula>D$9&gt;rr_num</formula>
    </cfRule>
  </conditionalFormatting>
  <conditionalFormatting sqref="D22:AA24">
    <cfRule type="expression" dxfId="24" priority="24">
      <formula>D$9&gt;=rr_num-1</formula>
    </cfRule>
  </conditionalFormatting>
  <conditionalFormatting sqref="D28:AA28">
    <cfRule type="expression" dxfId="23" priority="72">
      <formula>D27&gt;0</formula>
    </cfRule>
  </conditionalFormatting>
  <conditionalFormatting sqref="D32:AA32">
    <cfRule type="cellIs" dxfId="22" priority="71" operator="equal">
      <formula>0</formula>
    </cfRule>
  </conditionalFormatting>
  <conditionalFormatting sqref="D35:AA37">
    <cfRule type="expression" dxfId="21" priority="25">
      <formula>D$14=1</formula>
    </cfRule>
  </conditionalFormatting>
  <conditionalFormatting sqref="D59:AA59">
    <cfRule type="expression" dxfId="20" priority="67">
      <formula>OR(D12=1,D13=1)</formula>
    </cfRule>
  </conditionalFormatting>
  <conditionalFormatting sqref="D69:AA70">
    <cfRule type="expression" dxfId="19" priority="26">
      <formula>D$14=0</formula>
    </cfRule>
  </conditionalFormatting>
  <conditionalFormatting sqref="D73:AA73">
    <cfRule type="expression" dxfId="18" priority="1">
      <formula>D$14=0</formula>
    </cfRule>
  </conditionalFormatting>
  <conditionalFormatting sqref="D77:AA79">
    <cfRule type="expression" dxfId="17" priority="23">
      <formula>D$14=0</formula>
    </cfRule>
  </conditionalFormatting>
  <conditionalFormatting sqref="I45">
    <cfRule type="expression" dxfId="16" priority="68">
      <formula>#REF!=1</formula>
    </cfRule>
  </conditionalFormatting>
  <conditionalFormatting sqref="I50 D54:AA54">
    <cfRule type="expression" dxfId="15" priority="70">
      <formula>D8=1</formula>
    </cfRule>
  </conditionalFormatting>
  <pageMargins left="0.7" right="0.7" top="0.75" bottom="0.75" header="0.3" footer="0.3"/>
  <pageSetup paperSize="9" orientation="portrait" r:id="rId1"/>
  <headerFooter>
    <oddFooter>&amp;C_x000D_&amp;1#&amp;"Calibri"&amp;10&amp;K000000 OFFICIAL-InternalOnly</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8" r:id="rId4" name="Drop Down 2">
              <controlPr defaultSize="0" autoLine="0" autoPict="0" altText="Drop down for selection of first post cut-off year">
                <anchor moveWithCells="1">
                  <from>
                    <xdr:col>2</xdr:col>
                    <xdr:colOff>0</xdr:colOff>
                    <xdr:row>3</xdr:row>
                    <xdr:rowOff>184150</xdr:rowOff>
                  </from>
                  <to>
                    <xdr:col>3</xdr:col>
                    <xdr:colOff>0</xdr:colOff>
                    <xdr:row>4</xdr:row>
                    <xdr:rowOff>203200</xdr:rowOff>
                  </to>
                </anchor>
              </controlPr>
            </control>
          </mc:Choice>
        </mc:AlternateContent>
        <mc:AlternateContent xmlns:mc="http://schemas.openxmlformats.org/markup-compatibility/2006">
          <mc:Choice Requires="x14">
            <control shapeId="14339" r:id="rId5" name="Drop Down 3">
              <controlPr defaultSize="0" autoLine="0" autoPict="0" altText="Drop down for selection of Reasonableness review year">
                <anchor moveWithCells="1">
                  <from>
                    <xdr:col>2</xdr:col>
                    <xdr:colOff>0</xdr:colOff>
                    <xdr:row>4</xdr:row>
                    <xdr:rowOff>203200</xdr:rowOff>
                  </from>
                  <to>
                    <xdr:col>3</xdr:col>
                    <xdr:colOff>0</xdr:colOff>
                    <xdr:row>5</xdr:row>
                    <xdr:rowOff>190500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tint="-0.499984740745262"/>
    <pageSetUpPr fitToPage="1"/>
  </sheetPr>
  <dimension ref="A1:AM50"/>
  <sheetViews>
    <sheetView showGridLines="0" zoomScaleNormal="100" workbookViewId="0">
      <pane xSplit="4" topLeftCell="E1" activePane="topRight" state="frozenSplit"/>
      <selection activeCell="J7" sqref="J7"/>
      <selection pane="topRight" activeCell="J10" sqref="J10"/>
    </sheetView>
  </sheetViews>
  <sheetFormatPr defaultRowHeight="14.5"/>
  <cols>
    <col min="1" max="1" width="10.1796875" customWidth="1"/>
    <col min="2" max="2" width="38.1796875" customWidth="1"/>
    <col min="3" max="3" width="15.1796875" customWidth="1"/>
    <col min="4" max="4" width="4.453125" customWidth="1"/>
    <col min="5" max="5" width="18.1796875" customWidth="1"/>
    <col min="6" max="6" width="20.81640625" customWidth="1"/>
    <col min="8" max="8" width="17.453125" bestFit="1" customWidth="1"/>
    <col min="9" max="9" width="14.1796875" customWidth="1"/>
    <col min="10" max="24" width="11.54296875" bestFit="1" customWidth="1"/>
    <col min="25" max="39" width="10.7265625" bestFit="1" customWidth="1"/>
  </cols>
  <sheetData>
    <row r="1" spans="1:39" s="120" customFormat="1" ht="20">
      <c r="A1" s="79" t="s">
        <v>488</v>
      </c>
      <c r="B1" s="79"/>
      <c r="C1" s="74"/>
      <c r="D1" s="137" t="s">
        <v>429</v>
      </c>
      <c r="E1" s="74"/>
      <c r="F1" s="74"/>
      <c r="G1" s="74"/>
      <c r="H1" s="74"/>
      <c r="I1" s="74"/>
      <c r="J1" s="74"/>
      <c r="K1" s="74"/>
      <c r="L1" s="74"/>
      <c r="M1" s="74"/>
      <c r="N1" s="74"/>
      <c r="O1" s="74"/>
      <c r="P1" s="74"/>
      <c r="Q1" s="74"/>
      <c r="R1" s="74"/>
      <c r="S1" s="74"/>
    </row>
    <row r="2" spans="1:39" s="120" customFormat="1" ht="20">
      <c r="A2" s="79" t="str">
        <f>+'Pension Pack cover'!D14</f>
        <v>Licensee 1</v>
      </c>
      <c r="B2" s="79"/>
      <c r="C2" s="74"/>
      <c r="D2" s="137" t="s">
        <v>430</v>
      </c>
      <c r="E2" s="74"/>
      <c r="F2" s="74"/>
      <c r="G2" s="74"/>
      <c r="H2" s="74"/>
      <c r="I2" s="74"/>
      <c r="J2" s="74"/>
      <c r="K2" s="74"/>
      <c r="L2" s="74"/>
      <c r="M2" s="74"/>
      <c r="N2" s="74"/>
      <c r="O2" s="74"/>
      <c r="P2" s="74"/>
      <c r="Q2" s="74"/>
      <c r="R2" s="74"/>
      <c r="S2" s="74"/>
    </row>
    <row r="3" spans="1:39" s="120" customFormat="1" ht="20">
      <c r="A3" s="135">
        <f>+'Pension Pack cover'!D24</f>
        <v>2026</v>
      </c>
      <c r="B3" s="135"/>
      <c r="C3" s="74"/>
      <c r="D3" s="137" t="s">
        <v>489</v>
      </c>
      <c r="E3" s="74"/>
      <c r="F3" s="74"/>
      <c r="G3" s="74"/>
      <c r="H3" s="74"/>
      <c r="I3" s="74"/>
      <c r="J3" s="74"/>
      <c r="K3" s="74"/>
      <c r="L3" s="74"/>
      <c r="M3" s="74"/>
      <c r="N3" s="74"/>
      <c r="O3" s="74"/>
      <c r="P3" s="74"/>
      <c r="Q3" s="74"/>
      <c r="R3" s="74"/>
      <c r="S3" s="74"/>
    </row>
    <row r="4" spans="1:39" ht="16">
      <c r="J4" s="119" t="str">
        <f t="shared" ref="J4:AM4" si="0">INDEX(yearQ,J6+rr_num-2)</f>
        <v>2025-26</v>
      </c>
      <c r="K4" s="119" t="str">
        <f t="shared" si="0"/>
        <v>2026-27</v>
      </c>
      <c r="L4" s="119" t="str">
        <f t="shared" si="0"/>
        <v>2027-28</v>
      </c>
      <c r="M4" s="119" t="str">
        <f t="shared" si="0"/>
        <v>2028-29</v>
      </c>
      <c r="N4" s="119" t="str">
        <f t="shared" si="0"/>
        <v>2029-30</v>
      </c>
      <c r="O4" s="119" t="str">
        <f t="shared" si="0"/>
        <v>2030-31</v>
      </c>
      <c r="P4" s="119" t="str">
        <f t="shared" si="0"/>
        <v>2031-32</v>
      </c>
      <c r="Q4" s="119" t="str">
        <f t="shared" si="0"/>
        <v>2032-33</v>
      </c>
      <c r="R4" s="119" t="str">
        <f t="shared" si="0"/>
        <v>2033-34</v>
      </c>
      <c r="S4" s="119" t="str">
        <f t="shared" si="0"/>
        <v>2034-35</v>
      </c>
      <c r="T4" s="119" t="str">
        <f t="shared" si="0"/>
        <v>2035-36</v>
      </c>
      <c r="U4" s="119" t="str">
        <f t="shared" si="0"/>
        <v>2036-37</v>
      </c>
      <c r="V4" s="119" t="str">
        <f t="shared" si="0"/>
        <v>2037-38</v>
      </c>
      <c r="W4" s="119" t="str">
        <f t="shared" si="0"/>
        <v>2038-39</v>
      </c>
      <c r="X4" s="119" t="str">
        <f t="shared" si="0"/>
        <v>2039-40</v>
      </c>
      <c r="Y4" s="119" t="str">
        <f t="shared" si="0"/>
        <v>2040-41</v>
      </c>
      <c r="Z4" s="119" t="str">
        <f t="shared" si="0"/>
        <v>2041-42</v>
      </c>
      <c r="AA4" s="119" t="str">
        <f t="shared" si="0"/>
        <v>2042-43</v>
      </c>
      <c r="AB4" s="119" t="str">
        <f t="shared" si="0"/>
        <v>2043-44</v>
      </c>
      <c r="AC4" s="119" t="str">
        <f t="shared" si="0"/>
        <v>2044-45</v>
      </c>
      <c r="AD4" s="119" t="str">
        <f t="shared" si="0"/>
        <v>2045-46</v>
      </c>
      <c r="AE4" s="119" t="str">
        <f t="shared" si="0"/>
        <v>2046-47</v>
      </c>
      <c r="AF4" s="119" t="str">
        <f t="shared" si="0"/>
        <v>2047-48</v>
      </c>
      <c r="AG4" s="119" t="str">
        <f t="shared" si="0"/>
        <v>2048-49</v>
      </c>
      <c r="AH4" s="119" t="str">
        <f t="shared" si="0"/>
        <v>2049-50</v>
      </c>
      <c r="AI4" s="119" t="str">
        <f t="shared" si="0"/>
        <v>2050-51</v>
      </c>
      <c r="AJ4" s="119" t="str">
        <f t="shared" si="0"/>
        <v>2051-52</v>
      </c>
      <c r="AK4" s="119" t="str">
        <f t="shared" si="0"/>
        <v>2052-53</v>
      </c>
      <c r="AL4" s="119" t="str">
        <f t="shared" si="0"/>
        <v>2053-54</v>
      </c>
      <c r="AM4" s="119" t="str">
        <f t="shared" si="0"/>
        <v>2054-55</v>
      </c>
    </row>
    <row r="5" spans="1:39" ht="16">
      <c r="B5" s="130" t="s">
        <v>490</v>
      </c>
      <c r="C5" s="119" t="s">
        <v>491</v>
      </c>
      <c r="E5" s="129" t="s">
        <v>492</v>
      </c>
      <c r="H5" s="130" t="s">
        <v>493</v>
      </c>
      <c r="I5" s="130"/>
      <c r="J5" s="119" t="s">
        <v>494</v>
      </c>
      <c r="K5" s="119" t="s">
        <v>495</v>
      </c>
      <c r="L5" s="119" t="s">
        <v>496</v>
      </c>
      <c r="M5" s="119" t="s">
        <v>497</v>
      </c>
      <c r="N5" s="119" t="s">
        <v>498</v>
      </c>
      <c r="O5" s="119" t="s">
        <v>499</v>
      </c>
      <c r="P5" s="119" t="s">
        <v>500</v>
      </c>
      <c r="Q5" s="119" t="s">
        <v>501</v>
      </c>
      <c r="R5" s="119" t="s">
        <v>502</v>
      </c>
      <c r="S5" s="119" t="s">
        <v>503</v>
      </c>
      <c r="T5" s="119" t="s">
        <v>504</v>
      </c>
      <c r="U5" s="119" t="s">
        <v>505</v>
      </c>
      <c r="V5" s="119" t="s">
        <v>506</v>
      </c>
      <c r="W5" s="119" t="s">
        <v>507</v>
      </c>
      <c r="X5" s="119" t="s">
        <v>508</v>
      </c>
      <c r="Y5" s="119" t="s">
        <v>509</v>
      </c>
      <c r="Z5" s="119" t="s">
        <v>510</v>
      </c>
      <c r="AA5" s="119" t="s">
        <v>511</v>
      </c>
      <c r="AB5" s="119" t="s">
        <v>512</v>
      </c>
      <c r="AC5" s="119" t="s">
        <v>513</v>
      </c>
      <c r="AD5" s="119" t="s">
        <v>514</v>
      </c>
      <c r="AE5" s="119" t="s">
        <v>515</v>
      </c>
      <c r="AF5" s="119" t="s">
        <v>516</v>
      </c>
      <c r="AG5" s="119" t="s">
        <v>517</v>
      </c>
      <c r="AH5" s="119" t="s">
        <v>518</v>
      </c>
      <c r="AI5" s="119" t="s">
        <v>519</v>
      </c>
      <c r="AJ5" s="119" t="s">
        <v>520</v>
      </c>
      <c r="AK5" s="119" t="s">
        <v>521</v>
      </c>
      <c r="AL5" s="119" t="s">
        <v>522</v>
      </c>
      <c r="AM5" s="119" t="s">
        <v>523</v>
      </c>
    </row>
    <row r="6" spans="1:39" ht="6" customHeight="1">
      <c r="B6" s="130"/>
      <c r="C6" s="119"/>
      <c r="E6" s="129"/>
      <c r="H6" s="130"/>
      <c r="I6" s="130"/>
      <c r="J6">
        <v>1</v>
      </c>
      <c r="K6">
        <v>2</v>
      </c>
      <c r="L6">
        <v>3</v>
      </c>
      <c r="M6">
        <v>4</v>
      </c>
      <c r="N6">
        <v>5</v>
      </c>
      <c r="O6">
        <v>6</v>
      </c>
      <c r="P6">
        <v>7</v>
      </c>
      <c r="Q6">
        <v>8</v>
      </c>
      <c r="R6">
        <v>9</v>
      </c>
      <c r="S6">
        <v>10</v>
      </c>
      <c r="T6">
        <v>11</v>
      </c>
      <c r="U6">
        <v>12</v>
      </c>
      <c r="V6">
        <v>13</v>
      </c>
      <c r="W6">
        <v>14</v>
      </c>
      <c r="X6">
        <v>15</v>
      </c>
      <c r="Y6">
        <v>16</v>
      </c>
      <c r="Z6">
        <v>17</v>
      </c>
      <c r="AA6">
        <v>18</v>
      </c>
      <c r="AB6">
        <v>19</v>
      </c>
      <c r="AC6">
        <v>20</v>
      </c>
      <c r="AD6">
        <v>21</v>
      </c>
      <c r="AE6">
        <v>22</v>
      </c>
      <c r="AF6">
        <v>23</v>
      </c>
      <c r="AG6">
        <v>24</v>
      </c>
      <c r="AH6">
        <v>25</v>
      </c>
      <c r="AI6">
        <v>26</v>
      </c>
      <c r="AJ6">
        <v>27</v>
      </c>
      <c r="AK6">
        <v>28</v>
      </c>
      <c r="AL6">
        <v>29</v>
      </c>
      <c r="AM6">
        <v>30</v>
      </c>
    </row>
    <row r="7" spans="1:39" ht="16">
      <c r="B7" t="s">
        <v>433</v>
      </c>
      <c r="E7" s="129"/>
      <c r="H7" t="s">
        <v>524</v>
      </c>
      <c r="J7" s="174">
        <f t="array" aca="1" ref="J7" ca="1">IF(J6&lt;=$C$23,flatBAPA1,IF(J6&gt;$C$23,(PSEDA-SUM($I7:I7*$I16:I16))/J16,0))</f>
        <v>0</v>
      </c>
      <c r="K7" s="174">
        <f t="array" aca="1" ref="K7" ca="1">IF(K6&lt;=$C$23,flatBAPA1,IF(K6&gt;$C$23,(PSEDA-SUM($I7:J7*$I16:J16))/K16,0))</f>
        <v>0</v>
      </c>
      <c r="L7" s="174">
        <f t="array" aca="1" ref="L7" ca="1">IF(L6&lt;=$C$23,flatBAPA1,IF(L6&gt;$C$23,(PSEDA-SUM($I7:K7*$I16:K16))/L16,0))</f>
        <v>0</v>
      </c>
      <c r="M7" s="174">
        <f t="array" aca="1" ref="M7" ca="1">IF(M6&lt;=$C$23,flatBAPA1,IF(M6&gt;$C$23,(PSEDA-SUM($I7:L7*$I16:L16))/M16,0))</f>
        <v>0</v>
      </c>
      <c r="N7" s="174">
        <f t="array" aca="1" ref="N7" ca="1">IF(N6&lt;=$C$23,flatBAPA1,IF(N6&gt;$C$23,(PSEDA-SUM($I7:M7*$I16:M16))/N16,0))</f>
        <v>0</v>
      </c>
      <c r="O7" s="174">
        <f t="array" aca="1" ref="O7" ca="1">IF(O6&lt;=$C$23,flatBAPA1,IF(O6&gt;$C$23,(PSEDA-SUM($I7:N7*$I16:N16))/O16,0))</f>
        <v>0</v>
      </c>
      <c r="P7" s="174">
        <f t="array" aca="1" ref="P7" ca="1">IF(P6&lt;=$C$23,flatBAPA1,IF(P6&gt;$C$23,(PSEDA-SUM($I7:O7*$I16:O16))/P16,0))</f>
        <v>0</v>
      </c>
      <c r="Q7" s="174">
        <f t="array" aca="1" ref="Q7" ca="1">IF(Q6&lt;=$C$23,flatBAPA1,IF(Q6&gt;$C$23,(PSEDA-SUM($I7:P7*$I16:P16))/Q16,0))</f>
        <v>0</v>
      </c>
      <c r="R7" s="174">
        <f t="array" aca="1" ref="R7" ca="1">IF(R6&lt;=$C$23,flatBAPA1,IF(R6&gt;$C$23,(PSEDA-SUM($I7:Q7*$I16:Q16))/R16,0))</f>
        <v>0</v>
      </c>
      <c r="S7" s="174">
        <f t="array" aca="1" ref="S7" ca="1">IF(S6&lt;=$C$23,flatBAPA1,IF(S6&gt;$C$23,(PSEDA-SUM($I7:R7*$I16:R16))/S16,0))</f>
        <v>0</v>
      </c>
      <c r="T7" s="174">
        <f t="array" aca="1" ref="T7" ca="1">IF(T6&lt;=$C$23,flatBAPA1,IF(T6&gt;$C$23,(PSEDA-SUM($I7:S7*$I16:S16))/T16,0))</f>
        <v>0</v>
      </c>
      <c r="U7" s="174">
        <f t="array" aca="1" ref="U7" ca="1">IF(U6&lt;=$C$23,flatBAPA1,IF(U6&gt;$C$23,(PSEDA-SUM($I7:T7*$I16:T16))/U16,0))</f>
        <v>0</v>
      </c>
      <c r="V7" s="174">
        <f t="array" aca="1" ref="V7" ca="1">IF(V6&lt;=$C$23,flatBAPA1,IF(V6&gt;$C$23,(PSEDA-SUM($I7:U7*$I16:U16))/V16,0))</f>
        <v>0</v>
      </c>
      <c r="W7" s="174">
        <f t="array" aca="1" ref="W7" ca="1">IF(W6&lt;=$C$23,flatBAPA1,IF(W6&gt;$C$23,(PSEDA-SUM($I7:V7*$I16:V16))/W16,0))</f>
        <v>0</v>
      </c>
      <c r="X7" s="174">
        <f t="array" aca="1" ref="X7" ca="1">IF(X6&lt;=$C$23,flatBAPA1,IF(X6&gt;$C$23,(PSEDA-SUM($I7:W7*$I16:W16))/X16,0))</f>
        <v>0</v>
      </c>
      <c r="Y7" s="174">
        <f t="array" aca="1" ref="Y7" ca="1">IF(Y6&lt;=$C$23,flatBAPA1,IF(Y6&gt;$C$23,(PSEDA-SUM($I7:X7*$I16:X16))/Y16,0))</f>
        <v>0</v>
      </c>
      <c r="Z7" s="174">
        <f t="array" aca="1" ref="Z7" ca="1">IF(Z6&lt;=$C$23,flatBAPA1,IF(Z6&gt;$C$23,(PSEDA-SUM($I7:Y7*$I16:Y16))/Z16,0))</f>
        <v>0</v>
      </c>
      <c r="AA7" s="174">
        <f t="array" aca="1" ref="AA7" ca="1">IF(AA6&lt;=$C$23,flatBAPA1,IF(AA6&gt;$C$23,(PSEDA-SUM($I7:Z7*$I16:Z16))/AA16,0))</f>
        <v>0</v>
      </c>
      <c r="AB7" s="174">
        <f t="array" aca="1" ref="AB7" ca="1">IF(AB6&lt;=$C$23,flatBAPA1,IF(AB6&gt;$C$23,(PSEDA-SUM($I7:AA7*$I16:AA16))/AB16,0))</f>
        <v>0</v>
      </c>
      <c r="AC7" s="174">
        <f t="array" aca="1" ref="AC7" ca="1">IF(AC6&lt;=$C$23,flatBAPA1,IF(AC6&gt;$C$23,(PSEDA-SUM($I7:AB7*$I16:AB16))/AC16,0))</f>
        <v>0</v>
      </c>
      <c r="AD7" s="174">
        <f t="array" aca="1" ref="AD7" ca="1">IF(AD6&lt;=$C$23,flatBAPA1,IF(AD6&gt;$C$23,(PSEDA-SUM($I7:AC7*$I16:AC16))/AD16,0))</f>
        <v>0</v>
      </c>
      <c r="AE7" s="174">
        <f t="array" aca="1" ref="AE7" ca="1">IF(AE6&lt;=$C$23,flatBAPA1,IF(AE6&gt;$C$23,(PSEDA-SUM($I7:AD7*$I16:AD16))/AE16,0))</f>
        <v>0</v>
      </c>
      <c r="AF7" s="174">
        <f t="array" aca="1" ref="AF7" ca="1">IF(AF6&lt;=$C$23,flatBAPA1,IF(AF6&gt;$C$23,(PSEDA-SUM($I7:AE7*$I16:AE16))/AF16,0))</f>
        <v>0</v>
      </c>
      <c r="AG7" s="174">
        <f t="array" aca="1" ref="AG7" ca="1">IF(AG6&lt;=$C$23,flatBAPA1,IF(AG6&gt;$C$23,(PSEDA-SUM($I7:AF7*$I16:AF16))/AG16,0))</f>
        <v>0</v>
      </c>
      <c r="AH7" s="174">
        <f t="array" aca="1" ref="AH7" ca="1">IF(AH6&lt;=$C$23,flatBAPA1,IF(AH6&gt;$C$23,(PSEDA-SUM($I7:AG7*$I16:AG16))/AH16,0))</f>
        <v>0</v>
      </c>
      <c r="AI7" s="174">
        <f t="array" aca="1" ref="AI7" ca="1">IF(AI6&lt;=$C$23,flatBAPA1,IF(AI6&gt;$C$23,(PSEDA-SUM($I7:AH7*$I16:AH16))/AI16,0))</f>
        <v>0</v>
      </c>
      <c r="AJ7" s="174">
        <f t="array" aca="1" ref="AJ7" ca="1">IF(AJ6&lt;=$C$23,flatBAPA1,IF(AJ6&gt;$C$23,(PSEDA-SUM($I7:AI7*$I16:AI16))/AJ16,0))</f>
        <v>0</v>
      </c>
      <c r="AK7" s="174">
        <f t="array" aca="1" ref="AK7" ca="1">IF(AK6&lt;=$C$23,flatBAPA1,IF(AK6&gt;$C$23,(PSEDA-SUM($I7:AJ7*$I16:AJ16))/AK16,0))</f>
        <v>0</v>
      </c>
      <c r="AL7" s="174">
        <f t="array" aca="1" ref="AL7" ca="1">IF(AL6&lt;=$C$23,flatBAPA1,IF(AL6&gt;$C$23,(PSEDA-SUM($I7:AK7*$I16:AK16))/AL16,0))</f>
        <v>0</v>
      </c>
      <c r="AM7" s="174">
        <f t="array" aca="1" ref="AM7" ca="1">IF(AM6&lt;=$C$23,flatBAPA1,IF(AM6&gt;$C$23,(PSEDA-SUM($I7:AL7*$I16:AL16))/AM16,0))</f>
        <v>0</v>
      </c>
    </row>
    <row r="8" spans="1:39" ht="16">
      <c r="B8" s="130"/>
      <c r="C8" s="119"/>
      <c r="E8" s="129"/>
      <c r="H8" t="s">
        <v>525</v>
      </c>
      <c r="J8" s="174" cm="1">
        <f t="array" aca="1" ref="J8" ca="1">IF(J6&lt;=y_1,flatPBAPA1,IF(J6&gt;$C$28,($C$17-SUM($I8:I8*$I16:I16))/J16,0))</f>
        <v>0</v>
      </c>
      <c r="K8" s="174" cm="1">
        <f t="array" aca="1" ref="K8" ca="1">IF(K6&lt;=y_1,flatPBAPA1,IF(K6&gt;$C$28,($C$17-SUM($I8:J8*$I16:J16))/K16,0))</f>
        <v>0</v>
      </c>
      <c r="L8" s="174" cm="1">
        <f t="array" aca="1" ref="L8" ca="1">IF(L6&lt;=y_1,flatPBAPA1,IF(L6&gt;$C$28,($C$17-SUM($I8:K8*$I16:K16))/L16,0))</f>
        <v>0</v>
      </c>
      <c r="M8" s="174" cm="1">
        <f t="array" aca="1" ref="M8" ca="1">IF(M6&lt;=y_1,flatPBAPA1,IF(M6&gt;$C$28,($C$17-SUM($I8:L8*$I16:L16))/M16,0))</f>
        <v>0</v>
      </c>
      <c r="N8" s="174" cm="1">
        <f t="array" aca="1" ref="N8" ca="1">IF(N6&lt;=y_1,flatPBAPA1,IF(N6&gt;$C$28,($C$17-SUM($I8:M8*$I16:M16))/N16,0))</f>
        <v>0</v>
      </c>
      <c r="O8" s="174" cm="1">
        <f t="array" aca="1" ref="O8" ca="1">IF(O6&lt;=y_1,flatPBAPA1,IF(O6&gt;$C$28,($C$17-SUM($I8:N8*$I16:N16))/O16,0))</f>
        <v>0</v>
      </c>
      <c r="P8" s="174" cm="1">
        <f t="array" aca="1" ref="P8" ca="1">IF(P6&lt;=y_1,flatPBAPA1,IF(P6&gt;$C$28,($C$17-SUM($I8:O8*$I16:O16))/P16,0))</f>
        <v>0</v>
      </c>
      <c r="Q8" s="174" cm="1">
        <f t="array" aca="1" ref="Q8" ca="1">IF(Q6&lt;=y_1,flatPBAPA1,IF(Q6&gt;$C$28,($C$17-SUM($I8:P8*$I16:P16))/Q16,0))</f>
        <v>0</v>
      </c>
      <c r="R8" s="174" cm="1">
        <f t="array" aca="1" ref="R8" ca="1">IF(R6&lt;=y_1,flatPBAPA1,IF(R6&gt;$C$28,($C$17-SUM($I8:Q8*$I16:Q16))/R16,0))</f>
        <v>0</v>
      </c>
      <c r="S8" s="174" cm="1">
        <f t="array" aca="1" ref="S8" ca="1">IF(S6&lt;=y_1,flatPBAPA1,IF(S6&gt;$C$28,($C$17-SUM($I8:R8*$I16:R16))/S16,0))</f>
        <v>0</v>
      </c>
      <c r="T8" s="174" cm="1">
        <f t="array" aca="1" ref="T8" ca="1">IF(T6&lt;=y_1,flatPBAPA1,IF(T6&gt;$C$28,($C$17-SUM($I8:S8*$I16:S16))/T16,0))</f>
        <v>0</v>
      </c>
      <c r="U8" s="174" cm="1">
        <f t="array" aca="1" ref="U8" ca="1">IF(U6&lt;=y_1,flatPBAPA1,IF(U6&gt;$C$28,($C$17-SUM($I8:T8*$I16:T16))/U16,0))</f>
        <v>0</v>
      </c>
      <c r="V8" s="174" cm="1">
        <f t="array" aca="1" ref="V8" ca="1">IF(V6&lt;=y_1,flatPBAPA1,IF(V6&gt;$C$28,($C$17-SUM($I8:U8*$I16:U16))/V16,0))</f>
        <v>0</v>
      </c>
      <c r="W8" s="174" cm="1">
        <f t="array" aca="1" ref="W8" ca="1">IF(W6&lt;=y_1,flatPBAPA1,IF(W6&gt;$C$28,($C$17-SUM($I8:V8*$I16:V16))/W16,0))</f>
        <v>0</v>
      </c>
      <c r="X8" s="174" cm="1">
        <f t="array" aca="1" ref="X8" ca="1">IF(X6&lt;=y_1,flatPBAPA1,IF(X6&gt;$C$28,($C$17-SUM($I8:W8*$I16:W16))/X16,0))</f>
        <v>0</v>
      </c>
      <c r="Y8" s="174" cm="1">
        <f t="array" aca="1" ref="Y8" ca="1">IF(Y6&lt;=y_1,flatPBAPA1,IF(Y6&gt;$C$28,($C$17-SUM($I8:X8*$I16:X16))/Y16,0))</f>
        <v>0</v>
      </c>
      <c r="Z8" s="174" cm="1">
        <f t="array" aca="1" ref="Z8" ca="1">IF(Z6&lt;=y_1,flatPBAPA1,IF(Z6&gt;$C$28,($C$17-SUM($I8:Y8*$I16:Y16))/Z16,0))</f>
        <v>0</v>
      </c>
      <c r="AA8" s="174" cm="1">
        <f t="array" aca="1" ref="AA8" ca="1">IF(AA6&lt;=y_1,flatPBAPA1,IF(AA6&gt;$C$28,($C$17-SUM($I8:Z8*$I16:Z16))/AA16,0))</f>
        <v>0</v>
      </c>
      <c r="AB8" s="174" cm="1">
        <f t="array" aca="1" ref="AB8" ca="1">IF(AB6&lt;=y_1,flatPBAPA1,IF(AB6&gt;$C$28,($C$17-SUM($I8:AA8*$I16:AA16))/AB16,0))</f>
        <v>0</v>
      </c>
      <c r="AC8" s="174" cm="1">
        <f t="array" aca="1" ref="AC8" ca="1">IF(AC6&lt;=y_1,flatPBAPA1,IF(AC6&gt;$C$28,($C$17-SUM($I8:AB8*$I16:AB16))/AC16,0))</f>
        <v>0</v>
      </c>
      <c r="AD8" s="174" cm="1">
        <f t="array" aca="1" ref="AD8" ca="1">IF(AD6&lt;=y_1,flatPBAPA1,IF(AD6&gt;$C$28,($C$17-SUM($I8:AC8*$I16:AC16))/AD16,0))</f>
        <v>0</v>
      </c>
      <c r="AE8" s="174" cm="1">
        <f t="array" aca="1" ref="AE8" ca="1">IF(AE6&lt;=y_1,flatPBAPA1,IF(AE6&gt;$C$28,($C$17-SUM($I8:AD8*$I16:AD16))/AE16,0))</f>
        <v>0</v>
      </c>
      <c r="AF8" s="174" cm="1">
        <f t="array" aca="1" ref="AF8" ca="1">IF(AF6&lt;=y_1,flatPBAPA1,IF(AF6&gt;$C$28,($C$17-SUM($I8:AE8*$I16:AE16))/AF16,0))</f>
        <v>0</v>
      </c>
      <c r="AG8" s="174" cm="1">
        <f t="array" aca="1" ref="AG8" ca="1">IF(AG6&lt;=y_1,flatPBAPA1,IF(AG6&gt;$C$28,($C$17-SUM($I8:AF8*$I16:AF16))/AG16,0))</f>
        <v>0</v>
      </c>
      <c r="AH8" s="174" cm="1">
        <f t="array" aca="1" ref="AH8" ca="1">IF(AH6&lt;=y_1,flatPBAPA1,IF(AH6&gt;$C$28,($C$17-SUM($I8:AG8*$I16:AG16))/AH16,0))</f>
        <v>0</v>
      </c>
      <c r="AI8" s="174" cm="1">
        <f t="array" aca="1" ref="AI8" ca="1">IF(AI6&lt;=y_1,flatPBAPA1,IF(AI6&gt;$C$28,($C$17-SUM($I8:AH8*$I16:AH16))/AI16,0))</f>
        <v>0</v>
      </c>
      <c r="AJ8" s="174" cm="1">
        <f t="array" aca="1" ref="AJ8" ca="1">IF(AJ6&lt;=y_1,flatPBAPA1,IF(AJ6&gt;$C$28,($C$17-SUM($I8:AI8*$I16:AI16))/AJ16,0))</f>
        <v>0</v>
      </c>
      <c r="AK8" s="174" cm="1">
        <f t="array" aca="1" ref="AK8" ca="1">IF(AK6&lt;=y_1,flatPBAPA1,IF(AK6&gt;$C$28,($C$17-SUM($I8:AJ8*$I16:AJ16))/AK16,0))</f>
        <v>0</v>
      </c>
      <c r="AL8" s="174" cm="1">
        <f t="array" aca="1" ref="AL8" ca="1">IF(AL6&lt;=y_1,flatPBAPA1,IF(AL6&gt;$C$28,($C$17-SUM($I8:AK8*$I16:AK16))/AL16,0))</f>
        <v>0</v>
      </c>
      <c r="AM8" s="174" cm="1">
        <f t="array" aca="1" ref="AM8" ca="1">IF(AM6&lt;=y_1,flatPBAPA1,IF(AM6&gt;$C$28,($C$17-SUM($I8:AL8*$I16:AL16))/AM16,0))</f>
        <v>0</v>
      </c>
    </row>
    <row r="9" spans="1:39">
      <c r="B9" s="364" t="s">
        <v>526</v>
      </c>
      <c r="C9" s="365"/>
      <c r="H9" t="s">
        <v>527</v>
      </c>
      <c r="J9" s="174">
        <f ca="1">OFFSET('P1.5 Calculation of Vrr - L1'!$D$17,,rr_num-2+J6-'P1.5 Calculation of Vrr - L1'!$D$9)</f>
        <v>0</v>
      </c>
      <c r="K9" s="174">
        <f ca="1">OFFSET('P1.5 Calculation of Vrr - L1'!$D$17,,rr_num-2+K6-'P1.5 Calculation of Vrr - L1'!$D$9)</f>
        <v>0</v>
      </c>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row>
    <row r="10" spans="1:39">
      <c r="B10" s="366"/>
      <c r="C10" s="367"/>
      <c r="J10" s="343" t="s">
        <v>528</v>
      </c>
      <c r="K10" s="127"/>
    </row>
    <row r="11" spans="1:39">
      <c r="B11" s="366"/>
      <c r="C11" s="367"/>
      <c r="J11" s="274" t="s">
        <v>529</v>
      </c>
      <c r="K11" s="275"/>
      <c r="L11" s="276"/>
      <c r="M11" s="276"/>
      <c r="N11" s="276"/>
      <c r="O11" s="276"/>
      <c r="P11" s="276"/>
      <c r="Q11" s="276"/>
      <c r="R11" s="276"/>
      <c r="S11" s="276"/>
    </row>
    <row r="12" spans="1:39">
      <c r="B12" s="366"/>
      <c r="C12" s="367"/>
      <c r="J12" s="128"/>
      <c r="K12" s="127"/>
    </row>
    <row r="13" spans="1:39">
      <c r="B13" s="366"/>
      <c r="C13" s="367"/>
      <c r="J13" s="128"/>
      <c r="K13" s="127"/>
    </row>
    <row r="14" spans="1:39">
      <c r="B14" s="368"/>
      <c r="C14" s="369"/>
      <c r="J14" s="128"/>
      <c r="K14" s="127"/>
    </row>
    <row r="15" spans="1:39">
      <c r="B15" t="s">
        <v>530</v>
      </c>
      <c r="C15" s="143"/>
      <c r="J15" s="128"/>
      <c r="K15" s="127"/>
    </row>
    <row r="16" spans="1:39">
      <c r="B16" t="s">
        <v>531</v>
      </c>
      <c r="C16" s="143"/>
      <c r="D16" s="126"/>
      <c r="H16" t="s">
        <v>532</v>
      </c>
      <c r="I16" s="174">
        <f>(1+DRA*f_1)/(1+DRA)^I5</f>
        <v>1</v>
      </c>
      <c r="J16" s="174">
        <f>(1+DRA*f_1)/(1+DRA)^J6</f>
        <v>1</v>
      </c>
      <c r="K16" s="174">
        <f>(1+DRA*f_1)/(1+DRA)^K6</f>
        <v>1</v>
      </c>
      <c r="L16" s="174">
        <f t="shared" ref="L16:AM16" si="1">(1+DRA*f_1)/(1+DRA)^L6</f>
        <v>1</v>
      </c>
      <c r="M16" s="174">
        <f t="shared" si="1"/>
        <v>1</v>
      </c>
      <c r="N16" s="174">
        <f t="shared" si="1"/>
        <v>1</v>
      </c>
      <c r="O16" s="174">
        <f t="shared" si="1"/>
        <v>1</v>
      </c>
      <c r="P16" s="174">
        <f t="shared" si="1"/>
        <v>1</v>
      </c>
      <c r="Q16" s="174">
        <f t="shared" si="1"/>
        <v>1</v>
      </c>
      <c r="R16" s="174">
        <f t="shared" si="1"/>
        <v>1</v>
      </c>
      <c r="S16" s="174">
        <f t="shared" si="1"/>
        <v>1</v>
      </c>
      <c r="T16" s="174">
        <f t="shared" si="1"/>
        <v>1</v>
      </c>
      <c r="U16" s="174">
        <f t="shared" si="1"/>
        <v>1</v>
      </c>
      <c r="V16" s="174">
        <f t="shared" si="1"/>
        <v>1</v>
      </c>
      <c r="W16" s="174">
        <f t="shared" si="1"/>
        <v>1</v>
      </c>
      <c r="X16" s="174">
        <f t="shared" si="1"/>
        <v>1</v>
      </c>
      <c r="Y16" s="174">
        <f t="shared" si="1"/>
        <v>1</v>
      </c>
      <c r="Z16" s="174">
        <f t="shared" si="1"/>
        <v>1</v>
      </c>
      <c r="AA16" s="174">
        <f t="shared" si="1"/>
        <v>1</v>
      </c>
      <c r="AB16" s="174">
        <f t="shared" si="1"/>
        <v>1</v>
      </c>
      <c r="AC16" s="174">
        <f t="shared" si="1"/>
        <v>1</v>
      </c>
      <c r="AD16" s="174">
        <f t="shared" si="1"/>
        <v>1</v>
      </c>
      <c r="AE16" s="174">
        <f t="shared" si="1"/>
        <v>1</v>
      </c>
      <c r="AF16" s="174">
        <f t="shared" si="1"/>
        <v>1</v>
      </c>
      <c r="AG16" s="174">
        <f t="shared" si="1"/>
        <v>1</v>
      </c>
      <c r="AH16" s="174">
        <f t="shared" si="1"/>
        <v>1</v>
      </c>
      <c r="AI16" s="174">
        <f t="shared" si="1"/>
        <v>1</v>
      </c>
      <c r="AJ16" s="174">
        <f t="shared" si="1"/>
        <v>1</v>
      </c>
      <c r="AK16" s="174">
        <f t="shared" si="1"/>
        <v>1</v>
      </c>
      <c r="AL16" s="174">
        <f t="shared" si="1"/>
        <v>1</v>
      </c>
      <c r="AM16" s="174">
        <f t="shared" si="1"/>
        <v>1</v>
      </c>
    </row>
    <row r="17" spans="2:39" ht="15" thickBot="1">
      <c r="B17" s="103" t="s">
        <v>533</v>
      </c>
      <c r="C17" s="176">
        <f>PSEDA-C16</f>
        <v>0</v>
      </c>
      <c r="H17" t="s">
        <v>534</v>
      </c>
      <c r="J17" s="149">
        <f t="shared" ref="J17:AM17" ca="1" si="2">J9*J16</f>
        <v>0</v>
      </c>
      <c r="K17" s="149">
        <f t="shared" ca="1" si="2"/>
        <v>0</v>
      </c>
      <c r="L17" s="149">
        <f t="shared" si="2"/>
        <v>0</v>
      </c>
      <c r="M17" s="149">
        <f t="shared" si="2"/>
        <v>0</v>
      </c>
      <c r="N17" s="149">
        <f t="shared" si="2"/>
        <v>0</v>
      </c>
      <c r="O17" s="149">
        <f t="shared" si="2"/>
        <v>0</v>
      </c>
      <c r="P17" s="149">
        <f t="shared" si="2"/>
        <v>0</v>
      </c>
      <c r="Q17" s="149">
        <f t="shared" si="2"/>
        <v>0</v>
      </c>
      <c r="R17" s="149">
        <f t="shared" si="2"/>
        <v>0</v>
      </c>
      <c r="S17" s="149">
        <f t="shared" si="2"/>
        <v>0</v>
      </c>
      <c r="T17" s="149">
        <f t="shared" si="2"/>
        <v>0</v>
      </c>
      <c r="U17" s="149">
        <f t="shared" si="2"/>
        <v>0</v>
      </c>
      <c r="V17" s="149">
        <f t="shared" si="2"/>
        <v>0</v>
      </c>
      <c r="W17" s="149">
        <f t="shared" si="2"/>
        <v>0</v>
      </c>
      <c r="X17" s="149">
        <f t="shared" si="2"/>
        <v>0</v>
      </c>
      <c r="Y17" s="149">
        <f t="shared" si="2"/>
        <v>0</v>
      </c>
      <c r="Z17" s="149">
        <f t="shared" si="2"/>
        <v>0</v>
      </c>
      <c r="AA17" s="149">
        <f t="shared" si="2"/>
        <v>0</v>
      </c>
      <c r="AB17" s="149">
        <f t="shared" si="2"/>
        <v>0</v>
      </c>
      <c r="AC17" s="149">
        <f t="shared" si="2"/>
        <v>0</v>
      </c>
      <c r="AD17" s="149">
        <f t="shared" si="2"/>
        <v>0</v>
      </c>
      <c r="AE17" s="149">
        <f t="shared" si="2"/>
        <v>0</v>
      </c>
      <c r="AF17" s="149">
        <f t="shared" si="2"/>
        <v>0</v>
      </c>
      <c r="AG17" s="149">
        <f t="shared" si="2"/>
        <v>0</v>
      </c>
      <c r="AH17" s="149">
        <f t="shared" si="2"/>
        <v>0</v>
      </c>
      <c r="AI17" s="149">
        <f t="shared" si="2"/>
        <v>0</v>
      </c>
      <c r="AJ17" s="149">
        <f t="shared" si="2"/>
        <v>0</v>
      </c>
      <c r="AK17" s="149">
        <f t="shared" si="2"/>
        <v>0</v>
      </c>
      <c r="AL17" s="149">
        <f t="shared" si="2"/>
        <v>0</v>
      </c>
      <c r="AM17" s="149">
        <f t="shared" si="2"/>
        <v>0</v>
      </c>
    </row>
    <row r="18" spans="2:39">
      <c r="J18" s="274" t="s">
        <v>529</v>
      </c>
      <c r="K18" s="275"/>
      <c r="L18" s="276"/>
      <c r="M18" s="276"/>
      <c r="N18" s="276"/>
      <c r="O18" s="276"/>
      <c r="P18" s="276"/>
      <c r="Q18" s="276"/>
      <c r="R18" s="276"/>
      <c r="S18" s="276"/>
      <c r="T18" s="125"/>
      <c r="U18" s="125"/>
      <c r="V18" s="125"/>
      <c r="W18" s="125"/>
      <c r="X18" s="125"/>
      <c r="Y18" s="125"/>
      <c r="Z18" s="125"/>
      <c r="AA18" s="125"/>
      <c r="AB18" s="125"/>
      <c r="AC18" s="125"/>
      <c r="AD18" s="125"/>
      <c r="AE18" s="125"/>
      <c r="AF18" s="125"/>
      <c r="AG18" s="125"/>
      <c r="AH18" s="125"/>
      <c r="AI18" s="125"/>
      <c r="AJ18" s="125"/>
      <c r="AK18" s="125"/>
      <c r="AL18" s="125"/>
      <c r="AM18" s="125"/>
    </row>
    <row r="19" spans="2:39">
      <c r="B19" t="s">
        <v>535</v>
      </c>
      <c r="C19" s="149">
        <f ca="1">AVERAGE(J9:K9)</f>
        <v>0</v>
      </c>
      <c r="J19" s="125"/>
      <c r="K19" s="125"/>
      <c r="L19" s="125"/>
      <c r="M19" s="125"/>
      <c r="N19" s="125"/>
      <c r="O19" s="125"/>
      <c r="P19" s="125"/>
      <c r="Q19" s="125"/>
      <c r="R19" s="125"/>
      <c r="S19" s="125"/>
      <c r="T19" s="125"/>
      <c r="U19" s="125"/>
      <c r="V19" s="125"/>
      <c r="W19" s="125"/>
      <c r="X19" s="125"/>
      <c r="Y19" s="125"/>
      <c r="Z19" s="125"/>
      <c r="AA19" s="125"/>
      <c r="AB19" s="125"/>
      <c r="AC19" s="125"/>
      <c r="AD19" s="125"/>
      <c r="AE19" s="125"/>
      <c r="AF19" s="125"/>
      <c r="AG19" s="125"/>
      <c r="AH19" s="125"/>
      <c r="AI19" s="125"/>
      <c r="AJ19" s="125"/>
      <c r="AK19" s="125"/>
      <c r="AL19" s="125"/>
      <c r="AM19" s="125"/>
    </row>
    <row r="20" spans="2:39">
      <c r="B20" t="s">
        <v>536</v>
      </c>
      <c r="C20" s="144"/>
    </row>
    <row r="21" spans="2:39" ht="15" thickBot="1"/>
    <row r="22" spans="2:39">
      <c r="B22" t="s">
        <v>537</v>
      </c>
      <c r="C22" s="174">
        <f ca="1">IF(PSEDA&lt;0,0,IF(EBAPA1=0,9999,IF(DRA=0,PSEDA/EBAPA1,-LN(1-LN(1+DRA)*PSEDA/C19)/LN(1+DRA))))</f>
        <v>9999</v>
      </c>
      <c r="H22" s="124" t="s">
        <v>538</v>
      </c>
      <c r="I22" s="162">
        <f ca="1">SUM(J17:AM17)</f>
        <v>0</v>
      </c>
    </row>
    <row r="23" spans="2:39" ht="15" thickBot="1">
      <c r="B23" t="s">
        <v>539</v>
      </c>
      <c r="C23" s="149">
        <f ca="1">MIN(C22,15)</f>
        <v>15</v>
      </c>
      <c r="H23" s="123" t="s">
        <v>540</v>
      </c>
      <c r="I23" s="163">
        <f ca="1">I22-C17</f>
        <v>0</v>
      </c>
      <c r="J23" s="276" t="s">
        <v>541</v>
      </c>
      <c r="K23" s="276"/>
      <c r="L23" s="276"/>
      <c r="M23" s="276"/>
      <c r="N23" s="276"/>
      <c r="O23" s="276"/>
      <c r="P23" s="276"/>
      <c r="Q23" s="276"/>
      <c r="R23" s="276"/>
      <c r="S23" s="276"/>
      <c r="T23" s="276"/>
    </row>
    <row r="24" spans="2:39" ht="15" thickBot="1">
      <c r="B24" s="103" t="s">
        <v>542</v>
      </c>
      <c r="C24" s="175">
        <f ca="1">IF(DRA=0,PSEDA/C23,PSEDA*LN(1+DRA)/(1-(1+DRA)^-C23))</f>
        <v>0</v>
      </c>
      <c r="E24" s="122" t="s">
        <v>543</v>
      </c>
    </row>
    <row r="25" spans="2:39">
      <c r="E25" s="122"/>
    </row>
    <row r="26" spans="2:39">
      <c r="E26" s="122" t="s">
        <v>544</v>
      </c>
    </row>
    <row r="27" spans="2:39">
      <c r="B27" t="s">
        <v>545</v>
      </c>
      <c r="C27" s="107">
        <f ca="1">IF(EBAPA1=0,9999,MIN(IF(DRA=0,C17/EBAPA1,-LN(1-LN(1+DRA)*C17/C19)/LN(1+DRA)),15))</f>
        <v>9999</v>
      </c>
    </row>
    <row r="28" spans="2:39">
      <c r="B28" t="s">
        <v>546</v>
      </c>
      <c r="C28" s="143">
        <f ca="1">C27</f>
        <v>9999</v>
      </c>
      <c r="E28" s="122" t="s">
        <v>547</v>
      </c>
    </row>
    <row r="29" spans="2:39" ht="15" thickBot="1">
      <c r="B29" s="103" t="s">
        <v>548</v>
      </c>
      <c r="C29" s="175">
        <f ca="1">IF(DRA=0,C17/C28,C17*LN(1+DRA)/(1-(1+DRA)^-C28))</f>
        <v>0</v>
      </c>
      <c r="E29" s="122"/>
    </row>
    <row r="31" spans="2:39">
      <c r="B31" t="s">
        <v>549</v>
      </c>
      <c r="C31" s="174">
        <f>IF(DRA=0,0.5,1/LN(1+DRA)-1/DRA)</f>
        <v>0.5</v>
      </c>
      <c r="E31" s="122" t="s">
        <v>550</v>
      </c>
    </row>
    <row r="32" spans="2:39">
      <c r="B32" t="s">
        <v>532</v>
      </c>
      <c r="E32" s="122" t="s">
        <v>551</v>
      </c>
    </row>
    <row r="34" spans="5:5">
      <c r="E34" s="122" t="s">
        <v>552</v>
      </c>
    </row>
    <row r="35" spans="5:5">
      <c r="E35" s="122" t="s">
        <v>553</v>
      </c>
    </row>
    <row r="50" spans="5:5">
      <c r="E50" s="121"/>
    </row>
  </sheetData>
  <mergeCells count="1">
    <mergeCell ref="B9:C14"/>
  </mergeCells>
  <dataValidations count="4">
    <dataValidation type="decimal" operator="equal" allowBlank="1" showInputMessage="1" showErrorMessage="1" sqref="I17:I19 I5:I8" xr:uid="{00000000-0002-0000-0900-000000000000}">
      <formula1>0</formula1>
    </dataValidation>
    <dataValidation type="decimal" operator="notEqual" allowBlank="1" showInputMessage="1" showErrorMessage="1" sqref="C20" xr:uid="{00000000-0002-0000-0900-000001000000}">
      <formula1>-1</formula1>
    </dataValidation>
    <dataValidation type="decimal" operator="notEqual" allowBlank="1" showInputMessage="1" showErrorMessage="1" sqref="C27 C23 C15:C17" xr:uid="{00000000-0002-0000-0900-000002000000}">
      <formula1>0</formula1>
    </dataValidation>
    <dataValidation type="decimal" allowBlank="1" showInputMessage="1" showErrorMessage="1" sqref="C28" xr:uid="{00000000-0002-0000-0900-000003000000}">
      <formula1>0.001</formula1>
      <formula2>30</formula2>
    </dataValidation>
  </dataValidations>
  <pageMargins left="0.70866141732283472" right="0.70866141732283472" top="0.74803149606299213" bottom="0.74803149606299213" header="0.31496062992125984" footer="0.31496062992125984"/>
  <pageSetup paperSize="9" scale="17" orientation="portrait" r:id="rId1"/>
  <headerFooter>
    <oddFooter>&amp;C_x000D_&amp;1#&amp;"Calibri"&amp;10&amp;K000000 OFFICIAL-InternalOnly</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5362" r:id="rId4" name="Drop Down 2">
              <controlPr defaultSize="0" autoLine="0" autoPict="0" altText="algebra for discount factor">
                <anchor moveWithCells="1">
                  <from>
                    <xdr:col>2</xdr:col>
                    <xdr:colOff>0</xdr:colOff>
                    <xdr:row>6</xdr:row>
                    <xdr:rowOff>12700</xdr:rowOff>
                  </from>
                  <to>
                    <xdr:col>3</xdr:col>
                    <xdr:colOff>285750</xdr:colOff>
                    <xdr:row>7</xdr:row>
                    <xdr:rowOff>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50"/>
  <sheetViews>
    <sheetView workbookViewId="0">
      <selection activeCell="D18" sqref="D18"/>
    </sheetView>
  </sheetViews>
  <sheetFormatPr defaultRowHeight="14.5"/>
  <sheetData>
    <row r="1" spans="1:10">
      <c r="A1" t="s">
        <v>554</v>
      </c>
      <c r="B1" t="s">
        <v>555</v>
      </c>
      <c r="C1" t="s">
        <v>556</v>
      </c>
      <c r="D1" t="s">
        <v>557</v>
      </c>
      <c r="E1" t="s">
        <v>558</v>
      </c>
    </row>
    <row r="2" spans="1:10">
      <c r="A2" t="s">
        <v>559</v>
      </c>
      <c r="B2" t="s">
        <v>560</v>
      </c>
      <c r="C2" t="s">
        <v>561</v>
      </c>
      <c r="D2" s="131">
        <v>0.28000000000000003</v>
      </c>
      <c r="E2">
        <f>MATCH(A8,yearQ,0)</f>
        <v>7</v>
      </c>
      <c r="F2" s="133"/>
      <c r="G2" s="133"/>
      <c r="H2" s="134"/>
      <c r="I2" s="133"/>
      <c r="J2" s="132"/>
    </row>
    <row r="3" spans="1:10">
      <c r="A3" t="s">
        <v>560</v>
      </c>
      <c r="B3" t="s">
        <v>84</v>
      </c>
      <c r="C3" t="s">
        <v>562</v>
      </c>
      <c r="D3" s="131">
        <v>0.28000000000000003</v>
      </c>
      <c r="F3" s="133"/>
      <c r="G3" s="133"/>
      <c r="H3" s="134"/>
      <c r="I3" s="133"/>
      <c r="J3" s="132"/>
    </row>
    <row r="4" spans="1:10">
      <c r="A4" t="s">
        <v>563</v>
      </c>
      <c r="B4" t="s">
        <v>564</v>
      </c>
      <c r="C4" t="s">
        <v>565</v>
      </c>
      <c r="D4" s="131">
        <v>0.26</v>
      </c>
      <c r="F4" s="133"/>
      <c r="G4" s="133"/>
      <c r="H4" s="134"/>
      <c r="I4" s="133"/>
      <c r="J4" s="132"/>
    </row>
    <row r="5" spans="1:10">
      <c r="A5" t="s">
        <v>84</v>
      </c>
      <c r="C5" t="s">
        <v>566</v>
      </c>
      <c r="D5" s="131">
        <v>0.24</v>
      </c>
      <c r="F5" s="133"/>
      <c r="G5" s="133"/>
      <c r="H5" s="134"/>
      <c r="I5" s="133"/>
      <c r="J5" s="132"/>
    </row>
    <row r="6" spans="1:10">
      <c r="A6" t="s">
        <v>564</v>
      </c>
      <c r="D6" s="131">
        <v>0.23</v>
      </c>
      <c r="F6" s="133"/>
      <c r="G6" s="133"/>
      <c r="H6" s="134"/>
      <c r="I6" s="133"/>
      <c r="J6" s="132"/>
    </row>
    <row r="7" spans="1:10">
      <c r="A7" t="s">
        <v>567</v>
      </c>
      <c r="D7" s="131">
        <v>0.21</v>
      </c>
      <c r="F7" s="133"/>
      <c r="G7" s="133"/>
      <c r="H7" s="134"/>
      <c r="I7" s="133"/>
      <c r="J7" s="132"/>
    </row>
    <row r="8" spans="1:10">
      <c r="A8" t="s">
        <v>568</v>
      </c>
      <c r="D8" s="131">
        <v>0.2</v>
      </c>
      <c r="F8" s="133"/>
      <c r="G8" s="133"/>
      <c r="H8" s="133"/>
      <c r="I8" s="133"/>
      <c r="J8" s="132"/>
    </row>
    <row r="9" spans="1:10">
      <c r="A9" t="s">
        <v>569</v>
      </c>
      <c r="D9" s="131">
        <v>0.2</v>
      </c>
      <c r="F9" s="133"/>
      <c r="G9" s="133"/>
      <c r="H9" s="133"/>
      <c r="I9" s="133"/>
      <c r="J9" s="132"/>
    </row>
    <row r="10" spans="1:10">
      <c r="A10" t="s">
        <v>561</v>
      </c>
      <c r="D10" s="131">
        <v>0.19</v>
      </c>
      <c r="F10" s="133"/>
      <c r="G10" s="133"/>
      <c r="H10" s="133"/>
      <c r="I10" s="133"/>
      <c r="J10" s="132"/>
    </row>
    <row r="11" spans="1:10">
      <c r="A11" t="s">
        <v>570</v>
      </c>
      <c r="D11" s="131">
        <v>0.19</v>
      </c>
      <c r="F11" s="133"/>
      <c r="G11" s="133"/>
      <c r="H11" s="133"/>
      <c r="I11" s="133"/>
      <c r="J11" s="132"/>
    </row>
    <row r="12" spans="1:10">
      <c r="A12" t="s">
        <v>571</v>
      </c>
      <c r="D12" s="131">
        <v>0.19</v>
      </c>
      <c r="F12" s="133"/>
      <c r="G12" s="133"/>
      <c r="H12" s="133"/>
      <c r="I12" s="133"/>
      <c r="J12" s="132"/>
    </row>
    <row r="13" spans="1:10">
      <c r="A13" t="s">
        <v>562</v>
      </c>
      <c r="D13" s="131">
        <v>0.19</v>
      </c>
      <c r="F13" s="133"/>
      <c r="G13" s="133"/>
      <c r="H13" s="133"/>
      <c r="I13" s="133"/>
      <c r="J13" s="132"/>
    </row>
    <row r="14" spans="1:10">
      <c r="A14" t="s">
        <v>572</v>
      </c>
      <c r="D14" s="131">
        <v>0.19</v>
      </c>
    </row>
    <row r="15" spans="1:10">
      <c r="A15" t="s">
        <v>573</v>
      </c>
      <c r="D15" s="131">
        <v>0.19</v>
      </c>
    </row>
    <row r="16" spans="1:10">
      <c r="A16" t="s">
        <v>565</v>
      </c>
      <c r="D16" s="131">
        <v>0.25</v>
      </c>
    </row>
    <row r="17" spans="1:9">
      <c r="A17" t="s">
        <v>574</v>
      </c>
      <c r="D17" s="131">
        <v>0.25</v>
      </c>
    </row>
    <row r="18" spans="1:9">
      <c r="A18" t="s">
        <v>575</v>
      </c>
      <c r="D18" s="131">
        <v>0.25</v>
      </c>
    </row>
    <row r="19" spans="1:9">
      <c r="A19" t="s">
        <v>566</v>
      </c>
      <c r="D19" s="131">
        <v>0.25</v>
      </c>
    </row>
    <row r="20" spans="1:9">
      <c r="A20" t="s">
        <v>576</v>
      </c>
      <c r="D20" s="131"/>
    </row>
    <row r="21" spans="1:9">
      <c r="A21" t="s">
        <v>577</v>
      </c>
      <c r="D21" s="131"/>
    </row>
    <row r="22" spans="1:9">
      <c r="A22" t="s">
        <v>578</v>
      </c>
      <c r="D22" s="131"/>
    </row>
    <row r="23" spans="1:9">
      <c r="A23" t="s">
        <v>579</v>
      </c>
      <c r="D23" s="131"/>
    </row>
    <row r="24" spans="1:9">
      <c r="A24" t="s">
        <v>580</v>
      </c>
      <c r="D24" s="131"/>
    </row>
    <row r="25" spans="1:9">
      <c r="A25" t="s">
        <v>581</v>
      </c>
      <c r="D25" s="131"/>
      <c r="H25">
        <v>2032</v>
      </c>
      <c r="I25">
        <v>2033</v>
      </c>
    </row>
    <row r="26" spans="1:9">
      <c r="A26" t="str">
        <f t="shared" ref="A26:A50" si="0">H26&amp;"-"&amp;RIGHT(I26,2)</f>
        <v>2033-34</v>
      </c>
      <c r="D26" s="131"/>
      <c r="H26">
        <v>2033</v>
      </c>
      <c r="I26">
        <v>2034</v>
      </c>
    </row>
    <row r="27" spans="1:9">
      <c r="A27" t="str">
        <f t="shared" si="0"/>
        <v>2034-35</v>
      </c>
      <c r="D27" s="131"/>
      <c r="H27">
        <v>2034</v>
      </c>
      <c r="I27">
        <v>2035</v>
      </c>
    </row>
    <row r="28" spans="1:9">
      <c r="A28" t="str">
        <f t="shared" si="0"/>
        <v>2035-36</v>
      </c>
      <c r="D28" s="131"/>
      <c r="H28">
        <v>2035</v>
      </c>
      <c r="I28">
        <v>2036</v>
      </c>
    </row>
    <row r="29" spans="1:9">
      <c r="A29" t="str">
        <f t="shared" si="0"/>
        <v>2036-37</v>
      </c>
      <c r="B29" t="s">
        <v>582</v>
      </c>
      <c r="C29" t="s">
        <v>583</v>
      </c>
      <c r="D29" s="131"/>
      <c r="H29">
        <v>2036</v>
      </c>
      <c r="I29">
        <v>2037</v>
      </c>
    </row>
    <row r="30" spans="1:9">
      <c r="A30" t="str">
        <f t="shared" si="0"/>
        <v>2037-38</v>
      </c>
      <c r="B30">
        <v>1</v>
      </c>
      <c r="C30">
        <v>4</v>
      </c>
      <c r="D30" s="131"/>
      <c r="H30">
        <v>2037</v>
      </c>
      <c r="I30">
        <v>2038</v>
      </c>
    </row>
    <row r="31" spans="1:9">
      <c r="A31" t="str">
        <f t="shared" si="0"/>
        <v>2038-39</v>
      </c>
      <c r="B31" t="s">
        <v>584</v>
      </c>
      <c r="C31" t="s">
        <v>585</v>
      </c>
      <c r="D31" s="131"/>
      <c r="H31">
        <v>2038</v>
      </c>
      <c r="I31">
        <v>2039</v>
      </c>
    </row>
    <row r="32" spans="1:9">
      <c r="A32" t="str">
        <f t="shared" si="0"/>
        <v>2039-40</v>
      </c>
      <c r="B32">
        <f>MATCH(INDEX(pco1Q,pco1A),yearQ,0)</f>
        <v>2</v>
      </c>
      <c r="C32">
        <f>MATCH(INDEX(rrQ,rrA),yearQ,0)</f>
        <v>18</v>
      </c>
      <c r="D32" s="131"/>
      <c r="H32">
        <v>2039</v>
      </c>
      <c r="I32">
        <v>2040</v>
      </c>
    </row>
    <row r="33" spans="1:9">
      <c r="A33" t="str">
        <f t="shared" si="0"/>
        <v>2040-41</v>
      </c>
      <c r="C33" t="s">
        <v>586</v>
      </c>
      <c r="D33" s="131"/>
      <c r="H33">
        <v>2040</v>
      </c>
      <c r="I33">
        <v>2041</v>
      </c>
    </row>
    <row r="34" spans="1:9">
      <c r="A34" t="str">
        <f t="shared" si="0"/>
        <v>2041-42</v>
      </c>
      <c r="C34">
        <f>rr_num+3</f>
        <v>21</v>
      </c>
      <c r="D34" s="131"/>
      <c r="H34">
        <v>2041</v>
      </c>
      <c r="I34">
        <v>2042</v>
      </c>
    </row>
    <row r="35" spans="1:9">
      <c r="A35" t="str">
        <f t="shared" si="0"/>
        <v>2042-43</v>
      </c>
      <c r="C35" t="s">
        <v>587</v>
      </c>
      <c r="D35" s="131"/>
      <c r="H35">
        <v>2042</v>
      </c>
      <c r="I35">
        <v>2043</v>
      </c>
    </row>
    <row r="36" spans="1:9">
      <c r="A36" t="str">
        <f t="shared" si="0"/>
        <v>2043-44</v>
      </c>
      <c r="C36">
        <v>24</v>
      </c>
      <c r="D36" s="131"/>
      <c r="H36">
        <v>2043</v>
      </c>
      <c r="I36">
        <v>2044</v>
      </c>
    </row>
    <row r="37" spans="1:9">
      <c r="A37" t="str">
        <f t="shared" si="0"/>
        <v>2044-45</v>
      </c>
      <c r="D37" s="131"/>
      <c r="H37">
        <v>2044</v>
      </c>
      <c r="I37">
        <v>2045</v>
      </c>
    </row>
    <row r="38" spans="1:9">
      <c r="A38" t="str">
        <f t="shared" si="0"/>
        <v>2045-46</v>
      </c>
      <c r="D38" s="131"/>
      <c r="H38">
        <v>2045</v>
      </c>
      <c r="I38">
        <v>2046</v>
      </c>
    </row>
    <row r="39" spans="1:9">
      <c r="A39" t="str">
        <f t="shared" si="0"/>
        <v>2046-47</v>
      </c>
      <c r="D39" s="131"/>
      <c r="H39">
        <v>2046</v>
      </c>
      <c r="I39">
        <v>2047</v>
      </c>
    </row>
    <row r="40" spans="1:9">
      <c r="A40" t="str">
        <f t="shared" si="0"/>
        <v>2047-48</v>
      </c>
      <c r="D40" s="131"/>
      <c r="H40">
        <v>2047</v>
      </c>
      <c r="I40">
        <v>2048</v>
      </c>
    </row>
    <row r="41" spans="1:9">
      <c r="A41" t="str">
        <f t="shared" si="0"/>
        <v>2048-49</v>
      </c>
      <c r="D41" s="131"/>
      <c r="H41">
        <v>2048</v>
      </c>
      <c r="I41">
        <v>2049</v>
      </c>
    </row>
    <row r="42" spans="1:9">
      <c r="A42" t="str">
        <f t="shared" si="0"/>
        <v>2049-50</v>
      </c>
      <c r="D42" s="131"/>
      <c r="H42">
        <v>2049</v>
      </c>
      <c r="I42">
        <v>2050</v>
      </c>
    </row>
    <row r="43" spans="1:9">
      <c r="A43" t="str">
        <f t="shared" si="0"/>
        <v>2050-51</v>
      </c>
      <c r="D43" s="131"/>
      <c r="H43">
        <v>2050</v>
      </c>
      <c r="I43">
        <v>2051</v>
      </c>
    </row>
    <row r="44" spans="1:9">
      <c r="A44" t="str">
        <f t="shared" si="0"/>
        <v>2051-52</v>
      </c>
      <c r="H44">
        <v>2051</v>
      </c>
      <c r="I44">
        <v>2052</v>
      </c>
    </row>
    <row r="45" spans="1:9">
      <c r="A45" t="str">
        <f t="shared" si="0"/>
        <v>2052-53</v>
      </c>
      <c r="H45">
        <v>2052</v>
      </c>
      <c r="I45">
        <v>2053</v>
      </c>
    </row>
    <row r="46" spans="1:9">
      <c r="A46" t="str">
        <f t="shared" si="0"/>
        <v>2053-54</v>
      </c>
      <c r="H46">
        <v>2053</v>
      </c>
      <c r="I46">
        <v>2054</v>
      </c>
    </row>
    <row r="47" spans="1:9">
      <c r="A47" t="str">
        <f t="shared" si="0"/>
        <v>2054-55</v>
      </c>
      <c r="H47">
        <v>2054</v>
      </c>
      <c r="I47">
        <v>2055</v>
      </c>
    </row>
    <row r="48" spans="1:9">
      <c r="A48" t="str">
        <f t="shared" si="0"/>
        <v>2055-56</v>
      </c>
      <c r="H48">
        <v>2055</v>
      </c>
      <c r="I48">
        <v>2056</v>
      </c>
    </row>
    <row r="49" spans="1:9">
      <c r="A49" t="str">
        <f t="shared" si="0"/>
        <v>2056-57</v>
      </c>
      <c r="H49">
        <v>2056</v>
      </c>
      <c r="I49">
        <v>2057</v>
      </c>
    </row>
    <row r="50" spans="1:9">
      <c r="A50" t="str">
        <f t="shared" si="0"/>
        <v>2057-58</v>
      </c>
      <c r="H50">
        <v>2057</v>
      </c>
      <c r="I50">
        <v>2058</v>
      </c>
    </row>
  </sheetData>
  <pageMargins left="0.7" right="0.7" top="0.75" bottom="0.75" header="0.3" footer="0.3"/>
  <pageSetup orientation="portrait" r:id="rId1"/>
  <headerFooter>
    <oddFooter>&amp;C_x000D_&amp;1#&amp;"Calibri"&amp;10&amp;K000000 OFFICIAL-InternalOnly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7C6947C0F765F428416B2828D309B65" ma:contentTypeVersion="12" ma:contentTypeDescription="Create a new document." ma:contentTypeScope="" ma:versionID="91e9d3178b0913f320655df5bbf4e546">
  <xsd:schema xmlns:xsd="http://www.w3.org/2001/XMLSchema" xmlns:xs="http://www.w3.org/2001/XMLSchema" xmlns:p="http://schemas.microsoft.com/office/2006/metadata/properties" xmlns:ns1="http://schemas.microsoft.com/sharepoint/v3" xmlns:ns2="3ffacce4-957f-4f0a-910f-9efe2ecf512c" xmlns:ns3="d66eba0d-a2b9-4833-9603-ab5d8f45883c" targetNamespace="http://schemas.microsoft.com/office/2006/metadata/properties" ma:root="true" ma:fieldsID="1d11cfb487c2823afc117963230ec203" ns1:_="" ns2:_="" ns3:_="">
    <xsd:import namespace="http://schemas.microsoft.com/sharepoint/v3"/>
    <xsd:import namespace="3ffacce4-957f-4f0a-910f-9efe2ecf512c"/>
    <xsd:import namespace="d66eba0d-a2b9-4833-9603-ab5d8f45883c"/>
    <xsd:element name="properties">
      <xsd:complexType>
        <xsd:sequence>
          <xsd:element name="documentManagement">
            <xsd:complexType>
              <xsd:all>
                <xsd:element ref="ns2:PublicationRequestID" minOccurs="0"/>
                <xsd:element ref="ns2:DocumentTitle" minOccurs="0"/>
                <xsd:element ref="ns2:DocumentRank" minOccurs="0"/>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ffacce4-957f-4f0a-910f-9efe2ecf512c" elementFormDefault="qualified">
    <xsd:import namespace="http://schemas.microsoft.com/office/2006/documentManagement/types"/>
    <xsd:import namespace="http://schemas.microsoft.com/office/infopath/2007/PartnerControls"/>
    <xsd:element name="PublicationRequestID" ma:index="8" nillable="true" ma:displayName="PublicationRequestID" ma:format="Dropdown" ma:internalName="PublicationRequestID" ma:percentage="FALSE">
      <xsd:simpleType>
        <xsd:restriction base="dms:Number"/>
      </xsd:simpleType>
    </xsd:element>
    <xsd:element name="DocumentTitle" ma:index="9" nillable="true" ma:displayName="DocumentTitle" ma:format="Dropdown" ma:internalName="DocumentTitle">
      <xsd:simpleType>
        <xsd:restriction base="dms:Note">
          <xsd:maxLength value="255"/>
        </xsd:restriction>
      </xsd:simpleType>
    </xsd:element>
    <xsd:element name="DocumentRank" ma:index="10" nillable="true" ma:displayName="DocumentImportance" ma:format="Dropdown" ma:internalName="DocumentRank">
      <xsd:simpleType>
        <xsd:restriction base="dms:Text">
          <xsd:maxLength value="255"/>
        </xsd:restriction>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f1db303c-1d0a-4523-bf11-6998614b3713" ma:termSetId="09814cd3-568e-fe90-9814-8d621ff8fb84" ma:anchorId="fba54fb3-c3e1-fe81-a776-ca4b69148c4d" ma:open="true" ma:isKeyword="false">
      <xsd:complexType>
        <xsd:sequence>
          <xsd:element ref="pc:Terms" minOccurs="0" maxOccurs="1"/>
        </xsd:sequence>
      </xsd:complexType>
    </xsd:element>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66eba0d-a2b9-4833-9603-ab5d8f45883c"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bdb3995f-4898-4ee6-8000-b65c76445445}" ma:internalName="TaxCatchAll" ma:showField="CatchAllData" ma:web="d66eba0d-a2b9-4833-9603-ab5d8f4588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documentManagement>
    <_ip_UnifiedCompliancePolicyUIAction xmlns="http://schemas.microsoft.com/sharepoint/v3" xsi:nil="true"/>
    <lcf76f155ced4ddcb4097134ff3c332f xmlns="3ffacce4-957f-4f0a-910f-9efe2ecf512c">
      <Terms xmlns="http://schemas.microsoft.com/office/infopath/2007/PartnerControls"/>
    </lcf76f155ced4ddcb4097134ff3c332f>
    <PublicationRequestID xmlns="3ffacce4-957f-4f0a-910f-9efe2ecf512c">3301</PublicationRequestID>
    <TaxCatchAll xmlns="d66eba0d-a2b9-4833-9603-ab5d8f45883c" xsi:nil="true"/>
    <_ip_UnifiedCompliancePolicyProperties xmlns="http://schemas.microsoft.com/sharepoint/v3" xsi:nil="true"/>
    <DocumentTitle xmlns="3ffacce4-957f-4f0a-910f-9efe2ecf512c">Pensions Reporting Pack Template Version 4.1</DocumentTitle>
    <DocumentRank xmlns="3ffacce4-957f-4f0a-910f-9efe2ecf512c">Main</DocumentRank>
  </documentManagement>
</p:properties>
</file>

<file path=customXml/item3.xml><?xml version="1.0" encoding="utf-8"?>
<sisl xmlns:xsd="http://www.w3.org/2001/XMLSchema" xmlns:xsi="http://www.w3.org/2001/XMLSchema-instance" xmlns="http://www.boldonjames.com/2008/01/sie/internal/label" sislVersion="0" policy="973096ae-7329-4b3b-9368-47aeba6959e1" origin="userSelected"/>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C7C5623-C010-439C-88BA-A234A27961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ffacce4-957f-4f0a-910f-9efe2ecf512c"/>
    <ds:schemaRef ds:uri="d66eba0d-a2b9-4833-9603-ab5d8f4588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3F2C1A4-83D1-4DB5-AFD4-67DB63192ACF}">
  <ds:schemaRefs>
    <ds:schemaRef ds:uri="http://schemas.microsoft.com/office/2006/metadata/properties"/>
    <ds:schemaRef ds:uri="http://schemas.microsoft.com/sharepoint/v3"/>
    <ds:schemaRef ds:uri="3ffacce4-957f-4f0a-910f-9efe2ecf512c"/>
    <ds:schemaRef ds:uri="http://schemas.microsoft.com/office/infopath/2007/PartnerControls"/>
    <ds:schemaRef ds:uri="d66eba0d-a2b9-4833-9603-ab5d8f45883c"/>
  </ds:schemaRefs>
</ds:datastoreItem>
</file>

<file path=customXml/itemProps3.xml><?xml version="1.0" encoding="utf-8"?>
<ds:datastoreItem xmlns:ds="http://schemas.openxmlformats.org/officeDocument/2006/customXml" ds:itemID="{E54E3EA1-A5AC-4F1C-90B1-CC4A54E6DD2B}">
  <ds:schemaRefs>
    <ds:schemaRef ds:uri="http://www.w3.org/2001/XMLSchema"/>
    <ds:schemaRef ds:uri="http://www.boldonjames.com/2008/01/sie/internal/label"/>
  </ds:schemaRefs>
</ds:datastoreItem>
</file>

<file path=customXml/itemProps4.xml><?xml version="1.0" encoding="utf-8"?>
<ds:datastoreItem xmlns:ds="http://schemas.openxmlformats.org/officeDocument/2006/customXml" ds:itemID="{57E927B1-9A60-49AB-816F-3C4AA056C9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40</vt:i4>
      </vt:variant>
    </vt:vector>
  </HeadingPairs>
  <TitlesOfParts>
    <vt:vector size="54" baseType="lpstr">
      <vt:lpstr>Pension Pack cover</vt:lpstr>
      <vt:lpstr>Version control</vt:lpstr>
      <vt:lpstr>Contents</vt:lpstr>
      <vt:lpstr>Changes Log</vt:lpstr>
      <vt:lpstr>P1.1 PDAM Licensee provided</vt:lpstr>
      <vt:lpstr>P1.2 PDAM Actuary provided data</vt:lpstr>
      <vt:lpstr>P1.5 Calculation of Vrr - L1</vt:lpstr>
      <vt:lpstr>P1.6 IBAPA and PBAPA - L1</vt:lpstr>
      <vt:lpstr>controls - do not change</vt:lpstr>
      <vt:lpstr>P2.1 PDAM Licensee provided</vt:lpstr>
      <vt:lpstr>P2.2 PDAM Actuary provided</vt:lpstr>
      <vt:lpstr>P2.5 Calculation of Vrr - L2</vt:lpstr>
      <vt:lpstr>P2.6 IBAPA and PBAPA - L2</vt:lpstr>
      <vt:lpstr>Para 6.20 adjustments</vt:lpstr>
      <vt:lpstr>'Para 6.20 adjustments'!_Toc352922511</vt:lpstr>
      <vt:lpstr>CT</vt:lpstr>
      <vt:lpstr>DP5TUV__year</vt:lpstr>
      <vt:lpstr>DP5TUV_year</vt:lpstr>
      <vt:lpstr>DRA</vt:lpstr>
      <vt:lpstr>DRB</vt:lpstr>
      <vt:lpstr>EBAPA1</vt:lpstr>
      <vt:lpstr>EBAPA2</vt:lpstr>
      <vt:lpstr>f_1</vt:lpstr>
      <vt:lpstr>f_2</vt:lpstr>
      <vt:lpstr>flatBAPA1</vt:lpstr>
      <vt:lpstr>flatBAPA2</vt:lpstr>
      <vt:lpstr>flatPBAPA1</vt:lpstr>
      <vt:lpstr>flatPBAPA2</vt:lpstr>
      <vt:lpstr>irp_1</vt:lpstr>
      <vt:lpstr>irp_2</vt:lpstr>
      <vt:lpstr>PBAPA</vt:lpstr>
      <vt:lpstr>pco1_num</vt:lpstr>
      <vt:lpstr>pco1A</vt:lpstr>
      <vt:lpstr>pco1Q</vt:lpstr>
      <vt:lpstr>Contents!Print_Area</vt:lpstr>
      <vt:lpstr>'P1.1 PDAM Licensee provided'!Print_Area</vt:lpstr>
      <vt:lpstr>'P1.2 PDAM Actuary provided data'!Print_Area</vt:lpstr>
      <vt:lpstr>'P2.1 PDAM Licensee provided'!Print_Area</vt:lpstr>
      <vt:lpstr>'P2.2 PDAM Actuary provided'!Print_Area</vt:lpstr>
      <vt:lpstr>'Pension Pack cover'!Print_Area</vt:lpstr>
      <vt:lpstr>'Version control'!Print_Area</vt:lpstr>
      <vt:lpstr>PSEDA</vt:lpstr>
      <vt:lpstr>PSEDB</vt:lpstr>
      <vt:lpstr>rpa_1</vt:lpstr>
      <vt:lpstr>rpa_2</vt:lpstr>
      <vt:lpstr>rr_num</vt:lpstr>
      <vt:lpstr>rr2_num</vt:lpstr>
      <vt:lpstr>rr3_num</vt:lpstr>
      <vt:lpstr>rrA</vt:lpstr>
      <vt:lpstr>rrQ</vt:lpstr>
      <vt:lpstr>y_1</vt:lpstr>
      <vt:lpstr>y_2</vt:lpstr>
      <vt:lpstr>Year</vt:lpstr>
      <vt:lpstr>yearQ</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Draft Pension RIGs (Regulatory Instructions and Guidance) tables</dc:title>
  <dc:subject>Draft Pension RIGs tables</dc:subject>
  <dc:creator/>
  <cp:keywords/>
  <dc:description/>
  <cp:lastModifiedBy/>
  <cp:revision/>
  <dcterms:created xsi:type="dcterms:W3CDTF">2012-11-01T13:24:06Z</dcterms:created>
  <dcterms:modified xsi:type="dcterms:W3CDTF">2026-07-02T12:16:29Z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0x010100D7C6947C0F765F428416B2828D309B65</vt:lpwstr>
  </property>
  <property fmtid="{D5CDD505-2E9C-101B-9397-08002B2CF9AE}" pid="3" name="Classification">
    <vt:lpwstr>Unclassified</vt:lpwstr>
  </property>
  <property fmtid="{D5CDD505-2E9C-101B-9397-08002B2CF9AE}" pid="4" name="Descriptor">
    <vt:lpwstr/>
  </property>
  <property fmtid="{D5CDD505-2E9C-101B-9397-08002B2CF9AE}" pid="5" name="Applicable Start Date">
    <vt:lpwstr>2013-04-12T00:00:00Z</vt:lpwstr>
  </property>
  <property fmtid="{D5CDD505-2E9C-101B-9397-08002B2CF9AE}" pid="6" name="Applicable Duration">
    <vt:lpwstr>-</vt:lpwstr>
  </property>
  <property fmtid="{D5CDD505-2E9C-101B-9397-08002B2CF9AE}" pid="7" name="::">
    <vt:lpwstr>-Main Document</vt:lpwstr>
  </property>
  <property fmtid="{D5CDD505-2E9C-101B-9397-08002B2CF9AE}" pid="8" name="Organisation">
    <vt:lpwstr>OFGEM</vt:lpwstr>
  </property>
  <property fmtid="{D5CDD505-2E9C-101B-9397-08002B2CF9AE}" pid="9" name="_Status">
    <vt:lpwstr>Draft</vt:lpwstr>
  </property>
  <property fmtid="{D5CDD505-2E9C-101B-9397-08002B2CF9AE}" pid="10" name="Publication Date:">
    <vt:filetime>2013-04-11T23:00:00Z</vt:filetime>
  </property>
  <property fmtid="{D5CDD505-2E9C-101B-9397-08002B2CF9AE}" pid="11" name="Meeting Date">
    <vt:lpwstr/>
  </property>
  <property fmtid="{D5CDD505-2E9C-101B-9397-08002B2CF9AE}" pid="12" name="docIndexRef">
    <vt:lpwstr>8ffeaa7e-fada-4c04-ac1b-3ade93bc2169</vt:lpwstr>
  </property>
  <property fmtid="{D5CDD505-2E9C-101B-9397-08002B2CF9AE}" pid="13" name="bjSaver">
    <vt:lpwstr>BczmxCgYejnwIiiZNXgDoCfnUqUDWxJI</vt:lpwstr>
  </property>
  <property fmtid="{D5CDD505-2E9C-101B-9397-08002B2CF9AE}" pid="14" name="BJSCc5a055b0-1bed-4579_x">
    <vt:lpwstr/>
  </property>
  <property fmtid="{D5CDD505-2E9C-101B-9397-08002B2CF9AE}" pid="15" name="BJSCdd9eba61-d6b9-469b_x">
    <vt:lpwstr/>
  </property>
  <property fmtid="{D5CDD505-2E9C-101B-9397-08002B2CF9AE}" pid="16" name="BJSCSummaryMarking">
    <vt:lpwstr>This item has no classification</vt:lpwstr>
  </property>
  <property fmtid="{D5CDD505-2E9C-101B-9397-08002B2CF9AE}" pid="17"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8" name="bjDocumentSecurityLabel">
    <vt:lpwstr>This item has no classification</vt:lpwstr>
  </property>
  <property fmtid="{D5CDD505-2E9C-101B-9397-08002B2CF9AE}" pid="19" name="bjClsUserRVM">
    <vt:lpwstr>[]</vt:lpwstr>
  </property>
  <property fmtid="{D5CDD505-2E9C-101B-9397-08002B2CF9AE}" pid="20" name="MSIP_Label_eb6b0d31-af43-4be8-802e-5979ffb79e8f_ActionId">
    <vt:lpwstr>eb5c6f80-13fd-499c-b681-159205ea2166</vt:lpwstr>
  </property>
  <property fmtid="{D5CDD505-2E9C-101B-9397-08002B2CF9AE}" pid="21" name="MSIP_Label_eb6b0d31-af43-4be8-802e-5979ffb79e8f_Name">
    <vt:lpwstr>OFFICIAL-SENSITIVE \ OFFICIAL-SENSITIVE</vt:lpwstr>
  </property>
  <property fmtid="{D5CDD505-2E9C-101B-9397-08002B2CF9AE}" pid="22" name="MSIP_Label_eb6b0d31-af43-4be8-802e-5979ffb79e8f_SetDate">
    <vt:lpwstr>2026-03-13T13:58:19Z</vt:lpwstr>
  </property>
  <property fmtid="{D5CDD505-2E9C-101B-9397-08002B2CF9AE}" pid="23" name="MSIP_Label_eb6b0d31-af43-4be8-802e-5979ffb79e8f_SiteId">
    <vt:lpwstr>185562ad-39bc-4840-8e40-be6216340c52</vt:lpwstr>
  </property>
  <property fmtid="{D5CDD505-2E9C-101B-9397-08002B2CF9AE}" pid="24" name="MSIP_Label_eb6b0d31-af43-4be8-802e-5979ffb79e8f_Enabled">
    <vt:lpwstr>True</vt:lpwstr>
  </property>
  <property fmtid="{D5CDD505-2E9C-101B-9397-08002B2CF9AE}" pid="25" name="MediaServiceImageTags">
    <vt:lpwstr/>
  </property>
  <property fmtid="{D5CDD505-2E9C-101B-9397-08002B2CF9AE}" pid="26" name="lcf76f155ced4ddcb4097134ff3c332f">
    <vt:lpwstr/>
  </property>
  <property fmtid="{D5CDD505-2E9C-101B-9397-08002B2CF9AE}" pid="27" name="TaxCatchAll">
    <vt:lpwstr/>
  </property>
  <property fmtid="{D5CDD505-2E9C-101B-9397-08002B2CF9AE}" pid="28" name="HMT_Group">
    <vt:lpwstr/>
  </property>
  <property fmtid="{D5CDD505-2E9C-101B-9397-08002B2CF9AE}" pid="29" name="HMT_SubTeam">
    <vt:lpwstr/>
  </property>
  <property fmtid="{D5CDD505-2E9C-101B-9397-08002B2CF9AE}" pid="30" name="HMT_DocumentType">
    <vt:lpwstr>1;#Other|150be646-4ed5-450e-b2aa-5a7d8e5fc7d1</vt:lpwstr>
  </property>
  <property fmtid="{D5CDD505-2E9C-101B-9397-08002B2CF9AE}" pid="31" name="HMT_Team">
    <vt:lpwstr/>
  </property>
  <property fmtid="{D5CDD505-2E9C-101B-9397-08002B2CF9AE}" pid="32" name="HMT_Category">
    <vt:lpwstr/>
  </property>
  <property fmtid="{D5CDD505-2E9C-101B-9397-08002B2CF9AE}" pid="33" name="HMT_Classification">
    <vt:lpwstr/>
  </property>
  <property fmtid="{D5CDD505-2E9C-101B-9397-08002B2CF9AE}" pid="34" name="_dlc_DocIdItemGuid">
    <vt:lpwstr>b08738f0-5e57-4906-9823-6a574e83e496</vt:lpwstr>
  </property>
  <property fmtid="{D5CDD505-2E9C-101B-9397-08002B2CF9AE}" pid="35" name="MSIP_Label_eb6b0d31-af43-4be8-802e-5979ffb79e8f_Removed">
    <vt:lpwstr>False</vt:lpwstr>
  </property>
  <property fmtid="{D5CDD505-2E9C-101B-9397-08002B2CF9AE}" pid="36" name="MSIP_Label_eb6b0d31-af43-4be8-802e-5979ffb79e8f_Parent">
    <vt:lpwstr>c04f8a24-5968-4413-a74d-f4152ac9b860</vt:lpwstr>
  </property>
  <property fmtid="{D5CDD505-2E9C-101B-9397-08002B2CF9AE}" pid="37" name="MSIP_Label_eb6b0d31-af43-4be8-802e-5979ffb79e8f_Extended_MSFT_Method">
    <vt:lpwstr>Standard</vt:lpwstr>
  </property>
  <property fmtid="{D5CDD505-2E9C-101B-9397-08002B2CF9AE}" pid="38" name="MSIP_Label_c04f8a24-5968-4413-a74d-f4152ac9b860_Enabled">
    <vt:lpwstr>True</vt:lpwstr>
  </property>
  <property fmtid="{D5CDD505-2E9C-101B-9397-08002B2CF9AE}" pid="39" name="MSIP_Label_c04f8a24-5968-4413-a74d-f4152ac9b860_SiteId">
    <vt:lpwstr>185562ad-39bc-4840-8e40-be6216340c52</vt:lpwstr>
  </property>
  <property fmtid="{D5CDD505-2E9C-101B-9397-08002B2CF9AE}" pid="40" name="MSIP_Label_c04f8a24-5968-4413-a74d-f4152ac9b860_SetDate">
    <vt:lpwstr>2026-03-13T13:58:19Z</vt:lpwstr>
  </property>
  <property fmtid="{D5CDD505-2E9C-101B-9397-08002B2CF9AE}" pid="41" name="MSIP_Label_c04f8a24-5968-4413-a74d-f4152ac9b860_Name">
    <vt:lpwstr>OFFICIAL-SENSITIVE</vt:lpwstr>
  </property>
  <property fmtid="{D5CDD505-2E9C-101B-9397-08002B2CF9AE}" pid="42" name="MSIP_Label_c04f8a24-5968-4413-a74d-f4152ac9b860_ActionId">
    <vt:lpwstr>9a929af9-4a13-44f7-9c98-e06d34ef2ae7</vt:lpwstr>
  </property>
  <property fmtid="{D5CDD505-2E9C-101B-9397-08002B2CF9AE}" pid="43" name="MSIP_Label_c04f8a24-5968-4413-a74d-f4152ac9b860_Extended_MSFT_Method">
    <vt:lpwstr>Standard</vt:lpwstr>
  </property>
  <property fmtid="{D5CDD505-2E9C-101B-9397-08002B2CF9AE}" pid="44" name="Sensitivity">
    <vt:lpwstr>OFFICIAL-SENSITIVE \ OFFICIAL-SENSITIVE OFFICIAL-SENSITIVE</vt:lpwstr>
  </property>
</Properties>
</file>