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fileSharing readOnlyRecommended="1"/>
  <workbookPr codeName="ThisWorkbook"/>
  <mc:AlternateContent xmlns:mc="http://schemas.openxmlformats.org/markup-compatibility/2006">
    <mc:Choice Requires="x15">
      <x15ac:absPath xmlns:x15ac="http://schemas.microsoft.com/office/spreadsheetml/2010/11/ac" url="https://ofgemcloud-my.sharepoint.com/personal/rahmatullah_kawsary_ofgem_gov_uk/Documents/Desktop/Models for K-drive/"/>
    </mc:Choice>
  </mc:AlternateContent>
  <xr:revisionPtr revIDLastSave="0" documentId="8_{2CE90080-5510-4309-9827-F19D21F58E5E}" xr6:coauthVersionLast="47" xr6:coauthVersionMax="47" xr10:uidLastSave="{00000000-0000-0000-0000-000000000000}"/>
  <bookViews>
    <workbookView xWindow="43080" yWindow="-120" windowWidth="29040" windowHeight="15720" xr2:uid="{D418F4BB-C814-43BE-99F1-625E4822E3A6}"/>
  </bookViews>
  <sheets>
    <sheet name="Front sheet" sheetId="14" r:id="rId1"/>
    <sheet name="Notes" sheetId="15" r:id="rId2"/>
    <sheet name="1 Outputs=&gt;" sheetId="20" r:id="rId3"/>
    <sheet name="1a SMNCC values" sheetId="9" r:id="rId4"/>
    <sheet name="1b IC values" sheetId="41" r:id="rId5"/>
    <sheet name="2 Inputs and calculations=&gt;" sheetId="17" r:id="rId6"/>
    <sheet name="2a Non pass-through costs" sheetId="22" r:id="rId7"/>
    <sheet name="2b SEGB" sheetId="8" r:id="rId8"/>
    <sheet name="2c DCC" sheetId="11" r:id="rId9"/>
    <sheet name="2f Scaling factor" sheetId="25" r:id="rId10"/>
    <sheet name="2j RECCo" sheetId="35" r:id="rId11"/>
    <sheet name="2h Elexon" sheetId="38" r:id="rId12"/>
    <sheet name="2i Xoserve" sheetId="33" r:id="rId13"/>
    <sheet name="2k DCUSA" sheetId="36" r:id="rId14"/>
    <sheet name="2l Demand" sheetId="39" r:id="rId15"/>
    <sheet name="Not in use &gt;&gt;" sheetId="42" r:id="rId16"/>
    <sheet name="2d SMICoP" sheetId="13" r:id="rId17"/>
    <sheet name="2e CPIH" sheetId="21" r:id="rId18"/>
    <sheet name="2g PPM cost offset" sheetId="27"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123Graph_A" localSheetId="14" hidden="1">'[1]Model inputs'!#REF!</definedName>
    <definedName name="__123Graph_A" hidden="1">'[1]Model inputs'!#REF!</definedName>
    <definedName name="__123Graph_AALLTAX" localSheetId="1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hidden="1">'[4]T3 Page 1'!#REF!</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hidden="1">'[4]T3 Page 1'!#REF!</definedName>
    <definedName name="__123Graph_ATOBREV" hidden="1">'[2]Forecast data'!#REF!</definedName>
    <definedName name="__123Graph_ATOTAL" hidden="1">'[2]Forecast data'!#REF!</definedName>
    <definedName name="__123Graph_B" hidden="1">'[1]Model inputs'!#REF!</definedName>
    <definedName name="__123Graph_BCHGSPD1" hidden="1">'[3]CHGSPD19.FIN'!$H$10:$H$25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hidden="1">'[5]HIS19FIN(A)'!$D$79:$I$79</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hidden="1">'[5]HIS19FIN(A)'!$AH$67:$AH$67</definedName>
    <definedName name="__123Graph_FLBF" hidden="1">'[4]T3 Page 1'!#REF!</definedName>
    <definedName name="__123Graph_FPIC" hidden="1">'[4]T3 Page 1'!#REF!</definedName>
    <definedName name="__123Graph_LBL_ARESID" hidden="1">'[5]HIS19FIN(A)'!$R$3:$W$3</definedName>
    <definedName name="__123Graph_LBL_BRESID" hidden="1">'[5]HIS19FIN(A)'!$R$3:$W$3</definedName>
    <definedName name="__123Graph_X" hidden="1">'[2]Forecast data'!#REF!</definedName>
    <definedName name="__123Graph_XACTHIC" hidden="1">'[4]FC Page 1'!#REF!</definedName>
    <definedName name="__123Graph_XALLTAX" hidden="1">'[2]Forecast data'!#REF!</definedName>
    <definedName name="__123Graph_XCHGSPD1" hidden="1">'[3]CHGSPD19.FIN'!$A$10:$A$25</definedName>
    <definedName name="__123Graph_XCHGSPD2" hidden="1">'[3]CHGSPD19.FIN'!$A$11:$A$25</definedName>
    <definedName name="__123Graph_XEFF" hidden="1">'[4]T3 Page 1'!#REF!</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ECOcalculations" hidden="1">'[2]Forecast data'!#REF!</definedName>
    <definedName name="_Fill" hidden="1">'[2]Forecast data'!#REF!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sdas" localSheetId="1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Chart2" hidden="1">'[4]T3 Page 1'!#REF!</definedName>
    <definedName name="dddd" hidden="1">'[1]Model inputs'!#REF!</definedName>
    <definedName name="dgsgf" localSheetId="1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localSheetId="1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hj" localSheetId="1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h01" hidden="1">'[4]T3 Page 1'!#REF!</definedName>
    <definedName name="Graph01" hidden="1">'[4]FC Page 1'!#REF!</definedName>
    <definedName name="Graph12" hidden="1">'[1]Model inputs'!#REF!</definedName>
    <definedName name="graphc" hidden="1">'[2]Forecast data'!#REF!</definedName>
    <definedName name="jhkgh" localSheetId="1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localSheetId="1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df" localSheetId="1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14"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4"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4" hidden="1">{#N/A,#N/A,FALSE,"CGBR95C"}</definedName>
    <definedName name="wrn.table1." hidden="1">{#N/A,#N/A,FALSE,"CGBR95C"}</definedName>
    <definedName name="wrn.table2." localSheetId="14" hidden="1">{#N/A,#N/A,FALSE,"CGBR95C"}</definedName>
    <definedName name="wrn.table2." hidden="1">{#N/A,#N/A,FALSE,"CGBR95C"}</definedName>
    <definedName name="wrn.tablea." localSheetId="14" hidden="1">{#N/A,#N/A,FALSE,"CGBR95C"}</definedName>
    <definedName name="wrn.tablea." hidden="1">{#N/A,#N/A,FALSE,"CGBR95C"}</definedName>
    <definedName name="wrn.tableb." localSheetId="14" hidden="1">{#N/A,#N/A,FALSE,"CGBR95C"}</definedName>
    <definedName name="wrn.tableb." hidden="1">{#N/A,#N/A,FALSE,"CGBR95C"}</definedName>
    <definedName name="wrn.tableq." localSheetId="14" hidden="1">{#N/A,#N/A,FALSE,"CGBR95C"}</definedName>
    <definedName name="wrn.tableq." hidden="1">{#N/A,#N/A,FALSE,"CGBR95C"}</definedName>
    <definedName name="wrn.TMCOMP." localSheetId="1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0" i="11" l="1"/>
  <c r="AB50" i="11" s="1"/>
  <c r="AB41" i="11"/>
  <c r="AB51" i="11" s="1"/>
  <c r="AB42" i="11"/>
  <c r="AB43" i="11"/>
  <c r="AB53" i="11" s="1"/>
  <c r="AB55" i="11" s="1"/>
  <c r="AB44" i="11"/>
  <c r="AB45" i="11"/>
  <c r="AB46" i="11"/>
  <c r="AB47" i="11"/>
  <c r="AB48" i="11"/>
  <c r="AB49" i="11"/>
  <c r="AB17" i="11"/>
  <c r="AC43" i="11"/>
  <c r="AB52" i="11" l="1"/>
  <c r="AB54" i="11" s="1"/>
  <c r="AB16" i="21"/>
  <c r="AW41" i="11"/>
  <c r="AW40" i="11"/>
  <c r="AV41" i="11"/>
  <c r="AV40" i="11"/>
  <c r="AU41" i="11"/>
  <c r="AU40" i="11"/>
  <c r="AT41" i="11"/>
  <c r="AT40" i="11"/>
  <c r="AS41" i="11"/>
  <c r="AS40" i="11"/>
  <c r="AR41" i="11"/>
  <c r="AR40" i="11"/>
  <c r="AQ41" i="11"/>
  <c r="AQ40" i="11"/>
  <c r="AP41" i="11"/>
  <c r="AP40" i="11"/>
  <c r="AO41" i="11"/>
  <c r="AO40" i="11"/>
  <c r="AN41" i="11"/>
  <c r="AN40" i="11"/>
  <c r="AM41" i="11"/>
  <c r="AM40" i="11"/>
  <c r="AL41" i="11"/>
  <c r="AL40" i="11"/>
  <c r="AK41" i="11"/>
  <c r="AK40" i="11"/>
  <c r="AJ41" i="11"/>
  <c r="AJ40" i="11"/>
  <c r="AI41" i="11"/>
  <c r="AI40" i="11"/>
  <c r="AH41" i="11"/>
  <c r="AH40" i="11"/>
  <c r="AG41" i="11"/>
  <c r="AG40" i="11"/>
  <c r="AF41" i="11"/>
  <c r="AF40" i="11"/>
  <c r="AE41" i="11"/>
  <c r="AE40" i="11"/>
  <c r="AD41" i="11"/>
  <c r="AD40" i="11"/>
  <c r="AC41" i="11"/>
  <c r="AC40" i="11"/>
  <c r="AA41" i="11"/>
  <c r="AA40" i="11"/>
  <c r="Z41" i="11"/>
  <c r="Z40" i="11"/>
  <c r="Y41" i="11"/>
  <c r="Y40" i="11"/>
  <c r="X41" i="11"/>
  <c r="X40" i="11"/>
  <c r="W41" i="11"/>
  <c r="W40" i="11"/>
  <c r="V41" i="11"/>
  <c r="V40" i="11"/>
  <c r="U41" i="11"/>
  <c r="U40" i="11"/>
  <c r="T41" i="11"/>
  <c r="T40" i="11"/>
  <c r="S41" i="11"/>
  <c r="S40" i="11"/>
  <c r="R41" i="11"/>
  <c r="R40" i="11"/>
  <c r="Q41" i="11"/>
  <c r="Q40" i="11"/>
  <c r="P41" i="11"/>
  <c r="P40" i="11"/>
  <c r="O41" i="11"/>
  <c r="O40" i="11"/>
  <c r="N41" i="11"/>
  <c r="N40" i="11"/>
  <c r="M41" i="11"/>
  <c r="M40" i="11"/>
  <c r="L41" i="11"/>
  <c r="L40" i="11"/>
  <c r="K41" i="11"/>
  <c r="K40" i="11"/>
  <c r="I41" i="11"/>
  <c r="I40" i="11"/>
  <c r="H41" i="11"/>
  <c r="H40" i="11"/>
  <c r="G41" i="11"/>
  <c r="G40" i="11"/>
  <c r="F41" i="11"/>
  <c r="F40" i="11"/>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T25" i="8"/>
  <c r="S25" i="8"/>
  <c r="R25" i="8"/>
  <c r="Q25" i="8"/>
  <c r="P25" i="8"/>
  <c r="O25" i="8"/>
  <c r="N25" i="8"/>
  <c r="M25" i="8"/>
  <c r="L25" i="8"/>
  <c r="K25"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R24" i="8"/>
  <c r="Q24" i="8"/>
  <c r="P24" i="8"/>
  <c r="O24" i="8"/>
  <c r="N24" i="8"/>
  <c r="M24" i="8"/>
  <c r="L24" i="8"/>
  <c r="K24" i="8"/>
  <c r="I25" i="8"/>
  <c r="H25" i="8"/>
  <c r="G25" i="8"/>
  <c r="F25" i="8"/>
  <c r="I24" i="8"/>
  <c r="H24" i="8"/>
  <c r="G24" i="8"/>
  <c r="F24" i="8"/>
  <c r="AE17" i="11" l="1"/>
  <c r="AE49" i="11" s="1"/>
  <c r="AE19" i="11"/>
  <c r="AF17" i="11"/>
  <c r="AF49" i="11" s="1"/>
  <c r="AF19" i="11"/>
  <c r="AI17" i="11"/>
  <c r="AI49" i="11" s="1"/>
  <c r="AI19" i="11"/>
  <c r="AJ17" i="11"/>
  <c r="AJ19" i="11"/>
  <c r="AM17" i="11"/>
  <c r="AM19" i="11"/>
  <c r="AN17" i="11"/>
  <c r="AN19" i="11"/>
  <c r="AQ17" i="11"/>
  <c r="AQ19" i="11"/>
  <c r="AR17" i="11"/>
  <c r="AR19" i="11"/>
  <c r="AU17" i="11"/>
  <c r="AU19" i="11"/>
  <c r="AV17" i="11"/>
  <c r="AV49" i="11" s="1"/>
  <c r="AV19" i="11"/>
  <c r="AU49" i="11"/>
  <c r="AQ49" i="11"/>
  <c r="AN48" i="11"/>
  <c r="AJ49" i="11"/>
  <c r="AG17" i="11"/>
  <c r="AG19" i="11"/>
  <c r="AG48" i="11" s="1"/>
  <c r="AH17" i="11"/>
  <c r="AH19" i="11"/>
  <c r="AK17" i="11"/>
  <c r="AK19" i="11"/>
  <c r="AL17" i="11"/>
  <c r="AL19" i="11"/>
  <c r="AO17" i="11"/>
  <c r="AO19" i="11"/>
  <c r="AO49" i="11" s="1"/>
  <c r="AP17" i="11"/>
  <c r="AP19" i="11"/>
  <c r="AS17" i="11"/>
  <c r="AS19" i="11"/>
  <c r="AT17" i="11"/>
  <c r="AT19" i="11"/>
  <c r="AW17" i="11"/>
  <c r="AW19" i="11"/>
  <c r="AW51" i="11"/>
  <c r="AN50" i="11"/>
  <c r="AW49" i="11"/>
  <c r="AT49" i="11"/>
  <c r="AS49" i="11"/>
  <c r="AR49" i="11"/>
  <c r="AP49" i="11"/>
  <c r="AN49" i="11"/>
  <c r="AM49" i="11"/>
  <c r="AL49" i="11"/>
  <c r="AK49" i="11"/>
  <c r="AH49" i="11"/>
  <c r="AG49" i="11"/>
  <c r="AD49" i="11"/>
  <c r="AC49" i="11"/>
  <c r="AW48" i="11"/>
  <c r="AT48" i="11"/>
  <c r="AS48" i="11"/>
  <c r="AR48" i="11"/>
  <c r="AQ48" i="11"/>
  <c r="AP48" i="11"/>
  <c r="AO48" i="11"/>
  <c r="AM48" i="11"/>
  <c r="AL48" i="11"/>
  <c r="AK48" i="11"/>
  <c r="AJ48" i="11"/>
  <c r="AH48" i="11"/>
  <c r="AD48" i="11"/>
  <c r="AC48" i="11"/>
  <c r="AW47" i="11"/>
  <c r="AV47" i="11"/>
  <c r="AU47" i="11"/>
  <c r="AT47" i="11"/>
  <c r="AS47" i="11"/>
  <c r="AR47" i="11"/>
  <c r="AQ47" i="11"/>
  <c r="AP47" i="11"/>
  <c r="AO47" i="11"/>
  <c r="AN47" i="11"/>
  <c r="AM47" i="11"/>
  <c r="AL47" i="11"/>
  <c r="AK47" i="11"/>
  <c r="AJ47" i="11"/>
  <c r="AI47" i="11"/>
  <c r="AH47" i="11"/>
  <c r="AG47" i="11"/>
  <c r="AF47" i="11"/>
  <c r="AE47" i="11"/>
  <c r="AD47" i="11"/>
  <c r="AC47" i="11"/>
  <c r="AW46" i="11"/>
  <c r="AV46" i="11"/>
  <c r="AU46" i="11"/>
  <c r="AT46" i="11"/>
  <c r="AS46" i="11"/>
  <c r="AR46" i="11"/>
  <c r="AQ46" i="11"/>
  <c r="AP46" i="11"/>
  <c r="AO46" i="11"/>
  <c r="AN46" i="11"/>
  <c r="AM46" i="11"/>
  <c r="AL46" i="11"/>
  <c r="AK46" i="11"/>
  <c r="AJ46" i="11"/>
  <c r="AI46" i="11"/>
  <c r="AH46" i="11"/>
  <c r="AG46" i="11"/>
  <c r="AF46" i="11"/>
  <c r="AE46" i="11"/>
  <c r="AD46" i="11"/>
  <c r="AC46" i="11"/>
  <c r="AW45" i="11"/>
  <c r="AV45" i="11"/>
  <c r="AU45" i="11"/>
  <c r="AT45" i="11"/>
  <c r="AS45" i="11"/>
  <c r="AR45" i="11"/>
  <c r="AQ45" i="11"/>
  <c r="AP45" i="11"/>
  <c r="AO45" i="11"/>
  <c r="AN45" i="11"/>
  <c r="AM45" i="11"/>
  <c r="AL45" i="11"/>
  <c r="AL53" i="11" s="1"/>
  <c r="AL55" i="11" s="1"/>
  <c r="AK45" i="11"/>
  <c r="AJ45" i="11"/>
  <c r="AI45" i="11"/>
  <c r="AH45" i="11"/>
  <c r="AG45" i="11"/>
  <c r="AF45" i="11"/>
  <c r="AE45" i="11"/>
  <c r="AD45" i="11"/>
  <c r="AC45" i="11"/>
  <c r="AW44" i="11"/>
  <c r="AV44" i="11"/>
  <c r="AU44" i="11"/>
  <c r="AT44" i="11"/>
  <c r="AS44" i="11"/>
  <c r="AR44" i="11"/>
  <c r="AQ44" i="11"/>
  <c r="AP44" i="11"/>
  <c r="AO44" i="11"/>
  <c r="AN44" i="11"/>
  <c r="AM44" i="11"/>
  <c r="AL44" i="11"/>
  <c r="AK44" i="11"/>
  <c r="AJ44" i="11"/>
  <c r="AI44" i="11"/>
  <c r="AH44" i="11"/>
  <c r="AG44" i="11"/>
  <c r="AF44" i="11"/>
  <c r="AE44" i="11"/>
  <c r="AD44" i="11"/>
  <c r="AC44" i="11"/>
  <c r="AW43" i="11"/>
  <c r="AV43" i="11"/>
  <c r="AU43" i="11"/>
  <c r="AT43" i="11"/>
  <c r="AS43" i="11"/>
  <c r="AR43" i="11"/>
  <c r="AQ43" i="11"/>
  <c r="AP43" i="11"/>
  <c r="AO43" i="11"/>
  <c r="AN43" i="11"/>
  <c r="AM43" i="11"/>
  <c r="AL43" i="11"/>
  <c r="AK43" i="11"/>
  <c r="AJ43" i="11"/>
  <c r="AI43" i="11"/>
  <c r="AH43" i="11"/>
  <c r="AG43" i="11"/>
  <c r="AF43" i="11"/>
  <c r="AE43" i="11"/>
  <c r="AD43" i="11"/>
  <c r="AW42" i="11"/>
  <c r="AV42" i="11"/>
  <c r="AU42" i="11"/>
  <c r="AT42" i="11"/>
  <c r="AS42" i="11"/>
  <c r="AR42" i="11"/>
  <c r="AQ42" i="11"/>
  <c r="AP42" i="11"/>
  <c r="AO42" i="11"/>
  <c r="AN42" i="11"/>
  <c r="AM42" i="11"/>
  <c r="AL42" i="11"/>
  <c r="AK42" i="11"/>
  <c r="AJ42" i="11"/>
  <c r="AI42" i="11"/>
  <c r="AH42" i="11"/>
  <c r="AG42" i="11"/>
  <c r="AF42" i="11"/>
  <c r="AE42" i="11"/>
  <c r="AD42" i="11"/>
  <c r="AC42" i="11"/>
  <c r="AV51" i="11"/>
  <c r="AU51" i="11"/>
  <c r="AT51" i="11"/>
  <c r="AS51" i="11"/>
  <c r="AR51" i="11"/>
  <c r="AQ51" i="11"/>
  <c r="AP51" i="11"/>
  <c r="AO51" i="11"/>
  <c r="AN51" i="11"/>
  <c r="AM51" i="11"/>
  <c r="AL51" i="11"/>
  <c r="AK51" i="11"/>
  <c r="AJ51" i="11"/>
  <c r="AI51" i="11"/>
  <c r="AH51" i="11"/>
  <c r="AG51" i="11"/>
  <c r="AF51" i="11"/>
  <c r="AE51" i="11"/>
  <c r="AD51" i="11"/>
  <c r="AC51" i="11"/>
  <c r="AW50" i="11"/>
  <c r="AV50" i="11"/>
  <c r="AU50" i="11"/>
  <c r="AT50" i="11"/>
  <c r="AS50" i="11"/>
  <c r="AR50" i="11"/>
  <c r="AQ50" i="11"/>
  <c r="AP50" i="11"/>
  <c r="AO50" i="11"/>
  <c r="AM50" i="11"/>
  <c r="AL50" i="11"/>
  <c r="AK50" i="11"/>
  <c r="AJ50" i="11"/>
  <c r="AI50" i="11"/>
  <c r="AH50" i="11"/>
  <c r="AG50" i="11"/>
  <c r="AF50" i="11"/>
  <c r="AE50" i="11"/>
  <c r="AD50" i="11"/>
  <c r="AC50" i="11"/>
  <c r="AA49" i="11"/>
  <c r="AA48" i="11"/>
  <c r="AA47" i="11"/>
  <c r="AA46" i="11"/>
  <c r="AA45" i="11"/>
  <c r="AA44" i="11"/>
  <c r="AA43" i="11"/>
  <c r="AA42" i="11"/>
  <c r="AA51" i="11"/>
  <c r="AA53" i="11" s="1"/>
  <c r="AA55" i="11" s="1"/>
  <c r="AA50" i="11"/>
  <c r="AA17" i="11"/>
  <c r="AS29" i="8"/>
  <c r="AR29" i="8"/>
  <c r="AM29" i="8"/>
  <c r="AL29" i="8"/>
  <c r="AC29" i="8"/>
  <c r="AR28" i="8"/>
  <c r="AR31" i="8" s="1"/>
  <c r="AR34" i="8" s="1"/>
  <c r="AI28" i="8"/>
  <c r="AS27" i="8"/>
  <c r="AR27" i="8"/>
  <c r="AO27" i="8"/>
  <c r="AL27" i="8"/>
  <c r="AI27" i="8"/>
  <c r="AH27" i="8"/>
  <c r="AC27" i="8"/>
  <c r="AO26" i="8"/>
  <c r="AN26" i="8"/>
  <c r="AT28" i="8"/>
  <c r="AT31" i="8" s="1"/>
  <c r="AT34" i="8" s="1"/>
  <c r="AO28" i="8"/>
  <c r="AN29" i="8"/>
  <c r="AI29" i="8"/>
  <c r="AH28" i="8"/>
  <c r="AU26" i="8"/>
  <c r="AT26" i="8"/>
  <c r="AN27" i="8"/>
  <c r="AW23" i="8"/>
  <c r="AW27" i="8" s="1"/>
  <c r="AV23" i="8"/>
  <c r="AV27" i="8" s="1"/>
  <c r="AU23" i="8"/>
  <c r="AU29" i="8" s="1"/>
  <c r="AT23" i="8"/>
  <c r="AT29" i="8" s="1"/>
  <c r="AS23" i="8"/>
  <c r="AR23" i="8"/>
  <c r="AQ23" i="8"/>
  <c r="AQ27" i="8" s="1"/>
  <c r="AP23" i="8"/>
  <c r="AP27" i="8" s="1"/>
  <c r="AO23" i="8"/>
  <c r="AO29" i="8" s="1"/>
  <c r="AN23" i="8"/>
  <c r="AM23" i="8"/>
  <c r="AM27" i="8" s="1"/>
  <c r="AL23" i="8"/>
  <c r="AK23" i="8"/>
  <c r="AK27" i="8" s="1"/>
  <c r="AJ23" i="8"/>
  <c r="AJ27" i="8" s="1"/>
  <c r="AI23" i="8"/>
  <c r="AH23" i="8"/>
  <c r="AG23" i="8"/>
  <c r="AG27" i="8" s="1"/>
  <c r="AF23" i="8"/>
  <c r="AF27" i="8" s="1"/>
  <c r="AE23" i="8"/>
  <c r="AE29" i="8" s="1"/>
  <c r="AD23" i="8"/>
  <c r="AD29" i="8" s="1"/>
  <c r="AC23" i="8"/>
  <c r="AB23" i="8"/>
  <c r="AB27" i="8" s="1"/>
  <c r="AW22" i="8"/>
  <c r="AW26" i="8" s="1"/>
  <c r="AV22" i="8"/>
  <c r="AV26" i="8" s="1"/>
  <c r="AU22" i="8"/>
  <c r="AU28" i="8" s="1"/>
  <c r="AT22" i="8"/>
  <c r="AS22" i="8"/>
  <c r="AS26" i="8" s="1"/>
  <c r="AR22" i="8"/>
  <c r="AQ22" i="8"/>
  <c r="AQ26" i="8" s="1"/>
  <c r="AP22" i="8"/>
  <c r="AP26" i="8" s="1"/>
  <c r="AO22" i="8"/>
  <c r="AN22" i="8"/>
  <c r="AM22" i="8"/>
  <c r="AM26" i="8" s="1"/>
  <c r="AL22" i="8"/>
  <c r="AL26" i="8" s="1"/>
  <c r="AL30" i="8" s="1"/>
  <c r="AK22" i="8"/>
  <c r="AK28" i="8" s="1"/>
  <c r="AJ22" i="8"/>
  <c r="AJ28" i="8" s="1"/>
  <c r="AI22" i="8"/>
  <c r="AH22" i="8"/>
  <c r="AG22" i="8"/>
  <c r="AG26" i="8" s="1"/>
  <c r="AF22" i="8"/>
  <c r="AF26" i="8" s="1"/>
  <c r="AE22" i="8"/>
  <c r="AD22" i="8"/>
  <c r="AD28" i="8" s="1"/>
  <c r="AC22" i="8"/>
  <c r="AB22" i="8"/>
  <c r="AW21" i="8"/>
  <c r="AV21" i="8"/>
  <c r="AU21" i="8"/>
  <c r="AT21" i="8"/>
  <c r="AS21" i="8"/>
  <c r="AS28" i="8" s="1"/>
  <c r="AR21" i="8"/>
  <c r="AQ21" i="8"/>
  <c r="AP21" i="8"/>
  <c r="AO21" i="8"/>
  <c r="AN21" i="8"/>
  <c r="AM21" i="8"/>
  <c r="AL21" i="8"/>
  <c r="AK21" i="8"/>
  <c r="AJ21" i="8"/>
  <c r="AI21" i="8"/>
  <c r="AH21" i="8"/>
  <c r="AG21" i="8"/>
  <c r="AF21" i="8"/>
  <c r="AE21" i="8"/>
  <c r="AD21" i="8"/>
  <c r="AC21" i="8"/>
  <c r="AC28" i="8" s="1"/>
  <c r="AB21" i="8"/>
  <c r="AW20" i="8"/>
  <c r="AV20" i="8"/>
  <c r="AU20" i="8"/>
  <c r="AT20" i="8"/>
  <c r="AS20" i="8"/>
  <c r="AR20" i="8"/>
  <c r="AR26" i="8" s="1"/>
  <c r="AQ20" i="8"/>
  <c r="AP20" i="8"/>
  <c r="AO20" i="8"/>
  <c r="AN20" i="8"/>
  <c r="AM20" i="8"/>
  <c r="AL20" i="8"/>
  <c r="AK20" i="8"/>
  <c r="AJ20" i="8"/>
  <c r="AI20" i="8"/>
  <c r="AI26" i="8" s="1"/>
  <c r="AI30" i="8" s="1"/>
  <c r="AH20" i="8"/>
  <c r="AH26" i="8" s="1"/>
  <c r="AH30" i="8" s="1"/>
  <c r="AG20" i="8"/>
  <c r="AF20" i="8"/>
  <c r="AE20" i="8"/>
  <c r="AD20" i="8"/>
  <c r="AC20" i="8"/>
  <c r="AC26" i="8" s="1"/>
  <c r="AB20" i="8"/>
  <c r="I28" i="8"/>
  <c r="H28" i="8"/>
  <c r="F28" i="8"/>
  <c r="G27" i="8"/>
  <c r="F27" i="8"/>
  <c r="I23" i="8"/>
  <c r="I29" i="8" s="1"/>
  <c r="H23" i="8"/>
  <c r="H27" i="8" s="1"/>
  <c r="G23" i="8"/>
  <c r="G29" i="8" s="1"/>
  <c r="F23" i="8"/>
  <c r="F29" i="8" s="1"/>
  <c r="I22" i="8"/>
  <c r="I26" i="8" s="1"/>
  <c r="H22" i="8"/>
  <c r="H26" i="8" s="1"/>
  <c r="G22" i="8"/>
  <c r="G26" i="8" s="1"/>
  <c r="F22" i="8"/>
  <c r="F26" i="8" s="1"/>
  <c r="I21" i="8"/>
  <c r="H21" i="8"/>
  <c r="G21" i="8"/>
  <c r="F21" i="8"/>
  <c r="I20" i="8"/>
  <c r="H20" i="8"/>
  <c r="G20" i="8"/>
  <c r="F20" i="8"/>
  <c r="W29" i="8"/>
  <c r="V29" i="8"/>
  <c r="U29" i="8"/>
  <c r="T29" i="8"/>
  <c r="S29" i="8"/>
  <c r="R29" i="8"/>
  <c r="Q29" i="8"/>
  <c r="W28" i="8"/>
  <c r="W31" i="8" s="1"/>
  <c r="W34" i="8" s="1"/>
  <c r="W26" i="8"/>
  <c r="V26" i="8"/>
  <c r="U26" i="8"/>
  <c r="Z23" i="8"/>
  <c r="Z29" i="8" s="1"/>
  <c r="Y23" i="8"/>
  <c r="Y29" i="8" s="1"/>
  <c r="X23" i="8"/>
  <c r="X29" i="8" s="1"/>
  <c r="W23" i="8"/>
  <c r="W27" i="8" s="1"/>
  <c r="V23" i="8"/>
  <c r="V27" i="8" s="1"/>
  <c r="U23" i="8"/>
  <c r="U27" i="8" s="1"/>
  <c r="T23" i="8"/>
  <c r="T27" i="8" s="1"/>
  <c r="S23" i="8"/>
  <c r="S27" i="8" s="1"/>
  <c r="R23" i="8"/>
  <c r="R27" i="8" s="1"/>
  <c r="Q23" i="8"/>
  <c r="Q27" i="8" s="1"/>
  <c r="P23" i="8"/>
  <c r="P29" i="8" s="1"/>
  <c r="O23" i="8"/>
  <c r="O29" i="8" s="1"/>
  <c r="N23" i="8"/>
  <c r="N29" i="8" s="1"/>
  <c r="M23" i="8"/>
  <c r="M29" i="8" s="1"/>
  <c r="L23" i="8"/>
  <c r="L29" i="8" s="1"/>
  <c r="K23" i="8"/>
  <c r="K29" i="8" s="1"/>
  <c r="Z22" i="8"/>
  <c r="Z28" i="8" s="1"/>
  <c r="Z31" i="8" s="1"/>
  <c r="Z34" i="8" s="1"/>
  <c r="Y22" i="8"/>
  <c r="Y28" i="8" s="1"/>
  <c r="Y31" i="8" s="1"/>
  <c r="Y34" i="8" s="1"/>
  <c r="X22" i="8"/>
  <c r="X28" i="8" s="1"/>
  <c r="X31" i="8" s="1"/>
  <c r="X34" i="8" s="1"/>
  <c r="W22" i="8"/>
  <c r="V22" i="8"/>
  <c r="V28" i="8" s="1"/>
  <c r="U22" i="8"/>
  <c r="U28" i="8" s="1"/>
  <c r="T22" i="8"/>
  <c r="T26" i="8" s="1"/>
  <c r="T30" i="8" s="1"/>
  <c r="S22" i="8"/>
  <c r="S28" i="8" s="1"/>
  <c r="R22" i="8"/>
  <c r="R26" i="8" s="1"/>
  <c r="R30" i="8" s="1"/>
  <c r="Q22" i="8"/>
  <c r="Q28" i="8" s="1"/>
  <c r="P22" i="8"/>
  <c r="P28" i="8" s="1"/>
  <c r="O22" i="8"/>
  <c r="O28" i="8" s="1"/>
  <c r="N22" i="8"/>
  <c r="N28" i="8" s="1"/>
  <c r="M22" i="8"/>
  <c r="M28" i="8" s="1"/>
  <c r="M31" i="8" s="1"/>
  <c r="M34" i="8" s="1"/>
  <c r="L22" i="8"/>
  <c r="L28" i="8" s="1"/>
  <c r="L31" i="8" s="1"/>
  <c r="L34" i="8" s="1"/>
  <c r="K22" i="8"/>
  <c r="K28" i="8" s="1"/>
  <c r="K31" i="8" s="1"/>
  <c r="K34" i="8" s="1"/>
  <c r="Z21" i="8"/>
  <c r="Y21" i="8"/>
  <c r="X21" i="8"/>
  <c r="W21" i="8"/>
  <c r="V21" i="8"/>
  <c r="U21" i="8"/>
  <c r="T21" i="8"/>
  <c r="S21" i="8"/>
  <c r="R21" i="8"/>
  <c r="Q21" i="8"/>
  <c r="P21" i="8"/>
  <c r="O21" i="8"/>
  <c r="N21" i="8"/>
  <c r="M21" i="8"/>
  <c r="L21" i="8"/>
  <c r="K21" i="8"/>
  <c r="Z20" i="8"/>
  <c r="Y20" i="8"/>
  <c r="X20" i="8"/>
  <c r="W20" i="8"/>
  <c r="V20" i="8"/>
  <c r="U20" i="8"/>
  <c r="T20" i="8"/>
  <c r="S20" i="8"/>
  <c r="R20" i="8"/>
  <c r="Q20" i="8"/>
  <c r="P20" i="8"/>
  <c r="O20" i="8"/>
  <c r="N20" i="8"/>
  <c r="M20" i="8"/>
  <c r="L20" i="8"/>
  <c r="K20" i="8"/>
  <c r="AA23" i="8"/>
  <c r="AA29" i="8" s="1"/>
  <c r="AA22" i="8"/>
  <c r="AA28" i="8" s="1"/>
  <c r="AA21" i="8"/>
  <c r="AA20" i="8"/>
  <c r="AE26" i="8" l="1"/>
  <c r="AE28" i="8"/>
  <c r="AE31" i="8" s="1"/>
  <c r="AE34" i="8" s="1"/>
  <c r="AD26" i="8"/>
  <c r="AB28" i="8"/>
  <c r="AB29" i="8"/>
  <c r="AB26" i="8"/>
  <c r="AB30" i="8" s="1"/>
  <c r="U31" i="8"/>
  <c r="U34" i="8" s="1"/>
  <c r="AP30" i="8"/>
  <c r="AQ30" i="8"/>
  <c r="V31" i="8"/>
  <c r="V34" i="8" s="1"/>
  <c r="P31" i="8"/>
  <c r="P34" i="8" s="1"/>
  <c r="N31" i="8"/>
  <c r="N34" i="8" s="1"/>
  <c r="Q31" i="8"/>
  <c r="Q34" i="8" s="1"/>
  <c r="AC31" i="8"/>
  <c r="AC34" i="8" s="1"/>
  <c r="AS31" i="8"/>
  <c r="AS34" i="8" s="1"/>
  <c r="S31" i="8"/>
  <c r="S34" i="8" s="1"/>
  <c r="AD31" i="8"/>
  <c r="AD34" i="8" s="1"/>
  <c r="AB31" i="8"/>
  <c r="AB34" i="8" s="1"/>
  <c r="AO31" i="8"/>
  <c r="AO34" i="8" s="1"/>
  <c r="AA31" i="8"/>
  <c r="AA34" i="8" s="1"/>
  <c r="F31" i="8"/>
  <c r="F34" i="8" s="1"/>
  <c r="I31" i="8"/>
  <c r="I34" i="8" s="1"/>
  <c r="AR30" i="8"/>
  <c r="AR32" i="8" s="1"/>
  <c r="AC30" i="8"/>
  <c r="AO30" i="8"/>
  <c r="AM30" i="8"/>
  <c r="AS30" i="8"/>
  <c r="G30" i="8"/>
  <c r="G33" i="8" s="1"/>
  <c r="F30" i="8"/>
  <c r="F33" i="8" s="1"/>
  <c r="AE48" i="11"/>
  <c r="AE52" i="11" s="1"/>
  <c r="AE54" i="11" s="1"/>
  <c r="AF48" i="11"/>
  <c r="AF52" i="11" s="1"/>
  <c r="AF54" i="11" s="1"/>
  <c r="AF57" i="11" s="1"/>
  <c r="AI48" i="11"/>
  <c r="AV48" i="11"/>
  <c r="AV52" i="11" s="1"/>
  <c r="AV54" i="11" s="1"/>
  <c r="AV53" i="11"/>
  <c r="AV55" i="11" s="1"/>
  <c r="AU48" i="11"/>
  <c r="AU52" i="11" s="1"/>
  <c r="AU54" i="11" s="1"/>
  <c r="AU57" i="11" s="1"/>
  <c r="AR52" i="11"/>
  <c r="AR54" i="11" s="1"/>
  <c r="AQ53" i="11"/>
  <c r="AQ55" i="11" s="1"/>
  <c r="AQ52" i="11"/>
  <c r="AQ54" i="11" s="1"/>
  <c r="AQ57" i="11" s="1"/>
  <c r="AN53" i="11"/>
  <c r="AN55" i="11" s="1"/>
  <c r="AN52" i="11"/>
  <c r="AN54" i="11" s="1"/>
  <c r="AM52" i="11"/>
  <c r="AM54" i="11" s="1"/>
  <c r="AM53" i="11"/>
  <c r="AM55" i="11" s="1"/>
  <c r="AJ53" i="11"/>
  <c r="AJ55" i="11" s="1"/>
  <c r="AI53" i="11"/>
  <c r="AI55" i="11" s="1"/>
  <c r="AF53" i="11"/>
  <c r="AF55" i="11" s="1"/>
  <c r="AO53" i="11"/>
  <c r="AO55" i="11" s="1"/>
  <c r="AW52" i="11"/>
  <c r="AW54" i="11" s="1"/>
  <c r="AW53" i="11"/>
  <c r="AW55" i="11" s="1"/>
  <c r="AT52" i="11"/>
  <c r="AT54" i="11" s="1"/>
  <c r="AS52" i="11"/>
  <c r="AS54" i="11" s="1"/>
  <c r="AP53" i="11"/>
  <c r="AP55" i="11" s="1"/>
  <c r="AP52" i="11"/>
  <c r="AP54" i="11" s="1"/>
  <c r="AP57" i="11" s="1"/>
  <c r="AO52" i="11"/>
  <c r="AO54" i="11" s="1"/>
  <c r="AL52" i="11"/>
  <c r="AL54" i="11" s="1"/>
  <c r="AL57" i="11" s="1"/>
  <c r="AK53" i="11"/>
  <c r="AK55" i="11" s="1"/>
  <c r="AH53" i="11"/>
  <c r="AH55" i="11" s="1"/>
  <c r="AG52" i="11"/>
  <c r="AG54" i="11" s="1"/>
  <c r="AG53" i="11"/>
  <c r="AG55" i="11" s="1"/>
  <c r="AD52" i="11"/>
  <c r="AD54" i="11" s="1"/>
  <c r="AC52" i="11"/>
  <c r="AC54" i="11" s="1"/>
  <c r="AD53" i="11"/>
  <c r="AD55" i="11" s="1"/>
  <c r="AC53" i="11"/>
  <c r="AC55" i="11" s="1"/>
  <c r="AJ52" i="11"/>
  <c r="AJ54" i="11" s="1"/>
  <c r="AT53" i="11"/>
  <c r="AT55" i="11" s="1"/>
  <c r="AK52" i="11"/>
  <c r="AK54" i="11" s="1"/>
  <c r="AE53" i="11"/>
  <c r="AE55" i="11" s="1"/>
  <c r="AU53" i="11"/>
  <c r="AU55" i="11" s="1"/>
  <c r="AH52" i="11"/>
  <c r="AH54" i="11" s="1"/>
  <c r="AR53" i="11"/>
  <c r="AR55" i="11" s="1"/>
  <c r="AI52" i="11"/>
  <c r="AI54" i="11" s="1"/>
  <c r="AS53" i="11"/>
  <c r="AS55" i="11" s="1"/>
  <c r="AA52" i="11"/>
  <c r="AA54" i="11" s="1"/>
  <c r="AI33" i="8"/>
  <c r="AQ33" i="8"/>
  <c r="AU31" i="8"/>
  <c r="AU34" i="8" s="1"/>
  <c r="AI31" i="8"/>
  <c r="AI34" i="8" s="1"/>
  <c r="AS32" i="8"/>
  <c r="AS33" i="8"/>
  <c r="AF30" i="8"/>
  <c r="AM33" i="8"/>
  <c r="AM32" i="8"/>
  <c r="AP33" i="8"/>
  <c r="AV30" i="8"/>
  <c r="AG30" i="8"/>
  <c r="AW30" i="8"/>
  <c r="AN30" i="8"/>
  <c r="AH33" i="8"/>
  <c r="AL33" i="8"/>
  <c r="AL28" i="8"/>
  <c r="AL31" i="8" s="1"/>
  <c r="AL34" i="8" s="1"/>
  <c r="AF29" i="8"/>
  <c r="AV29" i="8"/>
  <c r="AM28" i="8"/>
  <c r="AM31" i="8" s="1"/>
  <c r="AM34" i="8" s="1"/>
  <c r="AG29" i="8"/>
  <c r="AW29" i="8"/>
  <c r="AJ26" i="8"/>
  <c r="AJ30" i="8" s="1"/>
  <c r="AD27" i="8"/>
  <c r="AD30" i="8" s="1"/>
  <c r="AT27" i="8"/>
  <c r="AT30" i="8" s="1"/>
  <c r="AN28" i="8"/>
  <c r="AN31" i="8" s="1"/>
  <c r="AN34" i="8" s="1"/>
  <c r="AH29" i="8"/>
  <c r="AH31" i="8" s="1"/>
  <c r="AK26" i="8"/>
  <c r="AK30" i="8" s="1"/>
  <c r="AE27" i="8"/>
  <c r="AE30" i="8" s="1"/>
  <c r="AU27" i="8"/>
  <c r="AU30" i="8" s="1"/>
  <c r="AP28" i="8"/>
  <c r="AJ29" i="8"/>
  <c r="AJ31" i="8" s="1"/>
  <c r="AJ34" i="8" s="1"/>
  <c r="AQ28" i="8"/>
  <c r="AK29" i="8"/>
  <c r="AK31" i="8" s="1"/>
  <c r="AK34" i="8" s="1"/>
  <c r="AF28" i="8"/>
  <c r="AF31" i="8" s="1"/>
  <c r="AF34" i="8" s="1"/>
  <c r="AV28" i="8"/>
  <c r="AV31" i="8" s="1"/>
  <c r="AV34" i="8" s="1"/>
  <c r="AP29" i="8"/>
  <c r="AG28" i="8"/>
  <c r="AW28" i="8"/>
  <c r="AW31" i="8" s="1"/>
  <c r="AW34" i="8" s="1"/>
  <c r="AQ29" i="8"/>
  <c r="H30" i="8"/>
  <c r="I27" i="8"/>
  <c r="I30" i="8" s="1"/>
  <c r="G28" i="8"/>
  <c r="G31" i="8" s="1"/>
  <c r="G34" i="8" s="1"/>
  <c r="H29" i="8"/>
  <c r="H31" i="8" s="1"/>
  <c r="H34" i="8" s="1"/>
  <c r="T33" i="8"/>
  <c r="V30" i="8"/>
  <c r="U30" i="8"/>
  <c r="W30" i="8"/>
  <c r="R33" i="8"/>
  <c r="O31" i="8"/>
  <c r="O34" i="8" s="1"/>
  <c r="Q26" i="8"/>
  <c r="Q30" i="8" s="1"/>
  <c r="S26" i="8"/>
  <c r="S30" i="8" s="1"/>
  <c r="R28" i="8"/>
  <c r="R31" i="8" s="1"/>
  <c r="R34" i="8" s="1"/>
  <c r="T28" i="8"/>
  <c r="T31" i="8" s="1"/>
  <c r="T34" i="8" s="1"/>
  <c r="X26" i="8"/>
  <c r="X27" i="8"/>
  <c r="Y26" i="8"/>
  <c r="Y27" i="8"/>
  <c r="Z26" i="8"/>
  <c r="Z27" i="8"/>
  <c r="K26" i="8"/>
  <c r="K27" i="8"/>
  <c r="L26" i="8"/>
  <c r="L27" i="8"/>
  <c r="M26" i="8"/>
  <c r="M27" i="8"/>
  <c r="N26" i="8"/>
  <c r="N27" i="8"/>
  <c r="O26" i="8"/>
  <c r="O27" i="8"/>
  <c r="P26" i="8"/>
  <c r="P27" i="8"/>
  <c r="AA26" i="8"/>
  <c r="AA27" i="8"/>
  <c r="AB32" i="8" l="1"/>
  <c r="AV57" i="11"/>
  <c r="AT57" i="11"/>
  <c r="AO57" i="11"/>
  <c r="AN57" i="11"/>
  <c r="AE57" i="11"/>
  <c r="AD57" i="11"/>
  <c r="AB33" i="8"/>
  <c r="AO32" i="8"/>
  <c r="AG31" i="8"/>
  <c r="AG34" i="8" s="1"/>
  <c r="AI32" i="8"/>
  <c r="AC32" i="8"/>
  <c r="T32" i="8"/>
  <c r="K30" i="8"/>
  <c r="K33" i="8" s="1"/>
  <c r="AO33" i="8"/>
  <c r="AC33" i="8"/>
  <c r="AR33" i="8"/>
  <c r="F32" i="8"/>
  <c r="AJ57" i="11"/>
  <c r="AR57" i="11"/>
  <c r="AM57" i="11"/>
  <c r="AI57" i="11"/>
  <c r="AG57" i="11"/>
  <c r="AK57" i="11"/>
  <c r="AW57" i="11"/>
  <c r="AS57" i="11"/>
  <c r="AH57" i="11"/>
  <c r="AC57" i="11"/>
  <c r="AB57" i="11"/>
  <c r="AU33" i="8"/>
  <c r="AU32" i="8"/>
  <c r="AE33" i="8"/>
  <c r="AE32" i="8"/>
  <c r="AH34" i="8"/>
  <c r="AH32" i="8"/>
  <c r="AT33" i="8"/>
  <c r="AT32" i="8"/>
  <c r="AF33" i="8"/>
  <c r="AF32" i="8"/>
  <c r="AJ33" i="8"/>
  <c r="AJ32" i="8"/>
  <c r="AV33" i="8"/>
  <c r="AV32" i="8"/>
  <c r="AL32" i="8"/>
  <c r="AD33" i="8"/>
  <c r="AD32" i="8"/>
  <c r="AK33" i="8"/>
  <c r="AK32" i="8"/>
  <c r="AN32" i="8"/>
  <c r="AN33" i="8"/>
  <c r="AW33" i="8"/>
  <c r="AW32" i="8"/>
  <c r="AG33" i="8"/>
  <c r="AG32" i="8"/>
  <c r="AQ31" i="8"/>
  <c r="AP31" i="8"/>
  <c r="I33" i="8"/>
  <c r="I32" i="8"/>
  <c r="H33" i="8"/>
  <c r="H32" i="8"/>
  <c r="G32" i="8"/>
  <c r="K32" i="8"/>
  <c r="V33" i="8"/>
  <c r="V32" i="8"/>
  <c r="Z30" i="8"/>
  <c r="S33" i="8"/>
  <c r="S32" i="8"/>
  <c r="X30" i="8"/>
  <c r="O30" i="8"/>
  <c r="N30" i="8"/>
  <c r="R32" i="8"/>
  <c r="L30" i="8"/>
  <c r="W33" i="8"/>
  <c r="W32" i="8"/>
  <c r="Y30" i="8"/>
  <c r="P30" i="8"/>
  <c r="Q33" i="8"/>
  <c r="Q32" i="8"/>
  <c r="M30" i="8"/>
  <c r="U33" i="8"/>
  <c r="U32" i="8"/>
  <c r="AA30" i="8"/>
  <c r="AP34" i="8" l="1"/>
  <c r="AP32" i="8"/>
  <c r="AQ34" i="8"/>
  <c r="AQ32" i="8"/>
  <c r="M33" i="8"/>
  <c r="M32" i="8"/>
  <c r="Y33" i="8"/>
  <c r="Y32" i="8"/>
  <c r="P33" i="8"/>
  <c r="P32" i="8"/>
  <c r="N33" i="8"/>
  <c r="N32" i="8"/>
  <c r="O33" i="8"/>
  <c r="O32" i="8"/>
  <c r="Z33" i="8"/>
  <c r="Z32" i="8"/>
  <c r="L33" i="8"/>
  <c r="L32" i="8"/>
  <c r="X33" i="8"/>
  <c r="X32" i="8"/>
  <c r="AA33" i="8"/>
  <c r="AA32" i="8"/>
  <c r="AA16" i="21" l="1"/>
  <c r="AW15" i="33" l="1"/>
  <c r="AV15" i="33"/>
  <c r="AU15" i="33"/>
  <c r="AT15" i="33"/>
  <c r="AS15" i="33"/>
  <c r="AR15" i="33"/>
  <c r="AQ15" i="33"/>
  <c r="AP15" i="33"/>
  <c r="AO15" i="33"/>
  <c r="AN15" i="33"/>
  <c r="AM15" i="33"/>
  <c r="AL15" i="33"/>
  <c r="AK15" i="33"/>
  <c r="AJ15" i="33"/>
  <c r="AI15" i="33"/>
  <c r="AH15" i="33"/>
  <c r="AG15" i="33"/>
  <c r="AF15" i="33"/>
  <c r="AE15" i="33"/>
  <c r="AD15" i="33"/>
  <c r="AC15" i="33"/>
  <c r="AB15" i="33"/>
  <c r="AX49" i="9" l="1"/>
  <c r="AW49" i="9"/>
  <c r="AV49" i="9"/>
  <c r="AU49" i="9"/>
  <c r="AT49" i="9"/>
  <c r="AS49" i="9"/>
  <c r="AR49" i="9"/>
  <c r="AQ49" i="9"/>
  <c r="AP49" i="9"/>
  <c r="AO49" i="9"/>
  <c r="AN49" i="9"/>
  <c r="AM49" i="9"/>
  <c r="AL49" i="9"/>
  <c r="AK49" i="9"/>
  <c r="AJ49" i="9"/>
  <c r="AI49" i="9"/>
  <c r="AH49" i="9"/>
  <c r="AX48" i="9"/>
  <c r="AW48" i="9"/>
  <c r="AV48" i="9"/>
  <c r="AU48" i="9"/>
  <c r="AT48" i="9"/>
  <c r="AS48" i="9"/>
  <c r="AR48" i="9"/>
  <c r="AQ48" i="9"/>
  <c r="AP48" i="9"/>
  <c r="AO48" i="9"/>
  <c r="AN48" i="9"/>
  <c r="AM48" i="9"/>
  <c r="AL48" i="9"/>
  <c r="AK48" i="9"/>
  <c r="AJ48" i="9"/>
  <c r="AI48" i="9"/>
  <c r="AH48" i="9"/>
  <c r="AX47" i="9"/>
  <c r="AW47" i="9"/>
  <c r="AV47" i="9"/>
  <c r="AU47" i="9"/>
  <c r="AT47" i="9"/>
  <c r="AS47" i="9"/>
  <c r="AR47" i="9"/>
  <c r="AQ47" i="9"/>
  <c r="AP47" i="9"/>
  <c r="AO47" i="9"/>
  <c r="AN47" i="9"/>
  <c r="AM47" i="9"/>
  <c r="AL47" i="9"/>
  <c r="AK47" i="9"/>
  <c r="AJ47" i="9"/>
  <c r="AI47" i="9"/>
  <c r="AH47" i="9"/>
  <c r="AX46" i="9"/>
  <c r="AW46" i="9"/>
  <c r="AV46" i="9"/>
  <c r="AU46" i="9"/>
  <c r="AT46" i="9"/>
  <c r="AS46" i="9"/>
  <c r="AR46" i="9"/>
  <c r="AQ46" i="9"/>
  <c r="AP46" i="9"/>
  <c r="AO46" i="9"/>
  <c r="AN46" i="9"/>
  <c r="AM46" i="9"/>
  <c r="AL46" i="9"/>
  <c r="AK46" i="9"/>
  <c r="AJ46" i="9"/>
  <c r="AI46" i="9"/>
  <c r="AH46" i="9"/>
  <c r="AC32" i="9"/>
  <c r="AC31" i="9"/>
  <c r="AC30" i="9"/>
  <c r="AC29" i="9"/>
  <c r="AB32" i="9"/>
  <c r="AB31" i="9"/>
  <c r="AB30" i="9"/>
  <c r="AB29" i="9"/>
  <c r="AA32" i="9"/>
  <c r="AA31" i="9"/>
  <c r="AA30" i="9"/>
  <c r="AA29" i="9"/>
  <c r="Z21" i="9"/>
  <c r="Z15" i="9"/>
  <c r="AC27" i="41"/>
  <c r="AX28" i="41" l="1"/>
  <c r="AW28" i="41"/>
  <c r="AV28" i="41"/>
  <c r="AU28" i="41"/>
  <c r="AT28" i="41"/>
  <c r="AS28" i="41"/>
  <c r="AR28" i="41"/>
  <c r="AQ28" i="41"/>
  <c r="AP28" i="41"/>
  <c r="AO28" i="41"/>
  <c r="AN28" i="41"/>
  <c r="AM28" i="41"/>
  <c r="AL28" i="41"/>
  <c r="AK28" i="41"/>
  <c r="AJ28" i="41"/>
  <c r="AI28" i="41"/>
  <c r="AH28" i="41"/>
  <c r="AG28" i="41"/>
  <c r="AX27" i="41"/>
  <c r="AW27" i="41"/>
  <c r="AV27" i="41"/>
  <c r="AU27" i="41"/>
  <c r="AT27" i="41"/>
  <c r="AS27" i="41"/>
  <c r="AR27" i="41"/>
  <c r="AQ27" i="41"/>
  <c r="AP27" i="41"/>
  <c r="AO27" i="41"/>
  <c r="AN27" i="41"/>
  <c r="AM27" i="41"/>
  <c r="AL27" i="41"/>
  <c r="AK27" i="41"/>
  <c r="AJ27" i="41"/>
  <c r="AI27" i="41"/>
  <c r="AH27" i="41"/>
  <c r="AG27" i="41"/>
  <c r="AF27" i="41"/>
  <c r="AE27" i="41"/>
  <c r="AD27" i="41"/>
  <c r="AX22" i="41"/>
  <c r="AW22" i="41"/>
  <c r="AV22" i="41"/>
  <c r="AU22" i="41"/>
  <c r="AT22" i="41"/>
  <c r="AS22" i="41"/>
  <c r="AR22" i="41"/>
  <c r="AQ22" i="41"/>
  <c r="AP22" i="41"/>
  <c r="AO22" i="41"/>
  <c r="AN22" i="41"/>
  <c r="AM22" i="41"/>
  <c r="AL22" i="41"/>
  <c r="AK22" i="41"/>
  <c r="AJ22" i="41"/>
  <c r="AI22" i="41"/>
  <c r="AH22" i="41"/>
  <c r="AG22" i="41"/>
  <c r="AX21" i="41"/>
  <c r="AW21" i="41"/>
  <c r="AV21" i="41"/>
  <c r="AU21" i="41"/>
  <c r="AT21" i="41"/>
  <c r="AS21" i="41"/>
  <c r="AR21" i="41"/>
  <c r="AQ21" i="41"/>
  <c r="AP21" i="41"/>
  <c r="AO21" i="41"/>
  <c r="AN21" i="41"/>
  <c r="AM21" i="41"/>
  <c r="AL21" i="41"/>
  <c r="AK21" i="41"/>
  <c r="AJ21" i="41"/>
  <c r="AI21" i="41"/>
  <c r="AH21" i="41"/>
  <c r="AG21" i="41"/>
  <c r="AX16" i="41"/>
  <c r="AW16" i="41"/>
  <c r="AV16" i="41"/>
  <c r="AU16" i="41"/>
  <c r="AT16" i="41"/>
  <c r="AS16" i="41"/>
  <c r="AR16" i="41"/>
  <c r="AQ16" i="41"/>
  <c r="AP16" i="41"/>
  <c r="AO16" i="41"/>
  <c r="AN16" i="41"/>
  <c r="AM16" i="41"/>
  <c r="AL16" i="41"/>
  <c r="AK16" i="41"/>
  <c r="AJ16" i="41"/>
  <c r="AI16" i="41"/>
  <c r="AH16" i="41"/>
  <c r="AG16" i="41"/>
  <c r="AX15" i="41"/>
  <c r="AW15" i="41"/>
  <c r="AV15" i="41"/>
  <c r="AU15" i="41"/>
  <c r="AT15" i="41"/>
  <c r="AS15" i="41"/>
  <c r="AR15" i="41"/>
  <c r="AQ15" i="41"/>
  <c r="AP15" i="41"/>
  <c r="AO15" i="41"/>
  <c r="AN15" i="41"/>
  <c r="AM15" i="41"/>
  <c r="AL15" i="41"/>
  <c r="AK15" i="41"/>
  <c r="AJ15" i="41"/>
  <c r="AI15" i="41"/>
  <c r="AH15" i="41"/>
  <c r="AG15" i="41"/>
  <c r="AX60" i="9" l="1"/>
  <c r="AW60" i="9"/>
  <c r="AV60" i="9"/>
  <c r="AU60" i="9"/>
  <c r="AT60" i="9"/>
  <c r="AS60" i="9"/>
  <c r="AR60" i="9"/>
  <c r="AQ60" i="9"/>
  <c r="AP60" i="9"/>
  <c r="AO60" i="9"/>
  <c r="AN60" i="9"/>
  <c r="AM60" i="9"/>
  <c r="AL60" i="9"/>
  <c r="AK60" i="9"/>
  <c r="AJ60" i="9"/>
  <c r="AI60" i="9"/>
  <c r="AH60" i="9"/>
  <c r="AX59" i="9"/>
  <c r="AW59" i="9"/>
  <c r="AV59" i="9"/>
  <c r="AU59" i="9"/>
  <c r="AT59" i="9"/>
  <c r="AS59" i="9"/>
  <c r="AR59" i="9"/>
  <c r="AQ59" i="9"/>
  <c r="AP59" i="9"/>
  <c r="AO59" i="9"/>
  <c r="AN59" i="9"/>
  <c r="AM59" i="9"/>
  <c r="AL59" i="9"/>
  <c r="AK59" i="9"/>
  <c r="AJ59" i="9"/>
  <c r="AI59" i="9"/>
  <c r="AH59" i="9"/>
  <c r="AX58" i="9"/>
  <c r="AW58" i="9"/>
  <c r="AV58" i="9"/>
  <c r="AU58" i="9"/>
  <c r="AT58" i="9"/>
  <c r="AS58" i="9"/>
  <c r="AR58" i="9"/>
  <c r="AQ58" i="9"/>
  <c r="AP58" i="9"/>
  <c r="AO58" i="9"/>
  <c r="AN58" i="9"/>
  <c r="AM58" i="9"/>
  <c r="AL58" i="9"/>
  <c r="AK58" i="9"/>
  <c r="AJ58" i="9"/>
  <c r="AI58" i="9"/>
  <c r="AH58" i="9"/>
  <c r="AX57" i="9"/>
  <c r="AW57" i="9"/>
  <c r="AV57" i="9"/>
  <c r="AU57" i="9"/>
  <c r="AT57" i="9"/>
  <c r="AS57" i="9"/>
  <c r="AR57" i="9"/>
  <c r="AQ57" i="9"/>
  <c r="AP57" i="9"/>
  <c r="AO57" i="9"/>
  <c r="AN57" i="9"/>
  <c r="AM57" i="9"/>
  <c r="AL57" i="9"/>
  <c r="AK57" i="9"/>
  <c r="AJ57" i="9"/>
  <c r="AI57" i="9"/>
  <c r="AH57" i="9"/>
  <c r="E53" i="9" l="1"/>
  <c r="E54" i="9"/>
  <c r="AW21" i="38"/>
  <c r="AV21" i="38"/>
  <c r="AU21" i="38"/>
  <c r="AT21" i="38"/>
  <c r="AS21" i="38"/>
  <c r="AR21" i="38"/>
  <c r="AQ21" i="38"/>
  <c r="AP21" i="38"/>
  <c r="AO21" i="38"/>
  <c r="AN21" i="38"/>
  <c r="AM21" i="38"/>
  <c r="AL21" i="38"/>
  <c r="AK21" i="38"/>
  <c r="AJ21" i="38"/>
  <c r="AI21" i="38"/>
  <c r="AH21" i="38"/>
  <c r="AG21" i="38"/>
  <c r="AF21" i="38"/>
  <c r="AC25" i="41" l="1"/>
  <c r="F40" i="41"/>
  <c r="E40" i="41"/>
  <c r="AC19" i="41" l="1"/>
  <c r="AC13" i="41"/>
  <c r="AW18" i="38"/>
  <c r="AV18" i="38"/>
  <c r="AU18" i="38"/>
  <c r="AT18" i="38"/>
  <c r="AS18" i="38"/>
  <c r="AR18" i="38"/>
  <c r="AQ18" i="38"/>
  <c r="AP18" i="38"/>
  <c r="AO18" i="38"/>
  <c r="AN18" i="38"/>
  <c r="AM18" i="38"/>
  <c r="AL18" i="38"/>
  <c r="AK18" i="38"/>
  <c r="AJ18" i="38"/>
  <c r="AI18" i="38"/>
  <c r="AH18" i="38"/>
  <c r="AG18" i="38"/>
  <c r="AF18" i="38"/>
  <c r="AE18" i="38"/>
  <c r="AD18" i="38"/>
  <c r="AC18" i="38"/>
  <c r="AB18" i="38"/>
  <c r="AW17" i="38"/>
  <c r="AV17" i="38"/>
  <c r="AU17" i="38"/>
  <c r="AT17" i="38"/>
  <c r="AS17" i="38"/>
  <c r="AR17" i="38"/>
  <c r="AQ17" i="38"/>
  <c r="AP17" i="38"/>
  <c r="AO17" i="38"/>
  <c r="AN17" i="38"/>
  <c r="AM17" i="38"/>
  <c r="AL17" i="38"/>
  <c r="AK17" i="38"/>
  <c r="AJ17" i="38"/>
  <c r="AI17" i="38"/>
  <c r="AH17" i="38"/>
  <c r="AG17" i="38"/>
  <c r="AF17" i="38"/>
  <c r="AE17" i="38"/>
  <c r="AE21" i="38" s="1"/>
  <c r="AF21" i="41" s="1"/>
  <c r="AD17" i="38"/>
  <c r="AD21" i="38" s="1"/>
  <c r="AE21" i="41" s="1"/>
  <c r="AC17" i="38"/>
  <c r="AB17" i="38"/>
  <c r="AB21" i="38" s="1"/>
  <c r="AC21" i="41" s="1"/>
  <c r="AC21" i="38" l="1"/>
  <c r="AD21" i="41" s="1"/>
  <c r="AW20" i="38"/>
  <c r="AV20" i="38"/>
  <c r="AU20" i="38"/>
  <c r="AT20" i="38"/>
  <c r="AS20" i="38"/>
  <c r="AR20" i="38"/>
  <c r="AQ20" i="38"/>
  <c r="AP20" i="38"/>
  <c r="AO20" i="38"/>
  <c r="AN20" i="38"/>
  <c r="AM20" i="38"/>
  <c r="AL20" i="38"/>
  <c r="AK20" i="38"/>
  <c r="AJ20" i="38"/>
  <c r="AI20" i="38"/>
  <c r="AH20" i="38"/>
  <c r="AG20" i="38"/>
  <c r="AF20" i="38"/>
  <c r="AE20" i="38"/>
  <c r="AF15" i="41" s="1"/>
  <c r="AD20" i="38"/>
  <c r="AE15" i="41" s="1"/>
  <c r="AC20" i="38"/>
  <c r="AD15" i="41" s="1"/>
  <c r="AB20" i="38"/>
  <c r="AC15" i="41" s="1"/>
  <c r="AW15" i="36" l="1"/>
  <c r="AV15" i="36"/>
  <c r="AU15" i="36"/>
  <c r="AT15" i="36"/>
  <c r="AS15" i="36"/>
  <c r="AR15" i="36"/>
  <c r="AQ15" i="36"/>
  <c r="AP15" i="36"/>
  <c r="AO15" i="36"/>
  <c r="AN15" i="36"/>
  <c r="AM15" i="36"/>
  <c r="AL15" i="36"/>
  <c r="AK15" i="36"/>
  <c r="AJ15" i="36"/>
  <c r="AI15" i="36"/>
  <c r="AH15" i="36"/>
  <c r="AG15" i="36"/>
  <c r="AF15" i="36"/>
  <c r="AE15" i="36"/>
  <c r="AD15" i="36"/>
  <c r="AC15" i="36"/>
  <c r="AB15" i="36"/>
  <c r="AW15" i="35"/>
  <c r="AV15" i="35"/>
  <c r="AU15" i="35"/>
  <c r="AT15" i="35"/>
  <c r="AS15" i="35"/>
  <c r="AR15" i="35"/>
  <c r="AQ15" i="35"/>
  <c r="AP15" i="35"/>
  <c r="AO15" i="35"/>
  <c r="AN15" i="35"/>
  <c r="AM15" i="35"/>
  <c r="AL15" i="35"/>
  <c r="AK15" i="35"/>
  <c r="AJ15" i="35"/>
  <c r="AI15" i="35"/>
  <c r="AH15" i="35"/>
  <c r="AG15" i="35"/>
  <c r="AF15" i="35"/>
  <c r="AE15" i="35"/>
  <c r="AD15" i="35"/>
  <c r="AC15" i="35"/>
  <c r="AB15" i="35"/>
  <c r="AF16" i="41" l="1"/>
  <c r="AF22" i="41"/>
  <c r="AF28" i="41"/>
  <c r="AE16" i="41"/>
  <c r="AE22" i="41"/>
  <c r="AE28" i="41"/>
  <c r="AD22" i="41"/>
  <c r="AD28" i="41"/>
  <c r="AD16" i="41"/>
  <c r="AR23" i="41"/>
  <c r="AR17" i="41"/>
  <c r="AJ23" i="41"/>
  <c r="AJ17" i="41"/>
  <c r="AP17" i="41"/>
  <c r="AP23" i="41"/>
  <c r="AS17" i="41"/>
  <c r="AS23" i="41"/>
  <c r="AL17" i="41"/>
  <c r="AL23" i="41"/>
  <c r="AD23" i="41"/>
  <c r="AD17" i="41"/>
  <c r="AT23" i="41"/>
  <c r="AT17" i="41"/>
  <c r="AN17" i="41"/>
  <c r="AN23" i="41"/>
  <c r="AE23" i="41"/>
  <c r="AE17" i="41"/>
  <c r="AU23" i="41"/>
  <c r="AU17" i="41"/>
  <c r="AK17" i="41"/>
  <c r="AK23" i="41"/>
  <c r="AQ17" i="41"/>
  <c r="AQ23" i="41"/>
  <c r="AF17" i="41"/>
  <c r="AF23" i="41"/>
  <c r="AV23" i="41"/>
  <c r="AV17" i="41"/>
  <c r="AM17" i="41"/>
  <c r="AM23" i="41"/>
  <c r="AG23" i="41"/>
  <c r="AG17" i="41"/>
  <c r="AW17" i="41"/>
  <c r="AW23" i="41"/>
  <c r="AI17" i="41"/>
  <c r="AI23" i="41"/>
  <c r="AO17" i="41"/>
  <c r="AO23" i="41"/>
  <c r="AH23" i="41"/>
  <c r="AH17" i="41"/>
  <c r="AX23" i="41"/>
  <c r="AX17" i="41"/>
  <c r="AC23" i="41"/>
  <c r="AC17" i="41"/>
  <c r="AC22" i="41"/>
  <c r="AC28" i="41"/>
  <c r="AC16" i="41"/>
  <c r="Y16" i="21"/>
  <c r="X19" i="11"/>
  <c r="X17" i="11"/>
  <c r="V46" i="11" l="1"/>
  <c r="W46" i="11"/>
  <c r="X49" i="11"/>
  <c r="X48" i="11"/>
  <c r="X47" i="11"/>
  <c r="X46" i="11"/>
  <c r="W47" i="11"/>
  <c r="T46" i="11"/>
  <c r="AA19" i="11"/>
  <c r="W19" i="11"/>
  <c r="V19" i="11"/>
  <c r="Z17" i="11"/>
  <c r="W17" i="11"/>
  <c r="W48" i="11" s="1"/>
  <c r="V17" i="11"/>
  <c r="W49" i="11" l="1"/>
  <c r="U49" i="11"/>
  <c r="U48" i="11"/>
  <c r="U47" i="11"/>
  <c r="U46" i="11"/>
  <c r="U45" i="11"/>
  <c r="U44" i="11"/>
  <c r="U43" i="11"/>
  <c r="U42" i="11"/>
  <c r="U51" i="11"/>
  <c r="U50" i="11"/>
  <c r="U52" i="11" l="1"/>
  <c r="U54" i="11" s="1"/>
  <c r="U53" i="11"/>
  <c r="U55" i="11" s="1"/>
  <c r="W29" i="9"/>
  <c r="X29" i="9"/>
  <c r="Y29" i="9"/>
  <c r="Z29" i="9"/>
  <c r="AC46" i="9"/>
  <c r="AC57" i="9" s="1"/>
  <c r="AD29" i="9"/>
  <c r="AD46" i="9" s="1"/>
  <c r="AD57" i="9" s="1"/>
  <c r="AE29" i="9"/>
  <c r="AE46" i="9" s="1"/>
  <c r="AE57" i="9" s="1"/>
  <c r="AF29" i="9"/>
  <c r="AF46" i="9" s="1"/>
  <c r="AF57" i="9" s="1"/>
  <c r="AG29" i="9"/>
  <c r="AG46" i="9" s="1"/>
  <c r="AG57" i="9" s="1"/>
  <c r="AH29" i="9"/>
  <c r="AI29" i="9"/>
  <c r="AJ29" i="9"/>
  <c r="AK29" i="9"/>
  <c r="AL29" i="9"/>
  <c r="AM29" i="9"/>
  <c r="AN29" i="9"/>
  <c r="AO29" i="9"/>
  <c r="AP29" i="9"/>
  <c r="AQ29" i="9"/>
  <c r="AR29" i="9"/>
  <c r="AS29" i="9"/>
  <c r="AT29" i="9"/>
  <c r="AU29" i="9"/>
  <c r="AV29" i="9"/>
  <c r="AW29" i="9"/>
  <c r="AX29" i="9"/>
  <c r="W30" i="9"/>
  <c r="X30" i="9"/>
  <c r="Y30" i="9"/>
  <c r="Z30" i="9"/>
  <c r="AC47" i="9"/>
  <c r="AC58" i="9" s="1"/>
  <c r="AD30" i="9"/>
  <c r="AD47" i="9" s="1"/>
  <c r="AD58" i="9" s="1"/>
  <c r="AE30" i="9"/>
  <c r="AE47" i="9" s="1"/>
  <c r="AE58" i="9" s="1"/>
  <c r="AF30" i="9"/>
  <c r="AF47" i="9" s="1"/>
  <c r="AF58" i="9" s="1"/>
  <c r="AG30" i="9"/>
  <c r="AG47" i="9" s="1"/>
  <c r="AG58" i="9" s="1"/>
  <c r="AH30" i="9"/>
  <c r="AI30" i="9"/>
  <c r="AJ30" i="9"/>
  <c r="AK30" i="9"/>
  <c r="AL30" i="9"/>
  <c r="AM30" i="9"/>
  <c r="AN30" i="9"/>
  <c r="AO30" i="9"/>
  <c r="AP30" i="9"/>
  <c r="AQ30" i="9"/>
  <c r="AR30" i="9"/>
  <c r="AS30" i="9"/>
  <c r="AT30" i="9"/>
  <c r="AU30" i="9"/>
  <c r="AV30" i="9"/>
  <c r="AW30" i="9"/>
  <c r="AX30" i="9"/>
  <c r="W31" i="9"/>
  <c r="X31" i="9"/>
  <c r="Y31" i="9"/>
  <c r="Z31" i="9"/>
  <c r="AC48" i="9"/>
  <c r="AC59" i="9" s="1"/>
  <c r="AD31" i="9"/>
  <c r="AD48" i="9" s="1"/>
  <c r="AD59" i="9" s="1"/>
  <c r="AE31" i="9"/>
  <c r="AE48" i="9" s="1"/>
  <c r="AE59" i="9" s="1"/>
  <c r="AF31" i="9"/>
  <c r="AF48" i="9" s="1"/>
  <c r="AF59" i="9" s="1"/>
  <c r="AG31" i="9"/>
  <c r="AG48" i="9" s="1"/>
  <c r="AG59" i="9" s="1"/>
  <c r="AH31" i="9"/>
  <c r="AI31" i="9"/>
  <c r="AJ31" i="9"/>
  <c r="AK31" i="9"/>
  <c r="AL31" i="9"/>
  <c r="AM31" i="9"/>
  <c r="AN31" i="9"/>
  <c r="AO31" i="9"/>
  <c r="AP31" i="9"/>
  <c r="AQ31" i="9"/>
  <c r="AR31" i="9"/>
  <c r="AS31" i="9"/>
  <c r="AT31" i="9"/>
  <c r="AU31" i="9"/>
  <c r="AV31" i="9"/>
  <c r="AW31" i="9"/>
  <c r="AX31" i="9"/>
  <c r="W32" i="9"/>
  <c r="X32" i="9"/>
  <c r="Y32" i="9"/>
  <c r="Z32" i="9"/>
  <c r="AC49" i="9"/>
  <c r="AC60" i="9" s="1"/>
  <c r="AD32" i="9"/>
  <c r="AD49" i="9" s="1"/>
  <c r="AD60" i="9" s="1"/>
  <c r="AE32" i="9"/>
  <c r="AE49" i="9" s="1"/>
  <c r="AE60" i="9" s="1"/>
  <c r="AF32" i="9"/>
  <c r="AF49" i="9" s="1"/>
  <c r="AF60" i="9" s="1"/>
  <c r="AG32" i="9"/>
  <c r="AG49" i="9" s="1"/>
  <c r="AG60" i="9" s="1"/>
  <c r="AH32" i="9"/>
  <c r="AI32" i="9"/>
  <c r="AJ32" i="9"/>
  <c r="AK32" i="9"/>
  <c r="AL32" i="9"/>
  <c r="AM32" i="9"/>
  <c r="AN32" i="9"/>
  <c r="AO32" i="9"/>
  <c r="AP32" i="9"/>
  <c r="AQ32" i="9"/>
  <c r="AR32" i="9"/>
  <c r="AS32" i="9"/>
  <c r="AT32" i="9"/>
  <c r="AU32" i="9"/>
  <c r="AV32" i="9"/>
  <c r="AW32" i="9"/>
  <c r="AX32" i="9"/>
  <c r="Y15" i="9"/>
  <c r="U16" i="13"/>
  <c r="U18" i="13" s="1"/>
  <c r="V15" i="9" s="1"/>
  <c r="T16" i="13"/>
  <c r="W16" i="21"/>
  <c r="V16" i="21"/>
  <c r="X16" i="21"/>
  <c r="Z16" i="21"/>
  <c r="AD16" i="21"/>
  <c r="AE16" i="21"/>
  <c r="AF16" i="21"/>
  <c r="AG16" i="21"/>
  <c r="AH16" i="21"/>
  <c r="AI16" i="21"/>
  <c r="AJ16" i="21"/>
  <c r="AK16" i="21"/>
  <c r="AL16" i="21"/>
  <c r="AM16" i="21"/>
  <c r="AN16" i="21"/>
  <c r="AO16" i="21"/>
  <c r="AP16" i="21"/>
  <c r="AQ16" i="21"/>
  <c r="AR16" i="21"/>
  <c r="AS16" i="21"/>
  <c r="AT16" i="21"/>
  <c r="AU16" i="21"/>
  <c r="AV16" i="21"/>
  <c r="AW16" i="21"/>
  <c r="AX16" i="21"/>
  <c r="AB21" i="13"/>
  <c r="AC21" i="13"/>
  <c r="AD21" i="13"/>
  <c r="AE21" i="13"/>
  <c r="AF21" i="13"/>
  <c r="AG21" i="13"/>
  <c r="AH21" i="13"/>
  <c r="AI21" i="13"/>
  <c r="AJ21" i="13"/>
  <c r="AK21" i="13"/>
  <c r="AL21" i="13"/>
  <c r="AM21" i="13"/>
  <c r="AN21" i="13"/>
  <c r="AO21" i="13"/>
  <c r="AP21" i="13"/>
  <c r="AQ21" i="13"/>
  <c r="AR21" i="13"/>
  <c r="AS21" i="13"/>
  <c r="AT21" i="13"/>
  <c r="AU21" i="13"/>
  <c r="AV21" i="13"/>
  <c r="AW21" i="13"/>
  <c r="V16" i="13"/>
  <c r="V18" i="13" s="1"/>
  <c r="W15" i="9" s="1"/>
  <c r="W16" i="13"/>
  <c r="W18" i="13" s="1"/>
  <c r="X16" i="13"/>
  <c r="Y16" i="13"/>
  <c r="Y18" i="13" s="1"/>
  <c r="Z16" i="13"/>
  <c r="Z18" i="13" s="1"/>
  <c r="AA16" i="13"/>
  <c r="AB16" i="13"/>
  <c r="AC16" i="13"/>
  <c r="AD16" i="13"/>
  <c r="AE16" i="13"/>
  <c r="AF16" i="13"/>
  <c r="AG16" i="13"/>
  <c r="AH16" i="13"/>
  <c r="AI16" i="13"/>
  <c r="AJ16" i="13"/>
  <c r="AK16" i="13"/>
  <c r="AL16" i="13"/>
  <c r="AM16" i="13"/>
  <c r="AN16" i="13"/>
  <c r="AO16" i="13"/>
  <c r="AP16" i="13"/>
  <c r="AQ16" i="13"/>
  <c r="AR16" i="13"/>
  <c r="AS16" i="13"/>
  <c r="AS18" i="13" s="1"/>
  <c r="AT16" i="13"/>
  <c r="AU16" i="13"/>
  <c r="AV16" i="13"/>
  <c r="AW16" i="13"/>
  <c r="V17" i="13"/>
  <c r="V19" i="13" s="1"/>
  <c r="W21" i="9" s="1"/>
  <c r="W17" i="13"/>
  <c r="W19" i="13" s="1"/>
  <c r="X21" i="9" s="1"/>
  <c r="X17" i="13"/>
  <c r="X19" i="13" s="1"/>
  <c r="Y21" i="9" s="1"/>
  <c r="Y17" i="13"/>
  <c r="Y19" i="13" s="1"/>
  <c r="Z17" i="13"/>
  <c r="Z19" i="13" s="1"/>
  <c r="AA21" i="9" s="1"/>
  <c r="AA17" i="13"/>
  <c r="AB17" i="13"/>
  <c r="AC17" i="13"/>
  <c r="AD17" i="13"/>
  <c r="AE17" i="13"/>
  <c r="AF17" i="13"/>
  <c r="AG17" i="13"/>
  <c r="AH17" i="13"/>
  <c r="AI17" i="13"/>
  <c r="AJ17" i="13"/>
  <c r="AK17" i="13"/>
  <c r="AL17" i="13"/>
  <c r="AM17" i="13"/>
  <c r="AN17" i="13"/>
  <c r="AO17" i="13"/>
  <c r="AP17" i="13"/>
  <c r="AQ17" i="13"/>
  <c r="AR17" i="13"/>
  <c r="AS17" i="13"/>
  <c r="AT17" i="13"/>
  <c r="AU17" i="13"/>
  <c r="AV17" i="13"/>
  <c r="AW17" i="13"/>
  <c r="X18" i="13"/>
  <c r="AA18" i="13"/>
  <c r="AB15" i="9" s="1"/>
  <c r="AB18" i="13"/>
  <c r="AC18" i="13"/>
  <c r="AD18" i="13"/>
  <c r="AE18" i="13"/>
  <c r="AF18" i="13"/>
  <c r="AG18" i="13"/>
  <c r="AH18" i="13"/>
  <c r="AI18" i="13"/>
  <c r="AJ18" i="13"/>
  <c r="AK18" i="13"/>
  <c r="AL18" i="13"/>
  <c r="AM18" i="13"/>
  <c r="AN18" i="13"/>
  <c r="AO18" i="13"/>
  <c r="AP18" i="13"/>
  <c r="AQ18" i="13"/>
  <c r="AR18" i="13"/>
  <c r="AT18" i="13"/>
  <c r="AU18" i="13"/>
  <c r="AV18" i="13"/>
  <c r="AW18" i="13"/>
  <c r="AA19" i="13"/>
  <c r="AB21" i="9" s="1"/>
  <c r="AB19" i="13"/>
  <c r="AC19" i="13"/>
  <c r="AD19" i="13"/>
  <c r="AE19" i="13"/>
  <c r="AF19" i="13"/>
  <c r="AG19" i="13"/>
  <c r="AH19" i="13"/>
  <c r="AI19" i="13"/>
  <c r="AJ19" i="13"/>
  <c r="AK19" i="13"/>
  <c r="AL19" i="13"/>
  <c r="AM19" i="13"/>
  <c r="AN19" i="13"/>
  <c r="AO19" i="13"/>
  <c r="AP19" i="13"/>
  <c r="AQ19" i="13"/>
  <c r="AR19" i="13"/>
  <c r="AS19" i="13"/>
  <c r="AT19" i="13"/>
  <c r="AU19" i="13"/>
  <c r="AV19" i="13"/>
  <c r="AW19" i="13"/>
  <c r="W50" i="11"/>
  <c r="X50" i="11"/>
  <c r="Y50" i="11"/>
  <c r="Z50" i="11"/>
  <c r="W51" i="11"/>
  <c r="X51" i="11"/>
  <c r="Y51" i="11"/>
  <c r="V42" i="11"/>
  <c r="W42" i="11"/>
  <c r="X42" i="11"/>
  <c r="Y42" i="11"/>
  <c r="Z42" i="11"/>
  <c r="V43" i="11"/>
  <c r="W43" i="11"/>
  <c r="X43" i="11"/>
  <c r="Y43" i="11"/>
  <c r="Z43" i="11"/>
  <c r="V44" i="11"/>
  <c r="W44" i="11"/>
  <c r="X44" i="11"/>
  <c r="Y44" i="11"/>
  <c r="Z44" i="11"/>
  <c r="V45" i="11"/>
  <c r="W45" i="11"/>
  <c r="X45" i="11"/>
  <c r="Y45" i="11"/>
  <c r="Z45" i="11"/>
  <c r="Y46" i="11"/>
  <c r="Z46" i="11"/>
  <c r="V47" i="11"/>
  <c r="Y47" i="11"/>
  <c r="Z47" i="11"/>
  <c r="V48" i="11"/>
  <c r="Y48" i="11"/>
  <c r="Z48" i="11"/>
  <c r="V49" i="11"/>
  <c r="Y49" i="11"/>
  <c r="Z49" i="11"/>
  <c r="V50" i="11"/>
  <c r="V52" i="11" s="1"/>
  <c r="V54" i="11" s="1"/>
  <c r="W13" i="9" s="1"/>
  <c r="V51" i="11"/>
  <c r="Z51" i="11"/>
  <c r="AI25" i="41"/>
  <c r="AJ25" i="41"/>
  <c r="AK25" i="41"/>
  <c r="AQ25" i="41"/>
  <c r="T45" i="11"/>
  <c r="AA21" i="13" l="1"/>
  <c r="AA15" i="9"/>
  <c r="Z21" i="13"/>
  <c r="Z53" i="11"/>
  <c r="Z55" i="11" s="1"/>
  <c r="AA19" i="9" s="1"/>
  <c r="V53" i="11"/>
  <c r="V55" i="11" s="1"/>
  <c r="W19" i="9" s="1"/>
  <c r="AW13" i="41"/>
  <c r="AW19" i="41"/>
  <c r="AV19" i="41"/>
  <c r="AV13" i="41"/>
  <c r="AU19" i="41"/>
  <c r="AU13" i="41"/>
  <c r="AM13" i="41"/>
  <c r="AM19" i="41"/>
  <c r="AG13" i="41"/>
  <c r="AG19" i="41"/>
  <c r="AE19" i="41"/>
  <c r="AE13" i="41"/>
  <c r="AC26" i="41"/>
  <c r="AC29" i="41" s="1"/>
  <c r="Y21" i="13"/>
  <c r="X21" i="13"/>
  <c r="AX25" i="41"/>
  <c r="AW25" i="41"/>
  <c r="AU25" i="41"/>
  <c r="AV25" i="41"/>
  <c r="AP25" i="41"/>
  <c r="AR25" i="41"/>
  <c r="AN25" i="41"/>
  <c r="AM25" i="41"/>
  <c r="AO25" i="41"/>
  <c r="AL25" i="41"/>
  <c r="AH25" i="41"/>
  <c r="AG25" i="41"/>
  <c r="AF25" i="41"/>
  <c r="Y53" i="11"/>
  <c r="Y55" i="11" s="1"/>
  <c r="Z19" i="9" s="1"/>
  <c r="Z52" i="11"/>
  <c r="Z54" i="11" s="1"/>
  <c r="Y52" i="11"/>
  <c r="Y54" i="11" s="1"/>
  <c r="Z13" i="9" s="1"/>
  <c r="AB19" i="9"/>
  <c r="AB13" i="9"/>
  <c r="X53" i="11"/>
  <c r="X55" i="11" s="1"/>
  <c r="Y19" i="9" s="1"/>
  <c r="W21" i="13"/>
  <c r="W53" i="11"/>
  <c r="W55" i="11" s="1"/>
  <c r="X19" i="9" s="1"/>
  <c r="W52" i="11"/>
  <c r="W54" i="11" s="1"/>
  <c r="X13" i="9" s="1"/>
  <c r="X15" i="9"/>
  <c r="V21" i="13"/>
  <c r="AE25" i="41"/>
  <c r="AT25" i="41"/>
  <c r="AS25" i="41"/>
  <c r="AD25" i="41"/>
  <c r="X52" i="11"/>
  <c r="X54" i="11" s="1"/>
  <c r="AH26" i="41"/>
  <c r="AB20" i="9"/>
  <c r="Y20" i="9"/>
  <c r="AX26" i="41"/>
  <c r="AG26" i="41"/>
  <c r="AW26" i="41"/>
  <c r="AO26" i="41"/>
  <c r="AP26" i="41"/>
  <c r="AN26" i="41"/>
  <c r="AF26" i="41"/>
  <c r="AR26" i="41"/>
  <c r="AJ26" i="41"/>
  <c r="AJ29" i="41" s="1"/>
  <c r="AJ36" i="41" s="1"/>
  <c r="AJ45" i="41" s="1"/>
  <c r="AU26" i="41"/>
  <c r="AM26" i="41"/>
  <c r="AE26" i="41"/>
  <c r="AQ26" i="41"/>
  <c r="AQ29" i="41" s="1"/>
  <c r="AQ36" i="41" s="1"/>
  <c r="AQ45" i="41" s="1"/>
  <c r="AI26" i="41"/>
  <c r="AI29" i="41" s="1"/>
  <c r="AI36" i="41" s="1"/>
  <c r="AI45" i="41" s="1"/>
  <c r="AA20" i="9"/>
  <c r="AV26" i="41"/>
  <c r="AD26" i="41"/>
  <c r="AS26" i="41"/>
  <c r="AK26" i="41"/>
  <c r="AK29" i="41" s="1"/>
  <c r="AK36" i="41" s="1"/>
  <c r="AK45" i="41" s="1"/>
  <c r="R17" i="11"/>
  <c r="X57" i="11" l="1"/>
  <c r="AW29" i="41"/>
  <c r="AW36" i="41" s="1"/>
  <c r="AW45" i="41" s="1"/>
  <c r="AA22" i="9"/>
  <c r="AX29" i="41"/>
  <c r="AX36" i="41" s="1"/>
  <c r="AX45" i="41" s="1"/>
  <c r="AV29" i="41"/>
  <c r="AV36" i="41" s="1"/>
  <c r="AV45" i="41" s="1"/>
  <c r="AU29" i="41"/>
  <c r="AU36" i="41" s="1"/>
  <c r="AU45" i="41" s="1"/>
  <c r="AS29" i="41"/>
  <c r="AS36" i="41" s="1"/>
  <c r="AS45" i="41" s="1"/>
  <c r="AR29" i="41"/>
  <c r="AR36" i="41" s="1"/>
  <c r="AR45" i="41" s="1"/>
  <c r="AP29" i="41"/>
  <c r="AP36" i="41" s="1"/>
  <c r="AP45" i="41" s="1"/>
  <c r="AO29" i="41"/>
  <c r="AO36" i="41" s="1"/>
  <c r="AO45" i="41" s="1"/>
  <c r="AN29" i="41"/>
  <c r="AN36" i="41" s="1"/>
  <c r="AN45" i="41" s="1"/>
  <c r="AM29" i="41"/>
  <c r="AM36" i="41" s="1"/>
  <c r="AM45" i="41" s="1"/>
  <c r="AH29" i="41"/>
  <c r="AH36" i="41" s="1"/>
  <c r="AH45" i="41" s="1"/>
  <c r="AG29" i="41"/>
  <c r="AG36" i="41" s="1"/>
  <c r="AG45" i="41" s="1"/>
  <c r="AF29" i="41"/>
  <c r="AF36" i="41" s="1"/>
  <c r="AF45" i="41" s="1"/>
  <c r="AE29" i="41"/>
  <c r="AE36" i="41" s="1"/>
  <c r="AE45" i="41" s="1"/>
  <c r="AD29" i="41"/>
  <c r="AD36" i="41" s="1"/>
  <c r="AD45" i="41" s="1"/>
  <c r="AB22" i="9"/>
  <c r="V57" i="11"/>
  <c r="AX19" i="41"/>
  <c r="AX13" i="41"/>
  <c r="AT19" i="41"/>
  <c r="AT13" i="41"/>
  <c r="AS13" i="41"/>
  <c r="AS19" i="41"/>
  <c r="AR19" i="41"/>
  <c r="AR13" i="41"/>
  <c r="AQ19" i="41"/>
  <c r="AQ13" i="41"/>
  <c r="AP19" i="41"/>
  <c r="AP13" i="41"/>
  <c r="AO13" i="41"/>
  <c r="AO19" i="41"/>
  <c r="AN19" i="41"/>
  <c r="AN13" i="41"/>
  <c r="AL13" i="41"/>
  <c r="AL19" i="41"/>
  <c r="AK13" i="41"/>
  <c r="AK19" i="41"/>
  <c r="AJ13" i="41"/>
  <c r="AJ19" i="41"/>
  <c r="AI19" i="41"/>
  <c r="AI13" i="41"/>
  <c r="AH13" i="41"/>
  <c r="AH19" i="41"/>
  <c r="AF19" i="41"/>
  <c r="AF13" i="41"/>
  <c r="AD19" i="41"/>
  <c r="AD13" i="41"/>
  <c r="Z57" i="11"/>
  <c r="AA13" i="9"/>
  <c r="Z20" i="9"/>
  <c r="Z22" i="9" s="1"/>
  <c r="AT20" i="41"/>
  <c r="AT14" i="41"/>
  <c r="AS36" i="8"/>
  <c r="AS14" i="41"/>
  <c r="AS20" i="41"/>
  <c r="AR36" i="8"/>
  <c r="AR20" i="41"/>
  <c r="AR14" i="41"/>
  <c r="AQ36" i="8"/>
  <c r="AQ14" i="41"/>
  <c r="AQ20" i="41"/>
  <c r="AP36" i="8"/>
  <c r="AM14" i="41"/>
  <c r="AM18" i="41" s="1"/>
  <c r="AM34" i="41" s="1"/>
  <c r="AM43" i="41" s="1"/>
  <c r="AM20" i="41"/>
  <c r="AM24" i="41" s="1"/>
  <c r="AM35" i="41" s="1"/>
  <c r="AM44" i="41" s="1"/>
  <c r="AL36" i="8"/>
  <c r="AL20" i="41"/>
  <c r="AL14" i="41"/>
  <c r="AK20" i="41"/>
  <c r="AK14" i="41"/>
  <c r="AJ36" i="8"/>
  <c r="AJ20" i="41"/>
  <c r="AJ14" i="41"/>
  <c r="AI36" i="8"/>
  <c r="AE20" i="41"/>
  <c r="AE24" i="41" s="1"/>
  <c r="AE35" i="41" s="1"/>
  <c r="AE44" i="41" s="1"/>
  <c r="AE14" i="41"/>
  <c r="AE18" i="41" s="1"/>
  <c r="AE34" i="41" s="1"/>
  <c r="AE43" i="41" s="1"/>
  <c r="AD36" i="8"/>
  <c r="AD14" i="41"/>
  <c r="AD20" i="41"/>
  <c r="AC36" i="8"/>
  <c r="AC20" i="41"/>
  <c r="AC24" i="41" s="1"/>
  <c r="AC35" i="41" s="1"/>
  <c r="AC44" i="41" s="1"/>
  <c r="AC14" i="41"/>
  <c r="AC18" i="41" s="1"/>
  <c r="AC34" i="41" s="1"/>
  <c r="AC43" i="41" s="1"/>
  <c r="AB14" i="9"/>
  <c r="AB16" i="9" s="1"/>
  <c r="AA36" i="8"/>
  <c r="AA14" i="9"/>
  <c r="Z36" i="8"/>
  <c r="AC36" i="41"/>
  <c r="AC45" i="41" s="1"/>
  <c r="AB36" i="8"/>
  <c r="Y22" i="9"/>
  <c r="Y57" i="11"/>
  <c r="Z14" i="9"/>
  <c r="Z16" i="9" s="1"/>
  <c r="AA57" i="11"/>
  <c r="Y13" i="9"/>
  <c r="W57" i="11"/>
  <c r="X20" i="9"/>
  <c r="X22" i="9" s="1"/>
  <c r="W20" i="9"/>
  <c r="W22" i="9" s="1"/>
  <c r="AT26" i="41"/>
  <c r="AT29" i="41" s="1"/>
  <c r="AT36" i="41" s="1"/>
  <c r="AT45" i="41" s="1"/>
  <c r="U16" i="21"/>
  <c r="AT24" i="41" l="1"/>
  <c r="AT35" i="41" s="1"/>
  <c r="AT44" i="41" s="1"/>
  <c r="AL18" i="41"/>
  <c r="AL34" i="41" s="1"/>
  <c r="AL43" i="41" s="1"/>
  <c r="AT18" i="41"/>
  <c r="AT34" i="41" s="1"/>
  <c r="AT43" i="41" s="1"/>
  <c r="AD24" i="41"/>
  <c r="AD35" i="41" s="1"/>
  <c r="AD44" i="41" s="1"/>
  <c r="AD18" i="41"/>
  <c r="AD34" i="41" s="1"/>
  <c r="AD43" i="41" s="1"/>
  <c r="AR18" i="41"/>
  <c r="AR34" i="41" s="1"/>
  <c r="AR43" i="41" s="1"/>
  <c r="AR24" i="41"/>
  <c r="AR35" i="41" s="1"/>
  <c r="AR44" i="41" s="1"/>
  <c r="AJ18" i="41"/>
  <c r="AJ34" i="41" s="1"/>
  <c r="AJ43" i="41" s="1"/>
  <c r="AJ24" i="41"/>
  <c r="AJ35" i="41" s="1"/>
  <c r="AJ44" i="41" s="1"/>
  <c r="AS24" i="41"/>
  <c r="AS35" i="41" s="1"/>
  <c r="AS44" i="41" s="1"/>
  <c r="AS18" i="41"/>
  <c r="AS34" i="41" s="1"/>
  <c r="AS43" i="41" s="1"/>
  <c r="AQ24" i="41"/>
  <c r="AQ35" i="41" s="1"/>
  <c r="AQ44" i="41" s="1"/>
  <c r="AQ18" i="41"/>
  <c r="AQ34" i="41" s="1"/>
  <c r="AQ43" i="41" s="1"/>
  <c r="AL24" i="41"/>
  <c r="AL35" i="41" s="1"/>
  <c r="AL44" i="41" s="1"/>
  <c r="AK24" i="41"/>
  <c r="AK35" i="41" s="1"/>
  <c r="AK44" i="41" s="1"/>
  <c r="AK18" i="41"/>
  <c r="AK34" i="41" s="1"/>
  <c r="AK43" i="41" s="1"/>
  <c r="AA16" i="9"/>
  <c r="AL26" i="41"/>
  <c r="AL29" i="41" s="1"/>
  <c r="AL36" i="41" s="1"/>
  <c r="AL45" i="41" s="1"/>
  <c r="AK36" i="8"/>
  <c r="AX20" i="41"/>
  <c r="AX24" i="41" s="1"/>
  <c r="AX35" i="41" s="1"/>
  <c r="AX44" i="41" s="1"/>
  <c r="AX14" i="41"/>
  <c r="AX18" i="41" s="1"/>
  <c r="AX34" i="41" s="1"/>
  <c r="AX43" i="41" s="1"/>
  <c r="AW36" i="8"/>
  <c r="AW20" i="41"/>
  <c r="AW24" i="41" s="1"/>
  <c r="AW35" i="41" s="1"/>
  <c r="AW44" i="41" s="1"/>
  <c r="AW14" i="41"/>
  <c r="AW18" i="41" s="1"/>
  <c r="AW34" i="41" s="1"/>
  <c r="AW43" i="41" s="1"/>
  <c r="AV36" i="8"/>
  <c r="AV20" i="41"/>
  <c r="AV24" i="41" s="1"/>
  <c r="AV35" i="41" s="1"/>
  <c r="AV44" i="41" s="1"/>
  <c r="AV14" i="41"/>
  <c r="AV18" i="41" s="1"/>
  <c r="AV34" i="41" s="1"/>
  <c r="AV43" i="41" s="1"/>
  <c r="AU36" i="8"/>
  <c r="AU20" i="41"/>
  <c r="AU24" i="41" s="1"/>
  <c r="AU35" i="41" s="1"/>
  <c r="AU44" i="41" s="1"/>
  <c r="AU14" i="41"/>
  <c r="AU18" i="41" s="1"/>
  <c r="AU34" i="41" s="1"/>
  <c r="AU43" i="41" s="1"/>
  <c r="AT36" i="8"/>
  <c r="AP14" i="41"/>
  <c r="AP18" i="41" s="1"/>
  <c r="AP34" i="41" s="1"/>
  <c r="AP43" i="41" s="1"/>
  <c r="AP20" i="41"/>
  <c r="AP24" i="41" s="1"/>
  <c r="AP35" i="41" s="1"/>
  <c r="AP44" i="41" s="1"/>
  <c r="AO36" i="8"/>
  <c r="AO20" i="41"/>
  <c r="AO24" i="41" s="1"/>
  <c r="AO35" i="41" s="1"/>
  <c r="AO44" i="41" s="1"/>
  <c r="AO14" i="41"/>
  <c r="AO18" i="41" s="1"/>
  <c r="AO34" i="41" s="1"/>
  <c r="AO43" i="41" s="1"/>
  <c r="AN36" i="8"/>
  <c r="AN14" i="41"/>
  <c r="AN18" i="41" s="1"/>
  <c r="AN34" i="41" s="1"/>
  <c r="AN43" i="41" s="1"/>
  <c r="AN20" i="41"/>
  <c r="AN24" i="41" s="1"/>
  <c r="AN35" i="41" s="1"/>
  <c r="AN44" i="41" s="1"/>
  <c r="AM36" i="8"/>
  <c r="AI14" i="41"/>
  <c r="AI18" i="41" s="1"/>
  <c r="AI34" i="41" s="1"/>
  <c r="AI43" i="41" s="1"/>
  <c r="AI20" i="41"/>
  <c r="AI24" i="41" s="1"/>
  <c r="AI35" i="41" s="1"/>
  <c r="AI44" i="41" s="1"/>
  <c r="AH36" i="8"/>
  <c r="AH20" i="41"/>
  <c r="AH24" i="41" s="1"/>
  <c r="AH35" i="41" s="1"/>
  <c r="AH44" i="41" s="1"/>
  <c r="AH14" i="41"/>
  <c r="AH18" i="41" s="1"/>
  <c r="AH34" i="41" s="1"/>
  <c r="AH43" i="41" s="1"/>
  <c r="AG36" i="8"/>
  <c r="AG20" i="41"/>
  <c r="AG24" i="41" s="1"/>
  <c r="AG35" i="41" s="1"/>
  <c r="AG44" i="41" s="1"/>
  <c r="AG14" i="41"/>
  <c r="AG18" i="41" s="1"/>
  <c r="AG34" i="41" s="1"/>
  <c r="AG43" i="41" s="1"/>
  <c r="AF36" i="8"/>
  <c r="AF20" i="41"/>
  <c r="AF24" i="41" s="1"/>
  <c r="AF35" i="41" s="1"/>
  <c r="AF44" i="41" s="1"/>
  <c r="AF14" i="41"/>
  <c r="AF18" i="41" s="1"/>
  <c r="AF34" i="41" s="1"/>
  <c r="AF43" i="41" s="1"/>
  <c r="AE36" i="8"/>
  <c r="Y36" i="8"/>
  <c r="Y14" i="9"/>
  <c r="Y16" i="9" s="1"/>
  <c r="X36" i="8"/>
  <c r="X14" i="9"/>
  <c r="X16" i="9" s="1"/>
  <c r="W36" i="8"/>
  <c r="W14" i="9"/>
  <c r="W16" i="9" s="1"/>
  <c r="V36" i="8"/>
  <c r="M29" i="9"/>
  <c r="N29" i="9"/>
  <c r="O29" i="9"/>
  <c r="P29" i="9"/>
  <c r="Q29" i="9"/>
  <c r="R29" i="9"/>
  <c r="S29" i="9"/>
  <c r="T29" i="9"/>
  <c r="U29" i="9"/>
  <c r="V29" i="9"/>
  <c r="M30" i="9"/>
  <c r="N30" i="9"/>
  <c r="O30" i="9"/>
  <c r="P30" i="9"/>
  <c r="Q30" i="9"/>
  <c r="R30" i="9"/>
  <c r="S30" i="9"/>
  <c r="T30" i="9"/>
  <c r="U30" i="9"/>
  <c r="V30" i="9"/>
  <c r="L30" i="9"/>
  <c r="L29" i="9"/>
  <c r="J30" i="9"/>
  <c r="J29" i="9"/>
  <c r="T16" i="21" l="1"/>
  <c r="R47" i="11" l="1"/>
  <c r="R13" i="8" l="1"/>
  <c r="R16" i="21" l="1"/>
  <c r="S31" i="9"/>
  <c r="T31" i="9"/>
  <c r="U31" i="9"/>
  <c r="V31" i="9"/>
  <c r="O31" i="9" l="1"/>
  <c r="O39" i="9" s="1"/>
  <c r="O32" i="9"/>
  <c r="O40" i="9" s="1"/>
  <c r="J32" i="9" l="1"/>
  <c r="J40" i="9" s="1"/>
  <c r="J31" i="9"/>
  <c r="J39" i="9" s="1"/>
  <c r="M32" i="9"/>
  <c r="M40" i="9" s="1"/>
  <c r="N32" i="9"/>
  <c r="N40" i="9" s="1"/>
  <c r="P32" i="9"/>
  <c r="Q32" i="9"/>
  <c r="R32" i="9"/>
  <c r="S32" i="9"/>
  <c r="T32" i="9"/>
  <c r="U32" i="9"/>
  <c r="V32" i="9"/>
  <c r="L32" i="9"/>
  <c r="L40" i="9" s="1"/>
  <c r="M31" i="9"/>
  <c r="M39" i="9" s="1"/>
  <c r="N31" i="9"/>
  <c r="N39" i="9" s="1"/>
  <c r="P31" i="9"/>
  <c r="Q31" i="9"/>
  <c r="R31" i="9"/>
  <c r="L31" i="9"/>
  <c r="L39" i="9" s="1"/>
  <c r="O16" i="21" l="1"/>
  <c r="N17" i="13"/>
  <c r="N19" i="13" s="1"/>
  <c r="O21" i="9" s="1"/>
  <c r="N16" i="13"/>
  <c r="N18" i="13" s="1"/>
  <c r="N49" i="11"/>
  <c r="N48" i="11"/>
  <c r="N47" i="11"/>
  <c r="N46" i="11"/>
  <c r="N45" i="11"/>
  <c r="N44" i="11"/>
  <c r="N43" i="11"/>
  <c r="N42" i="11"/>
  <c r="N51" i="11"/>
  <c r="N50" i="11"/>
  <c r="O20" i="9" l="1"/>
  <c r="N52" i="11"/>
  <c r="N54" i="11" s="1"/>
  <c r="N53" i="11"/>
  <c r="N55" i="11" s="1"/>
  <c r="O19" i="9" s="1"/>
  <c r="N21" i="13"/>
  <c r="O15" i="9"/>
  <c r="O22" i="9" l="1"/>
  <c r="O13" i="9"/>
  <c r="N57" i="11"/>
  <c r="G46" i="11"/>
  <c r="N36" i="8" l="1"/>
  <c r="O14" i="9"/>
  <c r="O16" i="9" s="1"/>
  <c r="M47" i="11" l="1"/>
  <c r="L47" i="11"/>
  <c r="L49" i="11"/>
  <c r="L45" i="11"/>
  <c r="L46" i="11"/>
  <c r="K46" i="11"/>
  <c r="K44" i="11"/>
  <c r="M46" i="11"/>
  <c r="M48" i="11"/>
  <c r="L48" i="11"/>
  <c r="P48" i="11"/>
  <c r="M49" i="11"/>
  <c r="P49" i="11"/>
  <c r="J49" i="11"/>
  <c r="J48" i="11"/>
  <c r="L19" i="11" l="1"/>
  <c r="N19" i="11"/>
  <c r="P19" i="11"/>
  <c r="R19" i="11"/>
  <c r="S19" i="11"/>
  <c r="T19" i="11"/>
  <c r="U19" i="11"/>
  <c r="M17" i="11"/>
  <c r="O17" i="11"/>
  <c r="Q17" i="11"/>
  <c r="S17" i="11"/>
  <c r="T17" i="11"/>
  <c r="U17" i="11"/>
  <c r="K19" i="11"/>
  <c r="R49" i="11" l="1"/>
  <c r="R48" i="11"/>
  <c r="Q48" i="11"/>
  <c r="Q49" i="11"/>
  <c r="T48" i="11"/>
  <c r="T49" i="11"/>
  <c r="S49" i="11"/>
  <c r="S48" i="11"/>
  <c r="O48" i="11"/>
  <c r="O49" i="11"/>
  <c r="K49" i="11"/>
  <c r="K48" i="11"/>
  <c r="S16" i="21" l="1"/>
  <c r="Q16" i="21"/>
  <c r="P16" i="21"/>
  <c r="N16" i="21"/>
  <c r="M16" i="21"/>
  <c r="L16" i="21"/>
  <c r="J16" i="21"/>
  <c r="I16" i="21"/>
  <c r="H16" i="21"/>
  <c r="G16" i="21"/>
  <c r="F16" i="21"/>
  <c r="E16" i="21"/>
  <c r="D16" i="21"/>
  <c r="C16" i="21"/>
  <c r="U17" i="13"/>
  <c r="U19" i="13" s="1"/>
  <c r="V21" i="9" s="1"/>
  <c r="T17" i="13"/>
  <c r="T19" i="13" s="1"/>
  <c r="U21" i="9" s="1"/>
  <c r="S17" i="13"/>
  <c r="S19" i="13" s="1"/>
  <c r="T21" i="9" s="1"/>
  <c r="R17" i="13"/>
  <c r="R19" i="13" s="1"/>
  <c r="S21" i="9" s="1"/>
  <c r="Q17" i="13"/>
  <c r="Q19" i="13" s="1"/>
  <c r="R21" i="9" s="1"/>
  <c r="P17" i="13"/>
  <c r="P19" i="13" s="1"/>
  <c r="Q21" i="9" s="1"/>
  <c r="O17" i="13"/>
  <c r="O19" i="13" s="1"/>
  <c r="P21" i="9" s="1"/>
  <c r="M17" i="13"/>
  <c r="M19" i="13" s="1"/>
  <c r="N21" i="9" s="1"/>
  <c r="L17" i="13"/>
  <c r="L19" i="13" s="1"/>
  <c r="M21" i="9" s="1"/>
  <c r="K17" i="13"/>
  <c r="K19" i="13" s="1"/>
  <c r="I17" i="13"/>
  <c r="I19" i="13" s="1"/>
  <c r="H17" i="13"/>
  <c r="H19" i="13" s="1"/>
  <c r="I21" i="9" s="1"/>
  <c r="G17" i="13"/>
  <c r="G19" i="13" s="1"/>
  <c r="H21" i="9" s="1"/>
  <c r="F17" i="13"/>
  <c r="F19" i="13" s="1"/>
  <c r="G21" i="9" s="1"/>
  <c r="T18" i="13"/>
  <c r="S16" i="13"/>
  <c r="S18" i="13" s="1"/>
  <c r="R16" i="13"/>
  <c r="R18" i="13" s="1"/>
  <c r="Q16" i="13"/>
  <c r="Q18" i="13" s="1"/>
  <c r="P16" i="13"/>
  <c r="P18" i="13" s="1"/>
  <c r="Q15" i="9" s="1"/>
  <c r="O16" i="13"/>
  <c r="O18" i="13" s="1"/>
  <c r="M16" i="13"/>
  <c r="M18" i="13" s="1"/>
  <c r="L16" i="13"/>
  <c r="L18" i="13" s="1"/>
  <c r="M15" i="9" s="1"/>
  <c r="K16" i="13"/>
  <c r="K18" i="13" s="1"/>
  <c r="L15" i="9" s="1"/>
  <c r="I16" i="13"/>
  <c r="I18" i="13" s="1"/>
  <c r="J15" i="9" s="1"/>
  <c r="H16" i="13"/>
  <c r="H18" i="13" s="1"/>
  <c r="G16" i="13"/>
  <c r="G18" i="13" s="1"/>
  <c r="F16" i="13"/>
  <c r="F18" i="13" s="1"/>
  <c r="T47" i="11"/>
  <c r="S47" i="11"/>
  <c r="Q47" i="11"/>
  <c r="P47" i="11"/>
  <c r="O47" i="11"/>
  <c r="H47" i="11"/>
  <c r="G47" i="11"/>
  <c r="F47" i="11"/>
  <c r="S46" i="11"/>
  <c r="R46" i="11"/>
  <c r="Q46" i="11"/>
  <c r="P46" i="11"/>
  <c r="O46" i="11"/>
  <c r="H46" i="11"/>
  <c r="F46" i="11"/>
  <c r="S45" i="11"/>
  <c r="R45" i="11"/>
  <c r="Q45" i="11"/>
  <c r="P45" i="11"/>
  <c r="O45" i="11"/>
  <c r="M45" i="11"/>
  <c r="K45" i="11"/>
  <c r="I45" i="11"/>
  <c r="H45" i="11"/>
  <c r="G45" i="11"/>
  <c r="F45" i="11"/>
  <c r="T44" i="11"/>
  <c r="S44" i="11"/>
  <c r="R44" i="11"/>
  <c r="Q44" i="11"/>
  <c r="P44" i="11"/>
  <c r="O44" i="11"/>
  <c r="M44" i="11"/>
  <c r="L44" i="11"/>
  <c r="I44" i="11"/>
  <c r="H44" i="11"/>
  <c r="G44" i="11"/>
  <c r="F44" i="11"/>
  <c r="T43" i="11"/>
  <c r="S43" i="11"/>
  <c r="R43" i="11"/>
  <c r="Q43" i="11"/>
  <c r="P43" i="11"/>
  <c r="O43" i="11"/>
  <c r="M43" i="11"/>
  <c r="L43" i="11"/>
  <c r="K43" i="11"/>
  <c r="I43" i="11"/>
  <c r="H43" i="11"/>
  <c r="G43" i="11"/>
  <c r="F43" i="11"/>
  <c r="T42" i="11"/>
  <c r="S42" i="11"/>
  <c r="R42" i="11"/>
  <c r="Q42" i="11"/>
  <c r="P42" i="11"/>
  <c r="O42" i="11"/>
  <c r="M42" i="11"/>
  <c r="L42" i="11"/>
  <c r="K42" i="11"/>
  <c r="I42" i="11"/>
  <c r="H42" i="11"/>
  <c r="G42" i="11"/>
  <c r="F42" i="11"/>
  <c r="T51" i="11"/>
  <c r="S51" i="11"/>
  <c r="R51" i="11"/>
  <c r="Q51" i="11"/>
  <c r="P51" i="11"/>
  <c r="O51" i="11"/>
  <c r="M51" i="11"/>
  <c r="L51" i="11"/>
  <c r="K51" i="11"/>
  <c r="I51" i="11"/>
  <c r="H51" i="11"/>
  <c r="G51" i="11"/>
  <c r="F51" i="11"/>
  <c r="T50" i="11"/>
  <c r="S50" i="11"/>
  <c r="R50" i="11"/>
  <c r="Q50" i="11"/>
  <c r="P50" i="11"/>
  <c r="O50" i="11"/>
  <c r="M50" i="11"/>
  <c r="L50" i="11"/>
  <c r="K50" i="11"/>
  <c r="I50" i="11"/>
  <c r="H50" i="11"/>
  <c r="G50" i="11"/>
  <c r="F50" i="11"/>
  <c r="G36" i="11"/>
  <c r="G49" i="11" s="1"/>
  <c r="G35" i="11"/>
  <c r="H27" i="11"/>
  <c r="F27" i="11"/>
  <c r="H26" i="11"/>
  <c r="F26" i="11"/>
  <c r="G19" i="11"/>
  <c r="K47" i="11"/>
  <c r="I18" i="11"/>
  <c r="I46" i="11" s="1"/>
  <c r="H17" i="11"/>
  <c r="F17" i="11"/>
  <c r="M53" i="11" l="1"/>
  <c r="M55" i="11" s="1"/>
  <c r="N19" i="9" s="1"/>
  <c r="T52" i="11"/>
  <c r="T54" i="11" s="1"/>
  <c r="U13" i="9" s="1"/>
  <c r="V19" i="9"/>
  <c r="V13" i="9"/>
  <c r="C9" i="21"/>
  <c r="T21" i="13"/>
  <c r="U15" i="9"/>
  <c r="Q21" i="13"/>
  <c r="R15" i="9"/>
  <c r="H52" i="11"/>
  <c r="H54" i="11" s="1"/>
  <c r="I13" i="9" s="1"/>
  <c r="M52" i="11"/>
  <c r="M54" i="11" s="1"/>
  <c r="N13" i="9" s="1"/>
  <c r="S21" i="13"/>
  <c r="T15" i="9"/>
  <c r="S52" i="11"/>
  <c r="S54" i="11" s="1"/>
  <c r="T13" i="9" s="1"/>
  <c r="R21" i="13"/>
  <c r="S15" i="9"/>
  <c r="Q53" i="11"/>
  <c r="Q55" i="11" s="1"/>
  <c r="R19" i="9" s="1"/>
  <c r="R53" i="11"/>
  <c r="R55" i="11" s="1"/>
  <c r="S19" i="9" s="1"/>
  <c r="U21" i="13"/>
  <c r="G48" i="11"/>
  <c r="F48" i="11"/>
  <c r="F49" i="11"/>
  <c r="Q52" i="11"/>
  <c r="Q54" i="11" s="1"/>
  <c r="R13" i="9" s="1"/>
  <c r="S53" i="11"/>
  <c r="S55" i="11" s="1"/>
  <c r="T19" i="9" s="1"/>
  <c r="H49" i="11"/>
  <c r="H48" i="11"/>
  <c r="R52" i="11"/>
  <c r="R54" i="11" s="1"/>
  <c r="T53" i="11"/>
  <c r="T55" i="11" s="1"/>
  <c r="U19" i="9" s="1"/>
  <c r="P53" i="11"/>
  <c r="P55" i="11" s="1"/>
  <c r="Q19" i="9" s="1"/>
  <c r="P52" i="11"/>
  <c r="P54" i="11" s="1"/>
  <c r="Q13" i="9" s="1"/>
  <c r="O21" i="13"/>
  <c r="P15" i="9"/>
  <c r="O52" i="11"/>
  <c r="O54" i="11" s="1"/>
  <c r="P13" i="9" s="1"/>
  <c r="O53" i="11"/>
  <c r="O55" i="11" s="1"/>
  <c r="P19" i="9" s="1"/>
  <c r="M21" i="13"/>
  <c r="N15" i="9"/>
  <c r="I52" i="11"/>
  <c r="I54" i="11" s="1"/>
  <c r="J13" i="9" s="1"/>
  <c r="F53" i="11"/>
  <c r="F55" i="11" s="1"/>
  <c r="G19" i="9" s="1"/>
  <c r="I21" i="13"/>
  <c r="J21" i="9"/>
  <c r="H21" i="13"/>
  <c r="I15" i="9"/>
  <c r="G21" i="13"/>
  <c r="H15" i="9"/>
  <c r="F21" i="13"/>
  <c r="G15" i="9"/>
  <c r="L21" i="9"/>
  <c r="K53" i="11"/>
  <c r="K55" i="11" s="1"/>
  <c r="F52" i="11"/>
  <c r="F54" i="11" s="1"/>
  <c r="G13" i="9" s="1"/>
  <c r="K52" i="11"/>
  <c r="K54" i="11" s="1"/>
  <c r="L13" i="9" s="1"/>
  <c r="G53" i="11"/>
  <c r="G55" i="11" s="1"/>
  <c r="H19" i="9" s="1"/>
  <c r="L53" i="11"/>
  <c r="L55" i="11" s="1"/>
  <c r="M19" i="9" s="1"/>
  <c r="L21" i="13"/>
  <c r="G52" i="11"/>
  <c r="G54" i="11" s="1"/>
  <c r="H13" i="9" s="1"/>
  <c r="L52" i="11"/>
  <c r="L54" i="11" s="1"/>
  <c r="M13" i="9" s="1"/>
  <c r="H53" i="11"/>
  <c r="H55" i="11" s="1"/>
  <c r="I19" i="9" s="1"/>
  <c r="K21" i="13"/>
  <c r="P21" i="13"/>
  <c r="I19" i="11"/>
  <c r="I47" i="11"/>
  <c r="I53" i="11" s="1"/>
  <c r="I55" i="11" s="1"/>
  <c r="J19" i="9" s="1"/>
  <c r="AB17" i="9" l="1"/>
  <c r="AB23" i="9" s="1"/>
  <c r="AA17" i="9"/>
  <c r="AA23" i="9" s="1"/>
  <c r="Z17" i="9"/>
  <c r="Z23" i="9" s="1"/>
  <c r="W17" i="9"/>
  <c r="V17" i="9"/>
  <c r="V23" i="9" s="1"/>
  <c r="V15" i="27"/>
  <c r="X17" i="9"/>
  <c r="Y17" i="9"/>
  <c r="T15" i="27"/>
  <c r="U37" i="9" s="1"/>
  <c r="U39" i="9" s="1"/>
  <c r="J17" i="9"/>
  <c r="J23" i="9" s="1"/>
  <c r="AR16" i="27"/>
  <c r="AP16" i="27"/>
  <c r="AV15" i="27"/>
  <c r="AT15" i="27"/>
  <c r="AS15" i="27"/>
  <c r="AJ15" i="27"/>
  <c r="AA15" i="27"/>
  <c r="AB37" i="9" s="1"/>
  <c r="AB39" i="9" s="1"/>
  <c r="AS16" i="27"/>
  <c r="AH16" i="27"/>
  <c r="AN15" i="27"/>
  <c r="AL15" i="27"/>
  <c r="AK15" i="27"/>
  <c r="AB15" i="27"/>
  <c r="AT16" i="27"/>
  <c r="AK16" i="27"/>
  <c r="Z16" i="27"/>
  <c r="AA38" i="9" s="1"/>
  <c r="AA40" i="9" s="1"/>
  <c r="AF15" i="27"/>
  <c r="AD15" i="27"/>
  <c r="AC15" i="27"/>
  <c r="AU16" i="27"/>
  <c r="AL16" i="27"/>
  <c r="AC16" i="27"/>
  <c r="AW15" i="27"/>
  <c r="X15" i="27"/>
  <c r="Y37" i="9" s="1"/>
  <c r="Y39" i="9" s="1"/>
  <c r="W37" i="9"/>
  <c r="W39" i="9" s="1"/>
  <c r="AV16" i="27"/>
  <c r="AM16" i="27"/>
  <c r="AD16" i="27"/>
  <c r="AB16" i="27"/>
  <c r="AO15" i="27"/>
  <c r="AU15" i="27"/>
  <c r="AW16" i="27"/>
  <c r="AN16" i="27"/>
  <c r="AE16" i="27"/>
  <c r="V16" i="27"/>
  <c r="W38" i="9" s="1"/>
  <c r="W40" i="9" s="1"/>
  <c r="AQ16" i="27"/>
  <c r="AG15" i="27"/>
  <c r="AM15" i="27"/>
  <c r="AO16" i="27"/>
  <c r="AF16" i="27"/>
  <c r="W16" i="27"/>
  <c r="X38" i="9" s="1"/>
  <c r="X40" i="9" s="1"/>
  <c r="AP15" i="27"/>
  <c r="AI16" i="27"/>
  <c r="Y15" i="27"/>
  <c r="Z37" i="9" s="1"/>
  <c r="Z39" i="9" s="1"/>
  <c r="AE15" i="27"/>
  <c r="AG16" i="27"/>
  <c r="X16" i="27"/>
  <c r="Y38" i="9" s="1"/>
  <c r="Y40" i="9" s="1"/>
  <c r="AQ15" i="27"/>
  <c r="AH15" i="27"/>
  <c r="AA16" i="27"/>
  <c r="AB38" i="9" s="1"/>
  <c r="AB40" i="9" s="1"/>
  <c r="AJ16" i="27"/>
  <c r="W15" i="27"/>
  <c r="X37" i="9" s="1"/>
  <c r="X39" i="9" s="1"/>
  <c r="Y16" i="27"/>
  <c r="Z38" i="9" s="1"/>
  <c r="Z40" i="9" s="1"/>
  <c r="AR15" i="27"/>
  <c r="AI15" i="27"/>
  <c r="Z15" i="27"/>
  <c r="AA37" i="9" s="1"/>
  <c r="AA39" i="9" s="1"/>
  <c r="P20" i="9"/>
  <c r="P22" i="9" s="1"/>
  <c r="U20" i="9"/>
  <c r="U22" i="9" s="1"/>
  <c r="H20" i="9"/>
  <c r="H22" i="9" s="1"/>
  <c r="Q20" i="9"/>
  <c r="Q22" i="9" s="1"/>
  <c r="V20" i="9"/>
  <c r="V22" i="9" s="1"/>
  <c r="G20" i="9"/>
  <c r="G22" i="9" s="1"/>
  <c r="M16" i="27"/>
  <c r="N38" i="9" s="1"/>
  <c r="S15" i="27"/>
  <c r="T37" i="9" s="1"/>
  <c r="T39" i="9" s="1"/>
  <c r="P17" i="9"/>
  <c r="P23" i="9" s="1"/>
  <c r="I16" i="27"/>
  <c r="J38" i="9" s="1"/>
  <c r="Q16" i="27"/>
  <c r="R38" i="9" s="1"/>
  <c r="R40" i="9" s="1"/>
  <c r="L16" i="27"/>
  <c r="M38" i="9" s="1"/>
  <c r="S14" i="9"/>
  <c r="Q15" i="27"/>
  <c r="R37" i="9" s="1"/>
  <c r="R39" i="9" s="1"/>
  <c r="T16" i="27"/>
  <c r="U38" i="9" s="1"/>
  <c r="U40" i="9" s="1"/>
  <c r="H17" i="9"/>
  <c r="H23" i="9" s="1"/>
  <c r="P16" i="27"/>
  <c r="Q38" i="9" s="1"/>
  <c r="Q40" i="9" s="1"/>
  <c r="S17" i="9"/>
  <c r="S23" i="9" s="1"/>
  <c r="M17" i="9"/>
  <c r="M23" i="9" s="1"/>
  <c r="S16" i="27"/>
  <c r="F15" i="27"/>
  <c r="T17" i="9"/>
  <c r="T23" i="9" s="1"/>
  <c r="U16" i="27"/>
  <c r="V38" i="9" s="1"/>
  <c r="V40" i="9" s="1"/>
  <c r="I15" i="27"/>
  <c r="J37" i="9" s="1"/>
  <c r="O15" i="27"/>
  <c r="P37" i="9" s="1"/>
  <c r="P39" i="9" s="1"/>
  <c r="H16" i="27"/>
  <c r="H15" i="27"/>
  <c r="M15" i="27"/>
  <c r="N37" i="9" s="1"/>
  <c r="Q17" i="9"/>
  <c r="Q23" i="9" s="1"/>
  <c r="F16" i="27"/>
  <c r="O17" i="9"/>
  <c r="O23" i="9" s="1"/>
  <c r="N16" i="27"/>
  <c r="O38" i="9" s="1"/>
  <c r="N15" i="27"/>
  <c r="O37" i="9" s="1"/>
  <c r="L15" i="27"/>
  <c r="M37" i="9" s="1"/>
  <c r="I17" i="9"/>
  <c r="I23" i="9" s="1"/>
  <c r="U17" i="9"/>
  <c r="U23" i="9" s="1"/>
  <c r="G16" i="27"/>
  <c r="O16" i="27"/>
  <c r="P38" i="9" s="1"/>
  <c r="P40" i="9" s="1"/>
  <c r="K16" i="27"/>
  <c r="L38" i="9" s="1"/>
  <c r="N17" i="9"/>
  <c r="N23" i="9" s="1"/>
  <c r="G17" i="9"/>
  <c r="G23" i="9" s="1"/>
  <c r="R16" i="27"/>
  <c r="S38" i="9" s="1"/>
  <c r="S40" i="9" s="1"/>
  <c r="G15" i="27"/>
  <c r="K15" i="27"/>
  <c r="L37" i="9" s="1"/>
  <c r="R17" i="9"/>
  <c r="R23" i="9" s="1"/>
  <c r="L17" i="9"/>
  <c r="L23" i="9" s="1"/>
  <c r="R15" i="27"/>
  <c r="S37" i="9" s="1"/>
  <c r="S39" i="9" s="1"/>
  <c r="P15" i="27"/>
  <c r="Q37" i="9" s="1"/>
  <c r="Q39" i="9" s="1"/>
  <c r="U15" i="27"/>
  <c r="V37" i="9" s="1"/>
  <c r="V39" i="9" s="1"/>
  <c r="S13" i="9"/>
  <c r="R57" i="11"/>
  <c r="I48" i="11"/>
  <c r="I49" i="11"/>
  <c r="L20" i="9"/>
  <c r="I20" i="9"/>
  <c r="I22" i="9" s="1"/>
  <c r="I14" i="9"/>
  <c r="I16" i="9" s="1"/>
  <c r="V14" i="9"/>
  <c r="V16" i="9" s="1"/>
  <c r="T20" i="9"/>
  <c r="T22" i="9" s="1"/>
  <c r="R14" i="9"/>
  <c r="R16" i="9" s="1"/>
  <c r="J14" i="9"/>
  <c r="J16" i="9" s="1"/>
  <c r="T14" i="9"/>
  <c r="T16" i="9" s="1"/>
  <c r="N14" i="9"/>
  <c r="N16" i="9" s="1"/>
  <c r="N20" i="9"/>
  <c r="N22" i="9" s="1"/>
  <c r="M14" i="9"/>
  <c r="M16" i="9" s="1"/>
  <c r="H14" i="9"/>
  <c r="H16" i="9" s="1"/>
  <c r="L19" i="9"/>
  <c r="P57" i="11"/>
  <c r="S20" i="9"/>
  <c r="S22" i="9" s="1"/>
  <c r="O57" i="11"/>
  <c r="Q57" i="11"/>
  <c r="U57" i="11"/>
  <c r="L57" i="11"/>
  <c r="K57" i="11"/>
  <c r="R20" i="9"/>
  <c r="R22" i="9" s="1"/>
  <c r="I57" i="11"/>
  <c r="M57" i="11"/>
  <c r="T57" i="11"/>
  <c r="S57" i="11"/>
  <c r="G57" i="11"/>
  <c r="J20" i="9"/>
  <c r="J22" i="9" s="1"/>
  <c r="F57" i="11"/>
  <c r="H57" i="11"/>
  <c r="Z24" i="9" l="1"/>
  <c r="AA24" i="9"/>
  <c r="AA47" i="9" s="1"/>
  <c r="AB24" i="9"/>
  <c r="S16" i="9"/>
  <c r="AA60" i="9"/>
  <c r="AA49" i="9"/>
  <c r="L22" i="9"/>
  <c r="L24" i="9" s="1"/>
  <c r="Y23" i="9"/>
  <c r="Y24" i="9" s="1"/>
  <c r="Y47" i="9" s="1"/>
  <c r="Y58" i="9" s="1"/>
  <c r="W23" i="9"/>
  <c r="W24" i="9" s="1"/>
  <c r="X23" i="9"/>
  <c r="X24" i="9" s="1"/>
  <c r="V24" i="9"/>
  <c r="V60" i="9" s="1"/>
  <c r="M20" i="9"/>
  <c r="L36" i="8"/>
  <c r="K36" i="8"/>
  <c r="T38" i="9"/>
  <c r="T40" i="9" s="1"/>
  <c r="G24" i="9"/>
  <c r="Q24" i="9"/>
  <c r="P24" i="9"/>
  <c r="T24" i="9"/>
  <c r="H24" i="9"/>
  <c r="N24" i="9"/>
  <c r="J24" i="9"/>
  <c r="S24" i="9"/>
  <c r="S60" i="9" s="1"/>
  <c r="R24" i="9"/>
  <c r="U24" i="9"/>
  <c r="I24" i="9"/>
  <c r="O24" i="9"/>
  <c r="S36" i="8"/>
  <c r="Q36" i="8"/>
  <c r="Q14" i="9"/>
  <c r="Q16" i="9" s="1"/>
  <c r="P14" i="9"/>
  <c r="P16" i="9" s="1"/>
  <c r="U14" i="9"/>
  <c r="U16" i="9" s="1"/>
  <c r="R36" i="8"/>
  <c r="H36" i="8"/>
  <c r="M36" i="8"/>
  <c r="L14" i="9"/>
  <c r="L16" i="9" s="1"/>
  <c r="I36" i="8"/>
  <c r="G36" i="8"/>
  <c r="U36" i="8"/>
  <c r="AB47" i="9" l="1"/>
  <c r="AB58" i="9" s="1"/>
  <c r="AB49" i="9"/>
  <c r="AB60" i="9"/>
  <c r="Y60" i="9"/>
  <c r="AA58" i="9"/>
  <c r="Y49" i="9"/>
  <c r="M22" i="9"/>
  <c r="M24" i="9" s="1"/>
  <c r="Z60" i="9"/>
  <c r="Z49" i="9"/>
  <c r="Z47" i="9"/>
  <c r="Z58" i="9" s="1"/>
  <c r="X47" i="9"/>
  <c r="X58" i="9" s="1"/>
  <c r="X60" i="9"/>
  <c r="X49" i="9"/>
  <c r="W60" i="9"/>
  <c r="W47" i="9"/>
  <c r="W58" i="9" s="1"/>
  <c r="W49" i="9"/>
  <c r="G14" i="9"/>
  <c r="G16" i="9" s="1"/>
  <c r="F36" i="8"/>
  <c r="T47" i="9"/>
  <c r="T58" i="9" s="1"/>
  <c r="T60" i="9"/>
  <c r="O49" i="9"/>
  <c r="O47" i="9"/>
  <c r="O58" i="9" s="1"/>
  <c r="O60" i="9"/>
  <c r="N49" i="9"/>
  <c r="N47" i="9"/>
  <c r="N58" i="9" s="1"/>
  <c r="N60" i="9"/>
  <c r="G60" i="9"/>
  <c r="G47" i="9"/>
  <c r="G58" i="9" s="1"/>
  <c r="G49" i="9"/>
  <c r="I49" i="9"/>
  <c r="I47" i="9"/>
  <c r="I58" i="9" s="1"/>
  <c r="I60" i="9"/>
  <c r="H49" i="9"/>
  <c r="H47" i="9"/>
  <c r="H58" i="9" s="1"/>
  <c r="H60" i="9"/>
  <c r="J49" i="9"/>
  <c r="J60" i="9"/>
  <c r="J47" i="9"/>
  <c r="J58" i="9" s="1"/>
  <c r="U49" i="9"/>
  <c r="U60" i="9"/>
  <c r="T49" i="9"/>
  <c r="V49" i="9"/>
  <c r="R49" i="9"/>
  <c r="R47" i="9"/>
  <c r="R58" i="9" s="1"/>
  <c r="R60" i="9"/>
  <c r="P47" i="9"/>
  <c r="P58" i="9" s="1"/>
  <c r="P60" i="9"/>
  <c r="L49" i="9"/>
  <c r="L47" i="9"/>
  <c r="L58" i="9" s="1"/>
  <c r="L60" i="9"/>
  <c r="S49" i="9"/>
  <c r="S47" i="9"/>
  <c r="S58" i="9" s="1"/>
  <c r="Q47" i="9"/>
  <c r="Q58" i="9" s="1"/>
  <c r="Q60" i="9"/>
  <c r="P49" i="9"/>
  <c r="Q49" i="9"/>
  <c r="U47" i="9"/>
  <c r="U58" i="9" s="1"/>
  <c r="V47" i="9"/>
  <c r="V58" i="9" s="1"/>
  <c r="T36" i="8"/>
  <c r="P36" i="8"/>
  <c r="O36" i="8"/>
  <c r="Z18" i="9" l="1"/>
  <c r="Z59" i="9" s="1"/>
  <c r="AB18" i="9"/>
  <c r="AA18" i="9"/>
  <c r="M47" i="9"/>
  <c r="M58" i="9" s="1"/>
  <c r="M60" i="9"/>
  <c r="M49" i="9"/>
  <c r="S18" i="9"/>
  <c r="S59" i="9" s="1"/>
  <c r="Y18" i="9"/>
  <c r="W18" i="9"/>
  <c r="X18" i="9"/>
  <c r="V18" i="9"/>
  <c r="U18" i="9"/>
  <c r="U46" i="9" s="1"/>
  <c r="U57" i="9" s="1"/>
  <c r="T18" i="9"/>
  <c r="R18" i="9"/>
  <c r="Q18" i="9"/>
  <c r="Q59" i="9" s="1"/>
  <c r="P18" i="9"/>
  <c r="P59" i="9" s="1"/>
  <c r="G18" i="9"/>
  <c r="O18" i="9"/>
  <c r="N18" i="9"/>
  <c r="M18" i="9"/>
  <c r="L18" i="9"/>
  <c r="I18" i="9"/>
  <c r="J18" i="9"/>
  <c r="H18" i="9"/>
  <c r="AA46" i="9" l="1"/>
  <c r="AA59" i="9"/>
  <c r="AA48" i="9"/>
  <c r="AB46" i="9"/>
  <c r="AB57" i="9" s="1"/>
  <c r="AB59" i="9"/>
  <c r="AB48" i="9"/>
  <c r="S48" i="9"/>
  <c r="AA57" i="9"/>
  <c r="S46" i="9"/>
  <c r="S57" i="9" s="1"/>
  <c r="X46" i="9"/>
  <c r="X57" i="9" s="1"/>
  <c r="X59" i="9"/>
  <c r="X48" i="9"/>
  <c r="V59" i="9"/>
  <c r="V46" i="9"/>
  <c r="V57" i="9" s="1"/>
  <c r="V48" i="9"/>
  <c r="Z48" i="9"/>
  <c r="Z46" i="9"/>
  <c r="Z57" i="9" s="1"/>
  <c r="W59" i="9"/>
  <c r="W48" i="9"/>
  <c r="W46" i="9"/>
  <c r="W57" i="9" s="1"/>
  <c r="Y46" i="9"/>
  <c r="Y57" i="9" s="1"/>
  <c r="Y59" i="9"/>
  <c r="Y48" i="9"/>
  <c r="U59" i="9"/>
  <c r="U48" i="9"/>
  <c r="R59" i="9"/>
  <c r="R48" i="9"/>
  <c r="R46" i="9"/>
  <c r="R57" i="9" s="1"/>
  <c r="T59" i="9"/>
  <c r="T46" i="9"/>
  <c r="T57" i="9" s="1"/>
  <c r="T48" i="9"/>
  <c r="N48" i="9"/>
  <c r="N59" i="9"/>
  <c r="O48" i="9"/>
  <c r="O59" i="9"/>
  <c r="G59" i="9"/>
  <c r="G46" i="9"/>
  <c r="G57" i="9" s="1"/>
  <c r="G48" i="9"/>
  <c r="J48" i="9"/>
  <c r="J59" i="9"/>
  <c r="H48" i="9"/>
  <c r="H59" i="9"/>
  <c r="I48" i="9"/>
  <c r="I59" i="9"/>
  <c r="L46" i="9"/>
  <c r="L57" i="9" s="1"/>
  <c r="L59" i="9"/>
  <c r="L48" i="9"/>
  <c r="M48" i="9"/>
  <c r="M59" i="9"/>
  <c r="P48" i="9"/>
  <c r="Q48" i="9"/>
  <c r="P46" i="9"/>
  <c r="P57" i="9" s="1"/>
  <c r="Q46" i="9"/>
  <c r="Q57" i="9" s="1"/>
  <c r="I46" i="9"/>
  <c r="I57" i="9" s="1"/>
  <c r="H46" i="9"/>
  <c r="H57" i="9" s="1"/>
  <c r="M46" i="9"/>
  <c r="M57" i="9" s="1"/>
  <c r="O46" i="9"/>
  <c r="O57" i="9" s="1"/>
  <c r="J46" i="9"/>
  <c r="J57" i="9" s="1"/>
  <c r="N46" i="9"/>
  <c r="N5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Gilda Romano</author>
  </authors>
  <commentList>
    <comment ref="B6" authorId="0" shapeId="0" xr:uid="{A4EC4628-83A9-48CD-9C03-195C315195D1}">
      <text>
        <r>
          <rPr>
            <sz val="9"/>
            <color indexed="81"/>
            <rFont val="Tahoma"/>
            <family val="2"/>
          </rPr>
          <t>This table is no longer in use. Pass-through smart metering costs have been moved to tab '1b IC values'.</t>
        </r>
      </text>
    </comment>
    <comment ref="B34" authorId="0" shapeId="0" xr:uid="{24837DA0-7549-4121-9357-9162261188D7}">
      <text>
        <r>
          <rPr>
            <sz val="9"/>
            <color indexed="81"/>
            <rFont val="Tahoma"/>
            <family val="2"/>
          </rPr>
          <t>This table is no longer in use. See 'PPM cost offset' tab for information.</t>
        </r>
      </text>
    </comment>
    <comment ref="F45" authorId="0" shapeId="0" xr:uid="{937811DD-5E7B-4587-AE5A-3426D2DE2B28}">
      <text>
        <r>
          <rPr>
            <sz val="9"/>
            <color indexed="81"/>
            <rFont val="Tahoma"/>
            <family val="2"/>
          </rPr>
          <t>Formula change from cap 14b onwards (column AC) to remove reference to SMNCC pass-through costs and the PPM cost offset.</t>
        </r>
      </text>
    </comment>
    <comment ref="D54" authorId="0" shapeId="0" xr:uid="{B2D2B9BE-A5D8-4573-B67B-55DDD6BCCCDB}">
      <text>
        <r>
          <rPr>
            <sz val="9"/>
            <color indexed="81"/>
            <rFont val="Tahoma"/>
            <family val="2"/>
          </rPr>
          <t>From cap period 14b, pass-through costs have been moved to tab '1b IC values' so this scaling factor is no longer applied here.</t>
        </r>
      </text>
    </comment>
    <comment ref="F59" authorId="0" shapeId="0" xr:uid="{0BAF288C-336D-4C33-892B-EDC054BEBB48}">
      <text>
        <r>
          <rPr>
            <sz val="9"/>
            <color indexed="81"/>
            <rFont val="Tahoma"/>
            <family val="2"/>
          </rPr>
          <t>Formula change from cap 14b onwards (column AC) for PPM calculation to remove reference to SMNCC pass-through costs and the PPM cost offset.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Gilda Romano</author>
  </authors>
  <commentList>
    <comment ref="B2" authorId="0" shapeId="0" xr:uid="{CD031299-49A2-457A-9737-F90160777C13}">
      <text>
        <r>
          <rPr>
            <b/>
            <sz val="10"/>
            <color indexed="81"/>
            <rFont val="Tahoma"/>
            <family val="2"/>
          </rPr>
          <t>This tab shows the CPIH for cap periods 1 to 14a. The tab is no longer in use from cap period 14b (July 2025 - September 2025) as it is no longer needed for the calculation of the SMNCC pass-through cost allowance and the PPM cost offset. See tabs '1a SMNCC values' and '2g PPM cost offset' and May 2025 operating cost and debt allowances decision for further details.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Gilda Romano</author>
  </authors>
  <commentList>
    <comment ref="B2" authorId="0" shapeId="0" xr:uid="{A2EFED4B-8E32-4935-9943-FDCE517BA73D}">
      <text>
        <r>
          <rPr>
            <b/>
            <sz val="10"/>
            <color indexed="81"/>
            <rFont val="Tahoma"/>
            <family val="2"/>
          </rPr>
          <t>This tab calculates the PPM additional cost offset for cap periods 1 to 14a. The tab is no longer in use from cap period 14b (July 2025 - September 2025) as the PPM cost offset is no longer applied. For details see May 2025 operating cost and debt allowances decision.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Ben Carlile</author>
    <author>Jonathan Sweeney</author>
  </authors>
  <commentList>
    <comment ref="C12" authorId="0" shapeId="0" xr:uid="{00000000-0006-0000-0600-000001000000}">
      <text>
        <r>
          <rPr>
            <sz val="9"/>
            <color indexed="81"/>
            <rFont val="Tahoma"/>
            <family val="2"/>
          </rPr>
          <t>https://www.smartenergygb.org/about-us/essential-documents</t>
        </r>
      </text>
    </comment>
    <comment ref="AA12" authorId="1" shapeId="0" xr:uid="{6A5FFFF4-0BA3-42EE-BAE5-AF642F4172F9}">
      <text>
        <r>
          <rPr>
            <b/>
            <sz val="9"/>
            <color indexed="81"/>
            <rFont val="Tahoma"/>
            <family val="2"/>
          </rPr>
          <t>2025 Budget format has changed,  Marketing and Policy &amp; communication has been combined to 'capital costs'</t>
        </r>
      </text>
    </comment>
    <comment ref="C15" authorId="0" shapeId="0" xr:uid="{00000000-0006-0000-0600-000002000000}">
      <text>
        <r>
          <rPr>
            <sz val="9"/>
            <color indexed="81"/>
            <rFont val="Tahoma"/>
            <family val="2"/>
          </rPr>
          <t xml:space="preserve">From cap 14b, we no longer round numbers to the nearest thousand.
Electricity:
https://www.gov.uk/government/statistical-data-sets/regional-and-local-authority-electricity-consumption-statistics
Gas:
https://www.gov.uk/government/statistical-data-sets/gas-sales-and-numbers-of-customers-by-region-and-local-authority
</t>
        </r>
      </text>
    </comment>
    <comment ref="K16" authorId="2" shapeId="0" xr:uid="{00000000-0006-0000-0600-000003000000}">
      <text>
        <r>
          <rPr>
            <sz val="9"/>
            <color indexed="81"/>
            <rFont val="Tahoma"/>
            <family val="2"/>
          </rPr>
          <t>Error in the Total Residential Live on supply Gas Meters pre-cap period 2 has been corrected from 23,723,000 to 23,714,000.</t>
        </r>
      </text>
    </comment>
    <comment ref="C17" authorId="0" shapeId="0" xr:uid="{00000000-0006-0000-0600-000004000000}">
      <text>
        <r>
          <rPr>
            <sz val="9"/>
            <color indexed="81"/>
            <rFont val="Tahoma"/>
            <family val="2"/>
          </rPr>
          <t>https://www.ofgem.gov.uk/data-portal/electricity-supply-market-shares-company-domestic-gb
Metering points of the nominated suppliers calculated using latest DESNZ volumes and latest Ofgem domestic market share data
Ofgem domestic market share data is assumed to lag by two quarters, so default tariff cap period April 2017 is based on Ofgem market share from Q4 2016.
Nominated supplier market share is assumed to be 100% - small supplier market share</t>
        </r>
      </text>
    </comment>
    <comment ref="C18" authorId="0" shapeId="0" xr:uid="{00000000-0006-0000-0600-000005000000}">
      <text>
        <r>
          <rPr>
            <sz val="9"/>
            <color indexed="81"/>
            <rFont val="Tahoma"/>
            <family val="2"/>
          </rPr>
          <t>https://www.ofgem.gov.uk/data-portal/gas-supply-market-shares-company-domestic-gb
Metering points of the nominated suppliers calculated using latest DESNZ volumes and latest Ofgem domestic market share data
Ofgem domestic market share data is assumed to lag by two quarters, so default tariff cap period April 2017 is based on Ofgem market share from Q4 2016.
Nominated supplier market share is assumed to be 100% - small supplier market share</t>
        </r>
      </text>
    </comment>
    <comment ref="AC18" authorId="1" shapeId="0" xr:uid="{5041418F-B32C-4FC9-90C1-2530F745F3E4}">
      <text>
        <r>
          <rPr>
            <b/>
            <sz val="9"/>
            <color indexed="81"/>
            <rFont val="Tahoma"/>
            <family val="2"/>
          </rPr>
          <t>This has been updated as of August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Jonathan Sweeney</author>
    <author>Ben Carlile</author>
    <author>Joe De Vries Robbe</author>
  </authors>
  <commentList>
    <comment ref="C12" authorId="0" shapeId="0" xr:uid="{00000000-0006-0000-0700-000001000000}">
      <text>
        <r>
          <rPr>
            <sz val="9"/>
            <color indexed="81"/>
            <rFont val="Tahoma"/>
            <family val="2"/>
          </rPr>
          <t>From cap 14b, we no longer round numbers to the nearest thousand.
Electricity:  
https://www.gov.uk/government/statistical-data-sets/regional-and-local-authority-electricity-consumption-statistics
Gas:
https://www.gov.uk/government/statistical-data-sets/gas-sales-and-numbers-of-customers-by-region-and-local-authority</t>
        </r>
      </text>
    </comment>
    <comment ref="K13" authorId="1" shapeId="0" xr:uid="{00000000-0006-0000-0700-000002000000}">
      <text>
        <r>
          <rPr>
            <sz val="9"/>
            <color indexed="81"/>
            <rFont val="Tahoma"/>
            <family val="2"/>
          </rPr>
          <t>Error in the Total Residential Live on supply Gas Meters pre-cap period 2 has been corrected from 23,723,000 to 23,714,000.</t>
        </r>
      </text>
    </comment>
    <comment ref="C14" authorId="0" shapeId="0" xr:uid="{00000000-0006-0000-0700-000003000000}">
      <text>
        <r>
          <rPr>
            <sz val="9"/>
            <color indexed="81"/>
            <rFont val="Tahoma"/>
            <family val="2"/>
          </rPr>
          <t xml:space="preserve">We assume a linear rollout from the first to the last day of a cap period, and therefore charge for the number of enrolled SMETS2 meters at the mid-point. E.g. for Jan-March 2019, we would calculate the number of SMETS2 meters communicating at the end of 2019, and then infer the number of meters communicating 1.5 months into the year. </t>
        </r>
      </text>
    </comment>
    <comment ref="O14" authorId="1" shapeId="0" xr:uid="{00000000-0006-0000-0700-000004000000}">
      <text>
        <r>
          <rPr>
            <b/>
            <sz val="9"/>
            <color indexed="81"/>
            <rFont val="Tahoma"/>
            <family val="2"/>
          </rPr>
          <t xml:space="preserve">Author:
</t>
        </r>
        <r>
          <rPr>
            <sz val="9"/>
            <color indexed="81"/>
            <rFont val="Tahoma"/>
            <family val="2"/>
          </rPr>
          <t xml:space="preserve">
The model source for this input has changed from cap period 5 onwards. As set out in our decision to 'changes to Annex 5 - methodology for determining the SMNCC' consultation, we have decided to align our source with the non-pass-through model that is in place for that given period. This includes aligning this source with the decision from any future reveiws of the non-passthrough model</t>
        </r>
      </text>
    </comment>
    <comment ref="O15" authorId="1" shapeId="0" xr:uid="{00000000-0006-0000-0700-000005000000}">
      <text>
        <r>
          <rPr>
            <b/>
            <sz val="9"/>
            <color indexed="81"/>
            <rFont val="Tahoma"/>
            <family val="2"/>
          </rPr>
          <t>Author:</t>
        </r>
        <r>
          <rPr>
            <sz val="9"/>
            <color indexed="81"/>
            <rFont val="Tahoma"/>
            <family val="2"/>
          </rPr>
          <t xml:space="preserve">
The model source for this input has changed from cap period 5 onwards. As set out in our decision to 'changes to Annex 5 - methodology for determining the SMNCC' consultation, we have decided to align our source with the non-pass-through model that is in place for that given period. This includes aligning this source with the decision from any future reveiws of the non-passthrough model.</t>
        </r>
      </text>
    </comment>
    <comment ref="C16" authorId="0" shapeId="0" xr:uid="{00000000-0006-0000-0700-000006000000}">
      <text>
        <r>
          <rPr>
            <sz val="9"/>
            <color indexed="81"/>
            <rFont val="Tahoma"/>
            <family val="2"/>
          </rPr>
          <t xml:space="preserve">As found at: 
https://www.smartdcc.co.uk/about-dcc/governance-regulations/charges/
References to "Draft Charging Statements" refer to the Draft Charging Statements  which are published in December.
</t>
        </r>
      </text>
    </comment>
    <comment ref="AA24" authorId="2" shapeId="0" xr:uid="{1ED6209C-A696-42A6-8CDA-97988F916FE2}">
      <text>
        <r>
          <rPr>
            <b/>
            <sz val="9"/>
            <color indexed="81"/>
            <rFont val="Tahoma"/>
            <family val="2"/>
          </rPr>
          <t xml:space="preserve">Incorporates change from separate SBCH and DBCH charges to unitary charges as set out in  MP275 modification.
</t>
        </r>
        <r>
          <rPr>
            <sz val="9"/>
            <color indexed="81"/>
            <rFont val="Tahoma"/>
            <family val="2"/>
          </rPr>
          <t>See new drafting statement: (https://www.smartdcc.co.uk/media/krmfctlx/charging-statement-ry2526-issue-02-draft-mp275.pdf)</t>
        </r>
      </text>
    </comment>
    <comment ref="AE28" authorId="3" shapeId="0" xr:uid="{679C306E-E57B-4783-A6BF-A8BFEBFDBF47}">
      <text>
        <r>
          <rPr>
            <sz val="9"/>
            <color indexed="81"/>
            <rFont val="Tahoma"/>
            <family val="2"/>
          </rPr>
          <t xml:space="preserve">The estimated explicit charges revenue value is sourced from page 22 of the indicative charging statement (https://www.smartdcc.co.uk/media/ducjgd4e/indicative-charging-statement-ry2627-issue-40.pdf). It excludes the impact of MP308 
</t>
        </r>
      </text>
    </comment>
    <comment ref="M52" authorId="1" shapeId="0" xr:uid="{00000000-0006-0000-0700-000007000000}">
      <text>
        <r>
          <rPr>
            <sz val="9"/>
            <color indexed="81"/>
            <rFont val="Tahoma"/>
            <family val="2"/>
          </rPr>
          <t xml:space="preserve">Updated to amend error. The total DCC costs now includes the total dual band communications hub costs.For electricity, we have added to the sum the relevant cell in row 48 (‘Total DB Comms Hub Costs – Electricity’). For gas, we have done the same in relation to row 49 (‘Total DB Comms Hub Costs – Gas’).
</t>
        </r>
      </text>
    </comment>
    <comment ref="M53" authorId="1" shapeId="0" xr:uid="{00000000-0006-0000-0700-000008000000}">
      <text>
        <r>
          <rPr>
            <sz val="9"/>
            <color indexed="81"/>
            <rFont val="Tahoma"/>
            <family val="2"/>
          </rPr>
          <t xml:space="preserve">Updated to amend error. The total DCC costs now includes the total dual band communications hub costs.For electricity, we have added to the sum the relevant cell in row 48 (‘Total DB Comms Hub Costs – Electricity’). For gas, we have done the same in relation to row 49 (‘Total DB Comms Hub Costs – Gas’).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Gilda Romano</author>
  </authors>
  <commentList>
    <comment ref="C12" authorId="0" shapeId="0" xr:uid="{B8417A12-C4BD-4F56-89E2-8E785FAB5B40}">
      <text>
        <r>
          <rPr>
            <sz val="9"/>
            <color indexed="81"/>
            <rFont val="Tahoma"/>
            <family val="2"/>
          </rPr>
          <t>For data sources, see individual input cells.
For February Annex 5 updates, the inputs will be based on the draft budget (if available) where the final budget / charging statement is not yet available.</t>
        </r>
      </text>
    </comment>
    <comment ref="D12" authorId="0" shapeId="0" xr:uid="{8AC968B5-148C-4BF5-8A78-09C5CD6167A3}">
      <text>
        <r>
          <rPr>
            <sz val="9"/>
            <color indexed="81"/>
            <rFont val="Tahoma"/>
            <family val="2"/>
          </rPr>
          <t xml:space="preserve">The unit "Registrable Measurement Point" (RMP) used in RECCo's budget is equivalent to "Metering Point"
</t>
        </r>
      </text>
    </comment>
    <comment ref="AB12" authorId="0" shapeId="0" xr:uid="{F853C842-49C9-4E2B-8945-F1C2D925DF16}">
      <text>
        <r>
          <rPr>
            <sz val="9"/>
            <color indexed="81"/>
            <rFont val="Tahoma"/>
            <family val="2"/>
          </rPr>
          <t>Inputs source: Charging Statement 1 April 2025 (v4)
https://recportal.co.uk/category-3-documents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Gilda Romano</author>
    <author>Ben Carlile</author>
  </authors>
  <commentList>
    <comment ref="C12" authorId="0" shapeId="0" xr:uid="{686E4214-ECCA-413A-B10C-528637BBDFBE}">
      <text>
        <r>
          <rPr>
            <sz val="9"/>
            <color indexed="81"/>
            <rFont val="Tahoma"/>
            <family val="2"/>
          </rPr>
          <t>https://www.elexon.com/governance/reports-and-finances/business-plan/
For February Annex 5 updates, the inputs will be based on the draft business plan (if available) where the final business plan is not yet available.</t>
        </r>
      </text>
    </comment>
    <comment ref="AC12" authorId="1" shapeId="0" xr:uid="{ECB7ABA3-39BA-4336-8C75-2410895CD023}">
      <text>
        <r>
          <rPr>
            <sz val="9"/>
            <color indexed="81"/>
            <rFont val="Tahoma"/>
            <family val="2"/>
          </rPr>
          <t>amended budget published by elexon:
https://www.elexon.co.uk/2025/06/19/elexon-business-plan-2025-26-amendment/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Gilda Romano</author>
  </authors>
  <commentList>
    <comment ref="C12" authorId="0" shapeId="0" xr:uid="{12F4B614-0FD5-4FD5-B76C-D550D37F011E}">
      <text>
        <r>
          <rPr>
            <sz val="9"/>
            <color indexed="81"/>
            <rFont val="Tahoma"/>
            <family val="2"/>
          </rPr>
          <t>https://www.gasgovernance.co.uk/DSC-Documents
Archive annual charging statements are under "CDSP Archive".</t>
        </r>
      </text>
    </comment>
    <comment ref="C13" authorId="0" shapeId="0" xr:uid="{33A0D163-5A23-4E25-AFD7-4CB09E5AA37A}">
      <text>
        <r>
          <rPr>
            <sz val="9"/>
            <color indexed="81"/>
            <rFont val="Tahoma"/>
            <family val="2"/>
          </rPr>
          <t>https://www.gov.uk/government/statistical-data-sets/gas-sales-and-numbers-of-customers-by-region-and-local-authority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Gilda Romano</author>
  </authors>
  <commentList>
    <comment ref="C12" authorId="0" shapeId="0" xr:uid="{7FCAAC3E-7974-416F-9C03-5E339204CAC6}">
      <text>
        <r>
          <rPr>
            <sz val="9"/>
            <color indexed="81"/>
            <rFont val="Tahoma"/>
            <family val="2"/>
          </rPr>
          <t>https://www.dcusa.co.uk/guidance-documents/annual-reports-and-accounts
For February Annex 5 updates, the inputs will be based on the draft business plan (if available) where the final business plan is not yet available.</t>
        </r>
      </text>
    </comment>
    <comment ref="C13" authorId="0" shapeId="0" xr:uid="{253E10BE-5B68-4FE9-991C-946CD76BC914}">
      <text>
        <r>
          <rPr>
            <sz val="9"/>
            <color indexed="81"/>
            <rFont val="Tahoma"/>
            <family val="2"/>
          </rPr>
          <t>https://www.gov.uk/government/statistics/regional-and-local-authority-electricity-consumption-statistics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Gilda Romano</author>
  </authors>
  <commentList>
    <comment ref="B6" authorId="0" shapeId="0" xr:uid="{2318A3CF-3F5D-4E2C-932C-326C0F51811E}">
      <text>
        <r>
          <rPr>
            <sz val="9"/>
            <color indexed="81"/>
            <rFont val="Tahoma"/>
            <family val="2"/>
          </rPr>
          <t>The values in this tab are not updated, they are updated in the default tariff cap model</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Gilda Romano</author>
    <author>Author</author>
    <author>Jonathan Sweeney</author>
  </authors>
  <commentList>
    <comment ref="B2" authorId="0" shapeId="0" xr:uid="{2A697630-B232-4726-B1B4-921EB9455BE9}">
      <text>
        <r>
          <rPr>
            <b/>
            <sz val="10"/>
            <color indexed="81"/>
            <rFont val="Tahoma"/>
            <family val="2"/>
          </rPr>
          <t>This tab calculates SMICoP costs for cap periods 1 to 14a. The tab is no longer in use from cap period 14b (July 2025 - September 2025) as SMICoP (superseded by CoMCoP) costs are included under the RECCo cost allowance. See May 2025 operating cost and debt allowances decision.</t>
        </r>
      </text>
    </comment>
    <comment ref="C12" authorId="1" shapeId="0" xr:uid="{00000000-0006-0000-0800-000001000000}">
      <text>
        <r>
          <rPr>
            <sz val="9"/>
            <color indexed="81"/>
            <rFont val="Tahoma"/>
            <family val="2"/>
          </rPr>
          <t>We use a modelling assumption from SMICoP which assumes total annual charges of £250,000. The historic annual charges for SMICOP Limited are available at Companies House:
https://beta.companieshouse.gov.uk/company/09136180/filing-history</t>
        </r>
      </text>
    </comment>
    <comment ref="C13" authorId="1" shapeId="0" xr:uid="{00000000-0006-0000-0800-000002000000}">
      <text>
        <r>
          <rPr>
            <sz val="9"/>
            <color indexed="81"/>
            <rFont val="Tahoma"/>
            <family val="2"/>
          </rPr>
          <t>BEIS meter numbers are rounded to the nearest thousand.
https://www.gov.uk/government/statistical-data-sets/regional-and-local-authority-electricity-consumption-statistics</t>
        </r>
      </text>
    </comment>
    <comment ref="C14" authorId="1" shapeId="0" xr:uid="{00000000-0006-0000-0800-000003000000}">
      <text>
        <r>
          <rPr>
            <sz val="9"/>
            <color indexed="81"/>
            <rFont val="Tahoma"/>
            <family val="2"/>
          </rPr>
          <t>BEIS meter numbers are rounded to the nearest thousand.
https://www.gov.uk/government/statistical-data-sets/gas-sales-and-numbers-of-customers-by-region-and-local-authority</t>
        </r>
      </text>
    </comment>
    <comment ref="K14" authorId="2" shapeId="0" xr:uid="{00000000-0006-0000-0800-000004000000}">
      <text>
        <r>
          <rPr>
            <sz val="9"/>
            <color indexed="81"/>
            <rFont val="Tahoma"/>
            <family val="2"/>
          </rPr>
          <t>Error in the Total Residential Live on supply Gas Meters pre-cap period 2 has been corrected from 23,723,000 to 23,714,000.</t>
        </r>
      </text>
    </comment>
  </commentList>
</comments>
</file>

<file path=xl/sharedStrings.xml><?xml version="1.0" encoding="utf-8"?>
<sst xmlns="http://schemas.openxmlformats.org/spreadsheetml/2006/main" count="2824" uniqueCount="762">
  <si>
    <t xml:space="preserve"> </t>
  </si>
  <si>
    <t>Annex 5 - Smart metering net cost change and industry charge allowance methodology</t>
  </si>
  <si>
    <t>Version Control</t>
  </si>
  <si>
    <t>Date Published</t>
  </si>
  <si>
    <t>Changes</t>
  </si>
  <si>
    <t>v1.1</t>
  </si>
  <si>
    <t>Published for statutory consultation</t>
  </si>
  <si>
    <t>v1.2</t>
  </si>
  <si>
    <t>-Input values for pass-through costs added for first cap period
-Non-pass through component of SMNCC for 2018 and 2019 replaced with revised value
-Scaling factor updated to reflect revised nil consumption benchmark
-SEGB Market share for nominated supplier broken out into market share input values (row 17 and 18) and BEIS derived total residential live on supply input values (row 15 and 16) and calculated value of Nominated supplier live on supply (row 20 to 21)
- DCC inputs updated to reflect the most recent published DCC charging statement.
- SEGB, DCC and SMICOP tabs updated with direct links to BEIS metering point statistics:
  Electricity: https://www.gov.uk/government/statistical-data-sets/regional-and-local-authority-electricity-consumption-statistics
  Gas: https://www.gov.uk/government/statistical-data-sets/gas-sales-and-numbers-of-customers-by-region-and-local-authority</t>
  </si>
  <si>
    <t xml:space="preserve">v1.3 </t>
  </si>
  <si>
    <t xml:space="preserve">
- Inputs updated for second cap period
- Error in the Total Residential Live on supply Gas Meters for historical periods has been amended
</t>
  </si>
  <si>
    <t>v1.4</t>
  </si>
  <si>
    <t>-Inputs updated for price cap period 01 Oct 2019 to 31 Mar 2020
-We have inserted values in cells J7 and J8 of sheet ‘2a Non pass-through costs’. As set out in our June consultation and in our third cap period decision document, we have decided to use our current non-pass-through model to set the non-pass-through cost.
-Tab '2c DCC' row 52 and 53 have been updated to amend an error. The total DCC costs did not include the total dual band communications hub costs. This applied to both gas and electricity. We have addressed this by editing the formulas for ‘Total Explicit Costs’. When correcting this error, we have only edited the values for the upcoming cap periods (ie the third cap period and onwards), which are in columns M to U. We have not edited the formulas for past cap periods, so that the model continues to reflect the actual levels in previous cap periods. For electricity, we have added to the sum the relevant cell in row 48 (‘Total DB Comms Hub Costs – Electricity’). For gas, we have done the same in relation to row 49 (‘Total DB Comms Hub Costs – Gas’).</t>
  </si>
  <si>
    <t>v1.5</t>
  </si>
  <si>
    <t>-Inputs updated for price cap period 01 Apr 2020 to 30 Sep 2020
-We have inserted values in cells L7 and L8 of sheet ‘2a Non pass-through costs’. As set out in our October consultation and in our update letter (reviewing smart metering costs in the default tariff cap), we have decided to use our current non-pass-through model to set the non-pass-through cost.</t>
  </si>
  <si>
    <t>v1.6</t>
  </si>
  <si>
    <t>- Added column for payment method and rows for prepayment to '1a SMNCC Values' and '2 Inputs and calculations'
- The Formula added in for Prepayment method rows in'1a SMNCC' were amended to allow for zero values to be pulled through from input tabs.
- Source text changed in tab '2c DCC' Cell C14 and C15 to "The assumptions in the model in place during the cap period".
- Published with decision on "Protecting energy consumers with prepayment meters" and "Minor changes to 'Annex 5 - Methodology for determining the Smart Metering Net Cost Change'"</t>
  </si>
  <si>
    <t>v1.7</t>
  </si>
  <si>
    <t xml:space="preserve">- Added column for payment method and rows for prepayment to '1a SMNCC Values' and '2 Inputs and calculations'
'- The Formula added in for Prepayment method rows in'1a SMNCC' were amended to allow for zero values to be pulled through from input tabs.
- The Formula added in for Prepayment method rows in'1a SMNCC' were amended to allow for zero values to be pulled through from input tabs.
- Source text changed in tab '2c DCC' Cell C14 and C15 to "The assumptions in the model in place during the cap period".
'-Inputs updated for price cap period 01 Oct 2020 to 01 Mar 2021
'-We have inserted values in cells M7:S7, M8:S8,M9:N9&amp; M10:N10 of sheet ‘2a Non pass-through costs’. The decision for these values are set out in our decision document for 'Reviewing smat metering costs in the default tariff cap' and 'Decision for protecting energy consumers with prepayment meters' which were published 5 August 2020.  
'- We have inserted values in cells O14 and O15 of sheet '2c DCC'. The decision for these values are set out in 'Changes to Annex 5-Methodology for determining the Smart Metering Net Cost Change'. We have decided to align our source with the decision made in the 'Reviewing smart metering costs' consultation, this decision paper was also published on 5 August 2020. </t>
  </si>
  <si>
    <t>v1.8</t>
  </si>
  <si>
    <t>-Inputs updated for price cap period 01 Apr 2021 to 30 Sep 2021</t>
  </si>
  <si>
    <t>v1.9 (draft)</t>
  </si>
  <si>
    <t>- This version of the model was published alongside our consultation on updating the PPM SMNCC allowance on 29  April 2021</t>
  </si>
  <si>
    <t>v1.91</t>
  </si>
  <si>
    <t>- This version of the model was published alongside our decision on updating the credit and PPM SMNCC allowance on 5 August 2021</t>
  </si>
  <si>
    <t>v1.10</t>
  </si>
  <si>
    <t>- Nil consumption scalar removed for PPM non-pass through costs.
- Tab '2g PPM cost offset' added.
- We have inserted values in cells O7:S10 of sheet ‘2a Non pass-through costs’. The decision for these values are set out in our decision document for updating the credit and PPM SMNCC allowance which were both published 5 August 2021.    
- Inputs updated for price cap period 01 Oct 2021 to 01 Mar 2022</t>
  </si>
  <si>
    <t>v1.11</t>
  </si>
  <si>
    <t>- Inserted values in cells P7:S10 of sheet ‘2a Non pass-through costs’. The decision for these values are set out in our decision document for updating the credit and PPM SMNCC allowance which were both published 4 February 2022.    
- Inputs updated for price cap period 01 Apr 2022 to 30 Sep 2022</t>
  </si>
  <si>
    <t>v1.12</t>
  </si>
  <si>
    <t>- Inserted values in cells Q7:S10 of sheet ‘2a Non pass-through costs’. The decision for these values are set out in our decision document for updating the credit and PPM SMNCC allowance which were published 4 August 2022.    
- Inputs updated for price cap period 01 Oct 2022 to 31 Mar 2023.</t>
  </si>
  <si>
    <t>v1.13</t>
  </si>
  <si>
    <t>- Inputs updated for price cap period 01 Apr 2022 to 30 Sep 2022</t>
  </si>
  <si>
    <t>v1.14</t>
  </si>
  <si>
    <t>Changes made to extend model functionality to 2030:
- Inputs and calculations: Updated tabs ‘2a Non-pass through costs’, ‘2b SEGB’, ‘2c DCC cost’, ‘2d SMICoP cost’, ‘2g PPM additional cost’.
- Output: Updated tab ‘1a SMNCC values’.</t>
  </si>
  <si>
    <t>v1.15</t>
  </si>
  <si>
    <t>- Inserted values in cells S8:V11 of sheet ‘2a Non pass-through costs’. The decision for these values are set out in our  document outlining updated credit and PPM non-pass-through SMNCC allowance which were published 25 August 2023.    
- Pass-through inputs updated for price cap period 01 Oct 2023 to 31 Dec 2023.</t>
  </si>
  <si>
    <t>v1.16</t>
  </si>
  <si>
    <t>- Updated 2b SEGB, 2c DCC, 2d SMICoP and 2e CPIH for cap period April 2024-June 2024 (Period 12a).</t>
  </si>
  <si>
    <t>v1.17</t>
  </si>
  <si>
    <t>- Updated 2a Non pass-through costs, 2b SEGB, 2c DCC, 2d SMICoP and 2e CPIH for cap period April 2024-June 2024 (Period 13a).</t>
  </si>
  <si>
    <t>v1.18</t>
  </si>
  <si>
    <t>- Updated 2a Non pass-through costs, 2b SEGB, 2c DCC, 2d SMICoP and 2e CPIH for cap period April 2025-September 2025 (Period 14a).</t>
  </si>
  <si>
    <t>v1.19</t>
  </si>
  <si>
    <t>Implementation of v1.17.1 published alongside operating cost allowances review statutory consultation available here: https://www.ofgem.gov.uk/consultation/energy-price-cap-operating-cost-and-debt-allowances-consultation
Model updated to reflect decisions from the operating cost and debt allowances review and the updated allowance for cap period July 2025 - September 2025 (Period 14b), as follows:
Inputs and calculations:
- Tab '2a Non pass-through costs' updated description in cell B3 and text in cells D8:D11 to reflect decisions from the operating cost review. Updated allowances for cap period July 2025 - September 2025 (Period 14b).
- Tabs '2b SEGB' and '2c DCC' updated labels and source of metering data in rows 15,16,20,21 in '2b SEGB' tab and rows 12,13 in '2c DCC' to reflect correct DESNZ source. Updated note in cell C15 in '2b SEGB' and C12 in '2c DCC' to signpost that metering numbers are no longer rounded to nearest thousand. Updated tab description in cell B3 in '2d SEGB' and '2c DCC' to reflect operating cost and debt allowances review decision. Updated allowances in both tabs '2b SEGB' and '2c DCC' for cap period July 2025 - September 2025 (Period 14b).
- Updated tab '2f Scaling factor' to add row 8 with industry charge scaling factors for electricity and gas.
- Added new tabs '2h Elexon', '2i Xoserve', '2j RECCo', and '2k DCUSA' to reflect the new industry charge allowances from the operating cost review decision. Updated allowances in every tab for cap period July 2025 - September 2025 (Period 14b).
- Added new tab '2L Demand' with benchmark consumption values used in the calculation of Elexon charge.
- Updated labels in tabs '1 SMNCC values' (row 11 col W onwards), '2a Non pass-through costs' (row 6 col T onwards), '2b SEGB' (row 9 col V onwards) and '2c DCC' (row 9 col V onwards) to display the relevant month every quarter (rather than every six-months).
- Discontinued tabs '2d SMICoP', '2e CPIH', and '2g PPM cost offset' (note added in cell B2 to flag). Added separator tab "Not in use".
- Deleted tabs '3 Forecast' and '3a Forecasted' as not needed.
Outputs:
- Updated tab '1a SMNCC values' from cap period July 2025 - September 2025 (Period 14b) to: discontinue tables "Smart Metering Pass-Through Net Cost Change" and "Applying the PPM additional cost offset" (rows 6-24 and 34-40) (notes added in cells B6 and B34 to flag); add new formula for tables "SMNCC at Benchmark Annual Consumption Level m kWh" (rows 46-49) and "SMNCC at Benchmark Annual Consumption Level nil kWh" (rows 59-60) to reflect operating cost and debt allowances review decision methodology (note added in cells F45 and F59 to flag); updated tab description in cell B3 to remove reference to pass-through SMNCC.
- Added new tab '1b IC values' to calculate the total industry charge cost allowance at benchmark and nil consumption from cap period July 2025 - September 2025 (Period 14b).
- Updated "Notes" sheet to reflect updated model structure.</t>
  </si>
  <si>
    <t>v1.20</t>
  </si>
  <si>
    <t>- Updated 2a Non pass-through costs, 2b SEGB, 2c DCC, 2h Elexon, 2i Xoserve, 2j RECCo and 2k DCUSA for cap period October 2025-March 2026 (Period 15a and Period 15b).</t>
  </si>
  <si>
    <t>v1.21</t>
  </si>
  <si>
    <t>- Updated 2a Non pass-through costs, 2b SEGB, 2c DCC, 2h Elexon, 2i Xoserve, 2j RECCo and 2k DCUSA for cap period April 2026-June 2026 (Period 16a).</t>
  </si>
  <si>
    <t>Description</t>
  </si>
  <si>
    <t>This annex sets out the methodology and sources used to calculate the Smart Metering Net Cost Change and Industry Charge allowance for gas and electricity in each 28AD Charge Restriction Period.</t>
  </si>
  <si>
    <t xml:space="preserve">For industry charges the increment is calculated in £ per customer per year as the sum of the pass-through industry charges for SEGB, DCC, Elexon, Xoserve, RECCo and DCUSA. For the Smart Meter Net Cost Change, the increment is the net cost change as calculated by "the model". </t>
  </si>
  <si>
    <t>&lt;= Denotes an input</t>
  </si>
  <si>
    <t>&lt;= Denotes a calculation or output</t>
  </si>
  <si>
    <t>This sheet gives an overview of the content of each of the tabs.</t>
  </si>
  <si>
    <t>List of Tabs</t>
  </si>
  <si>
    <t>Tab name</t>
  </si>
  <si>
    <t>Tab type</t>
  </si>
  <si>
    <t>Front sheet</t>
  </si>
  <si>
    <t>n/a</t>
  </si>
  <si>
    <t>Title</t>
  </si>
  <si>
    <t>Notes</t>
  </si>
  <si>
    <t>Description of model</t>
  </si>
  <si>
    <t>1 Outputs=&gt;</t>
  </si>
  <si>
    <t>1a SMNCC values</t>
  </si>
  <si>
    <t>Outputs</t>
  </si>
  <si>
    <t>Smart Metering Net Cost Change for gas and electricity</t>
  </si>
  <si>
    <t>1b IC values</t>
  </si>
  <si>
    <t>Industry Charge Allowance for gas and electricity</t>
  </si>
  <si>
    <t>2 Inputs and calculations=&gt;</t>
  </si>
  <si>
    <t>2a Non-pass-through costs</t>
  </si>
  <si>
    <t xml:space="preserve">Inputs and calculations </t>
  </si>
  <si>
    <t>Changes in non-pass-through smart metering costs. This is estimated using the model (see below)</t>
  </si>
  <si>
    <t>2b SEGB</t>
  </si>
  <si>
    <t>Inputs and calculation of SEGB costs in each year</t>
  </si>
  <si>
    <t>2c DCC</t>
  </si>
  <si>
    <t>Inputs and calculation of DCC costs in each charging year</t>
  </si>
  <si>
    <t>2f Scaling factor</t>
  </si>
  <si>
    <t>To scale SMNCC and industry charges at nil consumption</t>
  </si>
  <si>
    <t>2h Elexon</t>
  </si>
  <si>
    <t>Inputs and calculation of Elexon costs in each charging year</t>
  </si>
  <si>
    <t>2i Xoserve</t>
  </si>
  <si>
    <t>Inputs and calculation of Xoserve costs in each charging year</t>
  </si>
  <si>
    <t>2j RECCo</t>
  </si>
  <si>
    <t>Inputs and calculation of RECCo costs in each charging year</t>
  </si>
  <si>
    <t>2k DCUSA</t>
  </si>
  <si>
    <t>Inputs and calculation of DCUSA costs in each charging year</t>
  </si>
  <si>
    <t>2l Demand</t>
  </si>
  <si>
    <t>Benchmark consumption values used in the calculation of the Elexon cost allowance</t>
  </si>
  <si>
    <t>Not in use=&gt;</t>
  </si>
  <si>
    <t>2d SMICoP</t>
  </si>
  <si>
    <t>Discontinued - Inputs and calculation of SMICoP costs in each year</t>
  </si>
  <si>
    <t>2e CPIH</t>
  </si>
  <si>
    <t>Discontinued - CPIH figures used to calculate adjustment to pass-through component included in baseline</t>
  </si>
  <si>
    <t>2g PPM cost offset</t>
  </si>
  <si>
    <t>Discontinued - Input and calculation of the indexed PPM additional costs to offset</t>
  </si>
  <si>
    <t>Notes on non-pass-through modelling</t>
  </si>
  <si>
    <r>
      <t>The current BEIS SMIP Cost Benefit Analysis (CBA) model is used as the starting point. We have then made a number of modifications including removing cost and benefit categories not relevant to suppliers as well as using more recent information from suppliers to accurately reflect the incremental net cost of smart metering on suppliers. As a result, we have created new outputs from the model that specifically calculate the net cost to energy suppliers for the purpose of setting the default tariff cap (hereafter referred to as "</t>
    </r>
    <r>
      <rPr>
        <b/>
        <sz val="10"/>
        <color theme="1"/>
        <rFont val="Verdana"/>
        <family val="2"/>
      </rPr>
      <t>the model</t>
    </r>
    <r>
      <rPr>
        <sz val="10"/>
        <color theme="1"/>
        <rFont val="Verdana"/>
        <family val="2"/>
      </rPr>
      <t>")</t>
    </r>
  </si>
  <si>
    <t>Model context</t>
  </si>
  <si>
    <t>SMNCC Values</t>
  </si>
  <si>
    <t>This tab calculates the output for Smart Metering Net Cost Change (SMNCC).</t>
  </si>
  <si>
    <t>Smart Metering Pass-Through Net Cost Change</t>
  </si>
  <si>
    <t>Fuel</t>
  </si>
  <si>
    <t>Payment method</t>
  </si>
  <si>
    <t>Unit</t>
  </si>
  <si>
    <t>Historical examples</t>
  </si>
  <si>
    <t>Values to be used to update level of default tariff cap</t>
  </si>
  <si>
    <t>These are for historical periods. The values for April-September 2017 are those included in the operating costs allowance, and are the baseline against which the SMNCC is calculated. Other periods are shown for illustration only.</t>
  </si>
  <si>
    <t>These are the values that will be populated to calculate the updated level of the default tariff cap</t>
  </si>
  <si>
    <t>28AD Charge Restriction Period:</t>
  </si>
  <si>
    <t>April 2017 - September 2017</t>
  </si>
  <si>
    <t>October 2017 - March 2018</t>
  </si>
  <si>
    <t>April 2018 - September 2018</t>
  </si>
  <si>
    <t>October 2018 - March 2019</t>
  </si>
  <si>
    <t>January 2019 - March 2019</t>
  </si>
  <si>
    <t>April 2019 - September 2019</t>
  </si>
  <si>
    <t>October 2019 - March 2020</t>
  </si>
  <si>
    <t>April 2020 - September 2020</t>
  </si>
  <si>
    <t>October 2020 - March 2021</t>
  </si>
  <si>
    <t>April 2021 - September 2021</t>
  </si>
  <si>
    <t>October 2021 - March 2022</t>
  </si>
  <si>
    <t>April 2022 - September 2022</t>
  </si>
  <si>
    <t>October 2022 - March 2023</t>
  </si>
  <si>
    <t>April 2023 - September 2023</t>
  </si>
  <si>
    <t>October 2023 - December 2023</t>
  </si>
  <si>
    <t>January 2024 - March 2024</t>
  </si>
  <si>
    <t>April 2024 - June 2024</t>
  </si>
  <si>
    <t>July 2024 - September 2024</t>
  </si>
  <si>
    <t>October 2024 - December 2024</t>
  </si>
  <si>
    <t>January 2025 - March 2025</t>
  </si>
  <si>
    <t>April 2025 - June 2025</t>
  </si>
  <si>
    <t>July 2025 - September 2025</t>
  </si>
  <si>
    <t>October 2025 - December 2025</t>
  </si>
  <si>
    <t>January 2026 - March 2026</t>
  </si>
  <si>
    <t>April 2026 - June 2026</t>
  </si>
  <si>
    <t>July 2026 - September 2026</t>
  </si>
  <si>
    <t>October 2026 - December 2026</t>
  </si>
  <si>
    <t>January 2027 - March 2027</t>
  </si>
  <si>
    <t>April 2027 - June 2027</t>
  </si>
  <si>
    <t>July 2027 - September 2027</t>
  </si>
  <si>
    <t>October 2027 - December 2027</t>
  </si>
  <si>
    <t>January 2028 - March 2028</t>
  </si>
  <si>
    <t>April 2028 - June 2028</t>
  </si>
  <si>
    <t>July 2028 - September 2028</t>
  </si>
  <si>
    <t>October 2028 - December 2028</t>
  </si>
  <si>
    <t>January 2029 - March 2029</t>
  </si>
  <si>
    <t>April 2029 - June 2029</t>
  </si>
  <si>
    <t>July 2029 - September 2029</t>
  </si>
  <si>
    <t>October 2029 - December 2029</t>
  </si>
  <si>
    <t>January 2030 - March 2030</t>
  </si>
  <si>
    <t>April 2030 - June 2030</t>
  </si>
  <si>
    <t>July 2030 - September 2030</t>
  </si>
  <si>
    <t>October 2030 - December 2030</t>
  </si>
  <si>
    <t>Update calculated as of:</t>
  </si>
  <si>
    <t>February 2017</t>
  </si>
  <si>
    <t>August 2017</t>
  </si>
  <si>
    <t>February 2018</t>
  </si>
  <si>
    <t>August 2018</t>
  </si>
  <si>
    <t>November 2018</t>
  </si>
  <si>
    <t>February 2019</t>
  </si>
  <si>
    <t>August 2019</t>
  </si>
  <si>
    <t>February 2020</t>
  </si>
  <si>
    <t>August 2020</t>
  </si>
  <si>
    <t>February 2021</t>
  </si>
  <si>
    <t>August 2021</t>
  </si>
  <si>
    <t>February 2022</t>
  </si>
  <si>
    <t>August 2022</t>
  </si>
  <si>
    <t>February 2023</t>
  </si>
  <si>
    <t>August 2023</t>
  </si>
  <si>
    <t>November 2023</t>
  </si>
  <si>
    <t>February 2024</t>
  </si>
  <si>
    <t>May 2024</t>
  </si>
  <si>
    <t>August 2024</t>
  </si>
  <si>
    <t>November 2024</t>
  </si>
  <si>
    <t>February 2025</t>
  </si>
  <si>
    <t>May 2025</t>
  </si>
  <si>
    <t>August 2025</t>
  </si>
  <si>
    <t>November 2025</t>
  </si>
  <si>
    <t>February 2026</t>
  </si>
  <si>
    <t>May 2026</t>
  </si>
  <si>
    <t>August 2026</t>
  </si>
  <si>
    <t>November 2026</t>
  </si>
  <si>
    <t>February 2027</t>
  </si>
  <si>
    <t>May 2027</t>
  </si>
  <si>
    <t>August 2027</t>
  </si>
  <si>
    <t>November 2027</t>
  </si>
  <si>
    <t>February 2028</t>
  </si>
  <si>
    <t>May 2028</t>
  </si>
  <si>
    <t>August 2028</t>
  </si>
  <si>
    <t>November 2028</t>
  </si>
  <si>
    <t>February 2029</t>
  </si>
  <si>
    <t>May 2029</t>
  </si>
  <si>
    <t>August 2029</t>
  </si>
  <si>
    <t>November 2029</t>
  </si>
  <si>
    <t>February 2030</t>
  </si>
  <si>
    <t>May 2030</t>
  </si>
  <si>
    <t>August 2030</t>
  </si>
  <si>
    <t>Year</t>
  </si>
  <si>
    <t>2017/18</t>
  </si>
  <si>
    <t>2018/19</t>
  </si>
  <si>
    <t>2018/2019</t>
  </si>
  <si>
    <t>2019/2020</t>
  </si>
  <si>
    <t>2020/2021</t>
  </si>
  <si>
    <t>2021/2022</t>
  </si>
  <si>
    <t>2022/2023</t>
  </si>
  <si>
    <t>2023/2024</t>
  </si>
  <si>
    <t>2024/2025</t>
  </si>
  <si>
    <t>2025/2026</t>
  </si>
  <si>
    <t>2026/2027</t>
  </si>
  <si>
    <t>2027/2028</t>
  </si>
  <si>
    <t>2028/2029</t>
  </si>
  <si>
    <t>2029/2030</t>
  </si>
  <si>
    <t>2030/2031</t>
  </si>
  <si>
    <t>Electricity</t>
  </si>
  <si>
    <t>Standard Credit, Other Payment Method and PPM</t>
  </si>
  <si>
    <t>DCC charges</t>
  </si>
  <si>
    <t>£ per meter</t>
  </si>
  <si>
    <t>SEGB charges</t>
  </si>
  <si>
    <t>SMICoP charges</t>
  </si>
  <si>
    <t>Total pass-through charges</t>
  </si>
  <si>
    <t>CPIH compared to baseline</t>
  </si>
  <si>
    <t>Multiplier</t>
  </si>
  <si>
    <t>Net Change in DCC, SEGB &amp; SMICoP charges</t>
  </si>
  <si>
    <t>Gas</t>
  </si>
  <si>
    <t>Costs calculated through the model (see "Notes") - Smart Metering Non-Pass-Through Net Cost Change</t>
  </si>
  <si>
    <t xml:space="preserve">January 2025 - March 2025 </t>
  </si>
  <si>
    <t>Standard Credit and Other Payment Method</t>
  </si>
  <si>
    <t>The model increment</t>
  </si>
  <si>
    <t>PPM</t>
  </si>
  <si>
    <t>Applying the PPM additional cost offset - Net PPM Smart Metering Non-Pass-Through Net Cost Change</t>
  </si>
  <si>
    <t>Indexed PPM additional costs to offset. Please see '2g PPM cost offset' for more information.</t>
  </si>
  <si>
    <t>Net non-pass-through PPM SMNCC</t>
  </si>
  <si>
    <t>SMNCC at Benchmark Annual Consumption Level m kWh (typical consumption)</t>
  </si>
  <si>
    <t>SMNCC at Benchmark Annual Consumption Level m kWh</t>
  </si>
  <si>
    <t>SMNCC at Benchmark Annual Consumption Level nil kWh</t>
  </si>
  <si>
    <t>Scaling factor</t>
  </si>
  <si>
    <t>Credit</t>
  </si>
  <si>
    <t>In line with historical pricing at nil consumption - see Appendix 1 of the November 2018 default tariff price cap decision.</t>
  </si>
  <si>
    <t>In line with the April 2021 statutory consultation position, applying nil consumption scalar to pass through costs only.</t>
  </si>
  <si>
    <t>£ per customer</t>
  </si>
  <si>
    <t>Industry Charges Values</t>
  </si>
  <si>
    <t>This tab calculates the total Industry Charge allowance. This is calculated as a sum of the individual pass-through industry charges: Elexon, Xoserve, RECCo, DCUSA, and the smart metering charges DCC and SEGB.</t>
  </si>
  <si>
    <t>Industry Charge Allowance</t>
  </si>
  <si>
    <t>Electricity - Single-Rate Metering Arrangement</t>
  </si>
  <si>
    <t>Elexon</t>
  </si>
  <si>
    <t>RECCo</t>
  </si>
  <si>
    <t>DCUSA</t>
  </si>
  <si>
    <t>Electricity - Multi-Registered Metering Arrangement</t>
  </si>
  <si>
    <t>Xoserve</t>
  </si>
  <si>
    <t>Industry Charges Allowance at Benchmark Annual Consumption Level m kWh (typical consumption)</t>
  </si>
  <si>
    <t>Industry Charges at Benchmark Annual Consumption Level m kWh</t>
  </si>
  <si>
    <t>Industry Charges Allowance at Benchmark Annual Consumption Level nil kWh</t>
  </si>
  <si>
    <t>Allocation of operating costs at nil consumption under 2019 methodology - see Appendix 4 of May 2025 operating cost and debt allowances review decision.</t>
  </si>
  <si>
    <t>Industry Charges at Benchmark Annual Consumption Level nil kWh</t>
  </si>
  <si>
    <t>Non-pass-through costs</t>
  </si>
  <si>
    <t>This tab shows our estimate of changes in non-pass-through smart costs. It is estimated using the model.</t>
  </si>
  <si>
    <t xml:space="preserve">This estimate is derived using the model, according to the methodology described in Smart Metering Costs Appendix of our August consultation.
We propose to include a separate smart metering increment, the SMNCC, which enables us, when initially setting and subsequently updating the cap, to vary smart metering costs in a different manner to the other elements of the cap. The increment focusses only on supplier costs, therefore it does not account for network benefits or direct customer benefits (through energy savings).
Given the uncertainty on smart metering costs and roll out profile, we propose to set the non-pass-through element of the SMNCC for the first two periods of the default tariff cap up to the end of September 2019.
In 2019 and 2020, we decided to carry out a review of smart metering costs and roll out profile in order to set the SMNCC for future cap periods.
Further details on the calculation of the non-pass-through SMNCC can be found in the smart metering costs appendix. In addition further details on our review of smart metering costs can be found in our published consultation documents. 
From July 2025 onwards, we decided update the baseline used to calculate the non pass-through SMNCC allowance. More detail can be found in our May 2025 operating cost and debt allowances review decision. 
</t>
  </si>
  <si>
    <t>SEGB Costs</t>
  </si>
  <si>
    <t>This tab calculates the SEGB component of the industry charge pass-through cost allowance.</t>
  </si>
  <si>
    <t>Source</t>
  </si>
  <si>
    <t>These are for historical periods, for illustration only. The values for April-September 2017 are used to calculate the baseline level of the cap</t>
  </si>
  <si>
    <t>28AD Charge Restriction Period</t>
  </si>
  <si>
    <t>Inputs</t>
  </si>
  <si>
    <t>Marketing</t>
  </si>
  <si>
    <t>SEGB Budget</t>
  </si>
  <si>
    <t>£</t>
  </si>
  <si>
    <t>Policy &amp; communication</t>
  </si>
  <si>
    <t>Finance &amp; operations total</t>
  </si>
  <si>
    <t>Number of electricity meters: Domestic</t>
  </si>
  <si>
    <t>DESNZ</t>
  </si>
  <si>
    <t># meters</t>
  </si>
  <si>
    <t>Number of gas meters: Domestic</t>
  </si>
  <si>
    <t>Market share of nominated suppliers (Electricity)</t>
  </si>
  <si>
    <t>Ofgem</t>
  </si>
  <si>
    <t>%</t>
  </si>
  <si>
    <t>Market share of nominated suppliers (Gas)</t>
  </si>
  <si>
    <t>Calculations</t>
  </si>
  <si>
    <t>Nominated Supplier' Domestic Meters (Electricity)</t>
  </si>
  <si>
    <t>Nominated Supplier' Domestic Meters (Gas)</t>
  </si>
  <si>
    <t>Capital Costs</t>
  </si>
  <si>
    <t>Fixed Costs</t>
  </si>
  <si>
    <t>Electricity %</t>
  </si>
  <si>
    <t>Gas %</t>
  </si>
  <si>
    <t>Electricity Capital Costs per meter (nominated only)</t>
  </si>
  <si>
    <t>Electricity Fixed Costs per meter (all suppliers)</t>
  </si>
  <si>
    <t>Gas Capital Costs per meter (nominated only)</t>
  </si>
  <si>
    <t>Gas Fixed Costs Per meter (all suppliers)</t>
  </si>
  <si>
    <t>Total Electricity</t>
  </si>
  <si>
    <t>Total Gas</t>
  </si>
  <si>
    <t>Total</t>
  </si>
  <si>
    <t>Electricity per meter</t>
  </si>
  <si>
    <t>Gas per meter</t>
  </si>
  <si>
    <t>Output</t>
  </si>
  <si>
    <t>SEGB increment for given 28AD Charge Restriction Period</t>
  </si>
  <si>
    <t>Notes:</t>
  </si>
  <si>
    <t>1. Whilst the cap is refreshed every six months, projecting the next four quarters of cost aligned to the financial year, SEGB work to the calendar year. The approach to align the two is for there to be a lag - i.e. use the annual SEGB budgeted costs as published in December for the April refresh for the Default Tariff Cap, and essentially provide an increment for 1 past quarter and 3 future quarters</t>
  </si>
  <si>
    <t>2. 'Capital Costs' are the sum of 'Marketing' and 'Policy and Communication' costs. These are socialised between all 'Nominated Suppliers'</t>
  </si>
  <si>
    <t>3. 'Fixed Costs' constitute 'Finance and Operations', which are socialised between all suppliers</t>
  </si>
  <si>
    <t>4. To account for a single Default Tariff Cap for all suppliers, a different increment for nominated and all other suppliers for SEGB costs is not possible. The cap will be based on the costs for a fully obligated supplier</t>
  </si>
  <si>
    <t>DCC Costs</t>
  </si>
  <si>
    <t>This tab calculates the DCC component of the industry charge pass-through cost allowance.</t>
  </si>
  <si>
    <t>Total SMETS2 Electricity enrolled</t>
  </si>
  <si>
    <t>The assumptions in the model in place during the cap period</t>
  </si>
  <si>
    <t>Total SMETS2 gas enrolled</t>
  </si>
  <si>
    <t>Draft SBCH %age</t>
  </si>
  <si>
    <t>DCC Draft Charging Statement</t>
  </si>
  <si>
    <t>Draft DBCH %age</t>
  </si>
  <si>
    <t/>
  </si>
  <si>
    <t>Final SBCH %age</t>
  </si>
  <si>
    <t>DCC Final Charging Statement</t>
  </si>
  <si>
    <t>Final DBCH %age</t>
  </si>
  <si>
    <t>Draft Fixed Electricity (G1)</t>
  </si>
  <si>
    <t>Draft Fixed Gas (G3)</t>
  </si>
  <si>
    <t>Draft Alt HAN Electricity (G1)</t>
  </si>
  <si>
    <t>Draft Alt HAN Gas (G3)</t>
  </si>
  <si>
    <t>Draft Fixed SBCH Charges Electricity (G1)</t>
  </si>
  <si>
    <t>Draft Fixed SBCH Charges Gas (G3)</t>
  </si>
  <si>
    <t>Draft Fixed DBCH Charges Electricity (G1)</t>
  </si>
  <si>
    <t>Draft Fixed DBCH Charges Gas (G3)</t>
  </si>
  <si>
    <t>Draft Explicit Charges Revenue</t>
  </si>
  <si>
    <t>Final Fixed Electricity (G1)</t>
  </si>
  <si>
    <t>Final Fixed Gas (G3)</t>
  </si>
  <si>
    <t>Final Alt HAN Electricity (G1)</t>
  </si>
  <si>
    <t>Final Alt HAN Gas (G3)</t>
  </si>
  <si>
    <t>Final Fixed SBCH Charges Electricity (G1)</t>
  </si>
  <si>
    <t>Final Fixed SBCH Charges Gas (G3)</t>
  </si>
  <si>
    <t>Final Fixed DBCH Charges Electricity (G1)</t>
  </si>
  <si>
    <t>Final Fixed DBCH Charges Gas (G3)</t>
  </si>
  <si>
    <t>Final Explicit Charges Revenue</t>
  </si>
  <si>
    <t>Constant - number of months in year</t>
  </si>
  <si>
    <t>#</t>
  </si>
  <si>
    <t>Total Fixed Costs - Electricity</t>
  </si>
  <si>
    <t>Total Fixed Costs - Gas</t>
  </si>
  <si>
    <t>Total Alt HAN Costs - Electricity</t>
  </si>
  <si>
    <t>Total Alt HAN Costs - Gas</t>
  </si>
  <si>
    <t>Total SB Comms Hub Costs - Electricity</t>
  </si>
  <si>
    <t>Total SB Comms Hub Costs - Gas</t>
  </si>
  <si>
    <t>Total DB Comms Hub Costs - Electricity</t>
  </si>
  <si>
    <t>Total DB Comms Hub Costs - Gas</t>
  </si>
  <si>
    <t>Total Explicit Costs - Electricity</t>
  </si>
  <si>
    <t>Total Explicit Costs - Gas</t>
  </si>
  <si>
    <t>Total Costs - Electricity</t>
  </si>
  <si>
    <t>Total Costs - Gas</t>
  </si>
  <si>
    <t>Cost per meter - Electricity</t>
  </si>
  <si>
    <t>Cost per meter - gas</t>
  </si>
  <si>
    <t>DCC increment for given 28AD Charge Restriction Period</t>
  </si>
  <si>
    <t>1. The charging statement that will be available to use in the 28AD Charge Restriction Periods starting in April is a draft (published in December) - and therefore may be different to the final charging statement published in the following March</t>
  </si>
  <si>
    <t>2. Fixed costs and Alt HAN costs are calculated as a multiple of total live on supply residential customers</t>
  </si>
  <si>
    <t>3. Comms Hub Costs are based upon number of SMETS2 meters enrolled into the DCC</t>
  </si>
  <si>
    <t>4. Explicit charges are socialised across all suppliers based upon market share</t>
  </si>
  <si>
    <t>To scale at nil consumption.</t>
  </si>
  <si>
    <t>Value</t>
  </si>
  <si>
    <t>Scaling factor - SMNCC</t>
  </si>
  <si>
    <t>Analysis of historical pricing at nil consumption</t>
  </si>
  <si>
    <t>Scaling factor - Industry charges</t>
  </si>
  <si>
    <t>Allocation of operating costs at nil consumption under 2019 methodology</t>
  </si>
  <si>
    <t>RECCo Costs</t>
  </si>
  <si>
    <t>This tab calculates the RECCo component of the industry charge pass-through cost allowance.</t>
  </si>
  <si>
    <t>Energy Suppliers Charge</t>
  </si>
  <si>
    <t>RECCo budget</t>
  </si>
  <si>
    <t>Energy Suppliers Charge - MHHS Project Charge</t>
  </si>
  <si>
    <t>Calculations/Output</t>
  </si>
  <si>
    <t>RECCo cost allowance for given 28AD Charge Restriction Period</t>
  </si>
  <si>
    <t>Elexon Costs</t>
  </si>
  <si>
    <t>This tab calculates the Elexon component of the industry charge pass-through cost allowance.</t>
  </si>
  <si>
    <t>Total Elexon Budget</t>
  </si>
  <si>
    <t>Elexon business plan, Budget Summary table</t>
  </si>
  <si>
    <t>£m</t>
  </si>
  <si>
    <t>MHHS</t>
  </si>
  <si>
    <t>Supply Volumes</t>
  </si>
  <si>
    <t>Elexon business plan, Table 3.3</t>
  </si>
  <si>
    <t>TWh</t>
  </si>
  <si>
    <t>Generation Volumes</t>
  </si>
  <si>
    <t>Unit cost from budget cost shared between suppliers and generators</t>
  </si>
  <si>
    <t>£ per MWh</t>
  </si>
  <si>
    <t>Unit cost from budget cost borne by suppliers</t>
  </si>
  <si>
    <t>Elexon cost allowance for given 28AD Charge Restriction Period - Single-Rate Metering Arrangement</t>
  </si>
  <si>
    <t>Elexon cost allowance for given 28AD Charge Restriction Period - Multi-Registered Metering Arrangement</t>
  </si>
  <si>
    <t>Xoserve Costs</t>
  </si>
  <si>
    <t>This tab calculates the Xoserve component of the industry charge pass-through cost allowance.</t>
  </si>
  <si>
    <t>Total DSC Charges to be invoiced - Shippers</t>
  </si>
  <si>
    <t>CDSP Annual Charging Statement, Table 4</t>
  </si>
  <si>
    <t>£000s</t>
  </si>
  <si>
    <t>Number of gas meters: All meters (domestic and non-domestic)</t>
  </si>
  <si>
    <t>Xoserve cost allowance for given 28AD Charge Restriction Period</t>
  </si>
  <si>
    <t>DCUSA Costs</t>
  </si>
  <si>
    <t>This tab calculates the DCUSA component of the industry charge pass-through cost allowance.</t>
  </si>
  <si>
    <t>Total Amount Recoverable from Suppliers</t>
  </si>
  <si>
    <t>DCUSA Budget, Section 5</t>
  </si>
  <si>
    <t>Number of electricity meters: All meters (domestic and non-domestic)</t>
  </si>
  <si>
    <t>DCUSA cost allowance for given 28AD Charge Restriction Period</t>
  </si>
  <si>
    <t>Demand</t>
  </si>
  <si>
    <t>This tab shows the benchmark consumption values (typical) used in the calculation of the Elexon cost allowance.</t>
  </si>
  <si>
    <t>Typical consumption values</t>
  </si>
  <si>
    <t>Fuel / Benchmark Metering Arrangement</t>
  </si>
  <si>
    <t>Typical consumption, MWh</t>
  </si>
  <si>
    <t>Electricity - Multi-Register Metering Arrangement</t>
  </si>
  <si>
    <t>SMICoP Costs</t>
  </si>
  <si>
    <t>This tab calculates the SMICoP component of the Smart Metering Pass-Through Net Cost Change.</t>
  </si>
  <si>
    <t>SMICoP Total</t>
  </si>
  <si>
    <t>SMICoP derived modelling assumption</t>
  </si>
  <si>
    <t>Total Residential Live on supply Electricity</t>
  </si>
  <si>
    <t>BEIS Website</t>
  </si>
  <si>
    <t>Total Residential Live on supply Gas</t>
  </si>
  <si>
    <t>SMICoP increment for given 28AD Charge Restriction Period</t>
  </si>
  <si>
    <t>CPIH</t>
  </si>
  <si>
    <t>This tab shows the consumer price index (including owner occupiers' housing costs), used to index the operating cost baseline.</t>
  </si>
  <si>
    <t>CPIH in base period (December 2016):</t>
  </si>
  <si>
    <t>Value of index as of:</t>
  </si>
  <si>
    <t>2014 DEC</t>
  </si>
  <si>
    <t>2015 JUN</t>
  </si>
  <si>
    <t>2015 DEC</t>
  </si>
  <si>
    <t>2016 JUN</t>
  </si>
  <si>
    <t>2016 DEC</t>
  </si>
  <si>
    <t>2017 JUN</t>
  </si>
  <si>
    <t>2017 DEC</t>
  </si>
  <si>
    <t>2018 JUN</t>
  </si>
  <si>
    <t>2018 DEC</t>
  </si>
  <si>
    <t>2019 JUN</t>
  </si>
  <si>
    <t>2019 DEC</t>
  </si>
  <si>
    <t>2020 JUN</t>
  </si>
  <si>
    <t>2020 DEC</t>
  </si>
  <si>
    <t>2021 JUN</t>
  </si>
  <si>
    <t>2021 DEC</t>
  </si>
  <si>
    <t>2022 JUN</t>
  </si>
  <si>
    <t>2022 DEC</t>
  </si>
  <si>
    <t>2023 JUN</t>
  </si>
  <si>
    <t>2023 DEC</t>
  </si>
  <si>
    <t>2024 JUN</t>
  </si>
  <si>
    <t>2024 DEC</t>
  </si>
  <si>
    <t>2025 JUN</t>
  </si>
  <si>
    <t>2025 DEC</t>
  </si>
  <si>
    <t>2026 JUN</t>
  </si>
  <si>
    <t>2026 DEC</t>
  </si>
  <si>
    <t>2027 JUN</t>
  </si>
  <si>
    <t>2027 DEC</t>
  </si>
  <si>
    <t>2028 JUN</t>
  </si>
  <si>
    <t>2028 DEC</t>
  </si>
  <si>
    <t>2029 JUN</t>
  </si>
  <si>
    <t>2029 DEC</t>
  </si>
  <si>
    <t>2030 JUN</t>
  </si>
  <si>
    <t>April 2015 – September 2015</t>
  </si>
  <si>
    <t>October 2015- March 2016</t>
  </si>
  <si>
    <t>April 2016-September 2016</t>
  </si>
  <si>
    <t>October 2016-March 2017</t>
  </si>
  <si>
    <t>Updated calculated as of:</t>
  </si>
  <si>
    <t>February 2015</t>
  </si>
  <si>
    <t>August 2015</t>
  </si>
  <si>
    <t>February 2016</t>
  </si>
  <si>
    <t>August 2016</t>
  </si>
  <si>
    <t>July 2021</t>
  </si>
  <si>
    <t>-</t>
  </si>
  <si>
    <t>Input data, from ONS</t>
  </si>
  <si>
    <t>Updated values to be pasted below every six months. Value of CPIH for December used for February updates (ie cap level applying from April) value of CPIH for June used for August updates (ie cap level applying from October)</t>
  </si>
  <si>
    <t>Source:</t>
  </si>
  <si>
    <t>https://www.ons.gov.uk/economy/inflationandpriceindices/timeseries/l522/mm23</t>
  </si>
  <si>
    <t>CPIH INDEX 00: ALL ITEMS 2015=100</t>
  </si>
  <si>
    <t>CDID</t>
  </si>
  <si>
    <t>L522</t>
  </si>
  <si>
    <t>Source dataset ID</t>
  </si>
  <si>
    <t>MM23</t>
  </si>
  <si>
    <t>PreUnit</t>
  </si>
  <si>
    <t>Index, base year = 100</t>
  </si>
  <si>
    <t>Release date</t>
  </si>
  <si>
    <t>22-06-2022</t>
  </si>
  <si>
    <t>Next release</t>
  </si>
  <si>
    <t>Important notes</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</si>
  <si>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</si>
  <si>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</si>
  <si>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</si>
  <si>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</si>
  <si>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</si>
  <si>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</si>
  <si>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</si>
  <si>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</si>
  <si>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</si>
  <si>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</si>
  <si>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</si>
  <si>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</si>
  <si>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</si>
  <si>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</si>
  <si>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</si>
  <si>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</si>
  <si>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</si>
  <si>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</si>
  <si>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</si>
  <si>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</si>
  <si>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</si>
  <si>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</si>
  <si>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</si>
  <si>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</si>
  <si>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</si>
  <si>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</si>
  <si>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</si>
  <si>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</si>
  <si>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</si>
  <si>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</si>
  <si>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</si>
  <si>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</si>
  <si>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</si>
  <si>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</si>
  <si>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</si>
  <si>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</si>
  <si>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</si>
  <si>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</si>
  <si>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</si>
  <si>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</si>
  <si>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</si>
  <si>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</si>
  <si>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</si>
  <si>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</si>
  <si>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</si>
  <si>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</si>
  <si>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</si>
  <si>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</si>
  <si>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</si>
  <si>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</si>
  <si>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</si>
  <si>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</si>
  <si>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</si>
  <si>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</si>
  <si>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</si>
  <si>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</si>
  <si>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</si>
  <si>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</si>
  <si>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</si>
  <si>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</si>
  <si>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</si>
  <si>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</si>
  <si>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</si>
  <si>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</si>
  <si>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</si>
  <si>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</si>
  <si>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</si>
  <si>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</si>
  <si>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</si>
  <si>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</si>
  <si>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</si>
  <si>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</si>
  <si>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</si>
  <si>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</si>
  <si>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</si>
  <si>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</si>
  <si>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</si>
  <si>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</si>
  <si>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</si>
  <si>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</si>
  <si>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</si>
  <si>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</si>
  <si>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</si>
  <si>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</si>
  <si>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</si>
  <si>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</si>
  <si>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</si>
  <si>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</si>
  <si>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</si>
  <si>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</si>
  <si>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</si>
  <si>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</si>
  <si>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</si>
  <si>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</si>
  <si>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</si>
  <si>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</si>
  <si>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</si>
  <si>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</si>
  <si>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</si>
  <si>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</si>
  <si>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</si>
  <si>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</si>
  <si>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</si>
  <si>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</si>
  <si>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</si>
  <si>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</si>
  <si>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</si>
  <si>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</si>
  <si>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</si>
  <si>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</si>
  <si>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</si>
  <si>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</si>
  <si>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</si>
  <si>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</si>
  <si>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</si>
  <si>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</si>
  <si>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</si>
  <si>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</si>
  <si>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</si>
  <si>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</si>
  <si>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</si>
  <si>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</si>
  <si>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</si>
  <si>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</si>
  <si>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</si>
  <si>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</si>
  <si>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</si>
  <si>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</si>
  <si>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</si>
  <si>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</si>
  <si>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</si>
  <si>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</si>
  <si>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</si>
  <si>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</si>
  <si>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</si>
  <si>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</si>
  <si>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</si>
  <si>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</si>
  <si>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</si>
  <si>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</si>
  <si>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</si>
  <si>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</si>
  <si>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</si>
  <si>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</si>
  <si>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</si>
  <si>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</si>
  <si>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</si>
  <si>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</si>
  <si>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</si>
  <si>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</si>
  <si>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</si>
  <si>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</si>
  <si>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</si>
  <si>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</si>
  <si>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</si>
  <si>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</si>
  <si>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</si>
  <si>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</si>
  <si>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</si>
  <si>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</si>
  <si>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</si>
  <si>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</si>
  <si>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</si>
  <si>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</si>
  <si>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</si>
  <si>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</si>
  <si>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</si>
  <si>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</si>
  <si>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</si>
  <si>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</si>
  <si>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</si>
  <si>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</si>
  <si>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</si>
  <si>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</si>
  <si>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</si>
  <si>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</si>
  <si>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</si>
  <si>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</si>
  <si>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</si>
  <si>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</si>
  <si>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</si>
  <si>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</si>
  <si>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</si>
  <si>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</si>
  <si>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</si>
  <si>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</si>
  <si>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</si>
  <si>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</si>
  <si>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2015 JAN</t>
  </si>
  <si>
    <t>2015 FEB</t>
  </si>
  <si>
    <t>2015 MAR</t>
  </si>
  <si>
    <t>2015 APR</t>
  </si>
  <si>
    <t>2015 MAY</t>
  </si>
  <si>
    <t>2015 JUL</t>
  </si>
  <si>
    <t>2015 AUG</t>
  </si>
  <si>
    <t>2015 SEP</t>
  </si>
  <si>
    <t>2015 OCT</t>
  </si>
  <si>
    <t>2015 NOV</t>
  </si>
  <si>
    <t>2016 JAN</t>
  </si>
  <si>
    <t>2016 FEB</t>
  </si>
  <si>
    <t>2016 MAR</t>
  </si>
  <si>
    <t>2016 APR</t>
  </si>
  <si>
    <t>2016 MAY</t>
  </si>
  <si>
    <t>2016 JUL</t>
  </si>
  <si>
    <t>2016 AUG</t>
  </si>
  <si>
    <t>2016 SEP</t>
  </si>
  <si>
    <t>2016 OCT</t>
  </si>
  <si>
    <t>2016 NOV</t>
  </si>
  <si>
    <t>2017 JAN</t>
  </si>
  <si>
    <t>2017 FEB</t>
  </si>
  <si>
    <t>2017 MAR</t>
  </si>
  <si>
    <t>2017 APR</t>
  </si>
  <si>
    <t>2017 MAY</t>
  </si>
  <si>
    <t>2017 JUL</t>
  </si>
  <si>
    <t>2017 AUG</t>
  </si>
  <si>
    <t>2017 SEP</t>
  </si>
  <si>
    <t>2017 OCT</t>
  </si>
  <si>
    <t>2017 NOV</t>
  </si>
  <si>
    <t>2018 JAN</t>
  </si>
  <si>
    <t>2018 FEB</t>
  </si>
  <si>
    <t>2018 MAR</t>
  </si>
  <si>
    <t>2018 APR</t>
  </si>
  <si>
    <t>2018 MAY</t>
  </si>
  <si>
    <t>2018 JUL</t>
  </si>
  <si>
    <t>2018 AUG</t>
  </si>
  <si>
    <t>2018 SEP</t>
  </si>
  <si>
    <t>2018 OCT</t>
  </si>
  <si>
    <t>2018 NOV</t>
  </si>
  <si>
    <t>2019 JAN</t>
  </si>
  <si>
    <t>2019 FEB</t>
  </si>
  <si>
    <t>2019 MAR</t>
  </si>
  <si>
    <t>2019 APR</t>
  </si>
  <si>
    <t>2019 MAY</t>
  </si>
  <si>
    <t>2019 JUL</t>
  </si>
  <si>
    <t>2019 AUG</t>
  </si>
  <si>
    <t>2019 SEP</t>
  </si>
  <si>
    <t>2019 OCT</t>
  </si>
  <si>
    <t>2019 NOV</t>
  </si>
  <si>
    <t>2020 JAN</t>
  </si>
  <si>
    <t>2020 FEB</t>
  </si>
  <si>
    <t>2020 MAR</t>
  </si>
  <si>
    <t>2020 APR</t>
  </si>
  <si>
    <t>2020 MAY</t>
  </si>
  <si>
    <t>2020 JUL</t>
  </si>
  <si>
    <t>2020 AUG</t>
  </si>
  <si>
    <t>2020 SEP</t>
  </si>
  <si>
    <t>2020 OCT</t>
  </si>
  <si>
    <t>2020 NOV</t>
  </si>
  <si>
    <t>2021 JAN</t>
  </si>
  <si>
    <t>2021 FEB</t>
  </si>
  <si>
    <t>2021 MAR</t>
  </si>
  <si>
    <t>2021 APR</t>
  </si>
  <si>
    <t>2021 MAY</t>
  </si>
  <si>
    <t>2021 JUL</t>
  </si>
  <si>
    <t>2021 AUG</t>
  </si>
  <si>
    <t>2021 SEP</t>
  </si>
  <si>
    <t>2021 OCT</t>
  </si>
  <si>
    <t>2021 NOV</t>
  </si>
  <si>
    <t>2022 JAN</t>
  </si>
  <si>
    <t>2022 FEB</t>
  </si>
  <si>
    <t>2022 MAR</t>
  </si>
  <si>
    <t>2022 APR</t>
  </si>
  <si>
    <t>2022 MAY</t>
  </si>
  <si>
    <t>2022 JUL</t>
  </si>
  <si>
    <t>2022 AUG</t>
  </si>
  <si>
    <t>2022 SEP</t>
  </si>
  <si>
    <t>2022 OCT</t>
  </si>
  <si>
    <t>2022 NOV</t>
  </si>
  <si>
    <t>2023 JAN</t>
  </si>
  <si>
    <t>2023 FEB</t>
  </si>
  <si>
    <t>2023 MAR</t>
  </si>
  <si>
    <t>2023 APR</t>
  </si>
  <si>
    <t>2023 MAY</t>
  </si>
  <si>
    <t>2023 JUL</t>
  </si>
  <si>
    <t>2023 AUG</t>
  </si>
  <si>
    <t>2023 SEP</t>
  </si>
  <si>
    <t>2023 OCT</t>
  </si>
  <si>
    <t>2023 NOV</t>
  </si>
  <si>
    <t>2024 JAN</t>
  </si>
  <si>
    <t>2024 FEB</t>
  </si>
  <si>
    <t>2024 MAR</t>
  </si>
  <si>
    <t>2024 APR</t>
  </si>
  <si>
    <t>2024 MAY</t>
  </si>
  <si>
    <t>2024 JUL</t>
  </si>
  <si>
    <t>2024 AUG</t>
  </si>
  <si>
    <t>2024 SEP</t>
  </si>
  <si>
    <t>2024 OCT</t>
  </si>
  <si>
    <t>2024 NOV</t>
  </si>
  <si>
    <t>PPM additional cost offset</t>
  </si>
  <si>
    <t>This tab calculates the indexed value of the PPM additional costs to offset</t>
  </si>
  <si>
    <t>2017 value</t>
  </si>
  <si>
    <t>PPM additional costs to offset</t>
  </si>
  <si>
    <t>Ofgem (2020), Protecting energy consumers with prepayment meters: 
May 2020 consultation, paragraph 4.2, 4.25.
https://www.ofgem.gov.uk/system/files/docs/2020/05/protecting_energy_consumers_with_prepayment_meters_may_2020_consultation.pdf</t>
  </si>
  <si>
    <t>£ (2017 prices)</t>
  </si>
  <si>
    <t>Indexed PPM additional costs to offset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</si>
</sst>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 #,##0_-;_-* &quot;-&quot;??_-;_-@_-"/>
    <numFmt numFmtId="166" formatCode="_-* #,##0.000_-;\-* #,##0.000_-;_-* &quot;-&quot;??_-;_-@_-"/>
    <numFmt numFmtId="167" formatCode="_-* #,##0.0000_-;\-* #,##0.0000_-;_-* &quot;-&quot;??_-;_-@_-"/>
    <numFmt numFmtId="168" formatCode="0.0%"/>
    <numFmt numFmtId="169" formatCode="0.000"/>
    <numFmt numFmtId="170" formatCode="0.0"/>
    <numFmt numFmtId="171" formatCode="_-[$€-2]* #,##0.00_-;\-[$€-2]* #,##0.00_-;_-[$€-2]* &quot;-&quot;??_-"/>
    <numFmt numFmtId="172" formatCode="_(* #,##0_);_(* \(#,##0\);_(* &quot;-&quot;??_);_(@_)"/>
  </numFmts>
  <fonts count="43">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1"/>
      <color theme="1"/>
      <name val="Calibri"/>
      <family val="2"/>
      <scheme val="minor"/>
    </font>
    <font>
      <b/>
      <sz val="11"/>
      <color theme="1"/>
      <name val="Calibri"/>
      <family val="2"/>
      <scheme val="minor"/>
    </font>
    <font>
      <sz val="9"/>
      <color indexed="81"/>
      <name val="Tahoma"/>
      <family val="2"/>
    </font>
    <font>
      <sz val="11"/>
      <color theme="1"/>
      <name val="Calibri"/>
      <family val="2"/>
    </font>
    <font>
      <b/>
      <sz val="10"/>
      <color theme="0"/>
      <name val="Verdana"/>
      <family val="2"/>
    </font>
    <font>
      <b/>
      <sz val="14"/>
      <color theme="1"/>
      <name val="Verdana"/>
      <family val="2"/>
    </font>
    <font>
      <sz val="10"/>
      <name val="Arial"/>
      <family val="2"/>
    </font>
    <font>
      <b/>
      <sz val="10"/>
      <color theme="0"/>
      <name val="Arial"/>
      <family val="2"/>
    </font>
    <font>
      <sz val="9"/>
      <name val="Verdana"/>
      <family val="2"/>
    </font>
    <font>
      <sz val="10"/>
      <name val="Verdana"/>
      <family val="2"/>
    </font>
    <font>
      <b/>
      <sz val="9"/>
      <name val="Verdana"/>
      <family val="2"/>
    </font>
    <font>
      <b/>
      <sz val="10"/>
      <name val="Verdana"/>
      <family val="2"/>
    </font>
    <font>
      <u/>
      <sz val="10"/>
      <color theme="10"/>
      <name val="Verdana"/>
      <family val="2"/>
    </font>
    <font>
      <b/>
      <sz val="10"/>
      <color theme="1"/>
      <name val="Verdana"/>
      <family val="2"/>
    </font>
    <font>
      <sz val="11"/>
      <color theme="1"/>
      <name val="Verdana"/>
      <family val="2"/>
    </font>
    <font>
      <sz val="10"/>
      <color theme="0"/>
      <name val="Verdana"/>
      <family val="2"/>
    </font>
    <font>
      <i/>
      <sz val="10"/>
      <name val="Verdana"/>
      <family val="2"/>
    </font>
    <font>
      <i/>
      <sz val="10"/>
      <color theme="1"/>
      <name val="Verdana"/>
      <family val="2"/>
    </font>
    <font>
      <b/>
      <sz val="12"/>
      <color theme="1"/>
      <name val="Verdana"/>
      <family val="2"/>
    </font>
    <font>
      <sz val="11"/>
      <color rgb="FF3F3F76"/>
      <name val="Calibri"/>
      <family val="2"/>
      <scheme val="minor"/>
    </font>
    <font>
      <i/>
      <sz val="11"/>
      <color rgb="FF7F7F7F"/>
      <name val="Calibri"/>
      <family val="2"/>
      <scheme val="minor"/>
    </font>
    <font>
      <b/>
      <sz val="11"/>
      <color rgb="FFFA7D00"/>
      <name val="Calibri"/>
      <family val="2"/>
      <scheme val="minor"/>
    </font>
    <font>
      <b/>
      <sz val="10"/>
      <name val="Arial"/>
      <family val="2"/>
    </font>
    <font>
      <b/>
      <sz val="9"/>
      <color indexed="81"/>
      <name val="Tahoma"/>
      <family val="2"/>
    </font>
    <font>
      <sz val="10"/>
      <name val="Arial"/>
      <family val="2"/>
    </font>
    <font>
      <sz val="8"/>
      <name val="Calibri"/>
      <family val="2"/>
      <scheme val="minor"/>
    </font>
    <font>
      <sz val="10"/>
      <name val="Arial"/>
      <family val="2"/>
    </font>
    <font>
      <sz val="10"/>
      <color rgb="FF000000"/>
      <name val="Verdana"/>
      <family val="2"/>
    </font>
    <font>
      <sz val="11"/>
      <color rgb="FFFF0000"/>
      <name val="Calibri"/>
      <family val="2"/>
      <scheme val="minor"/>
    </font>
    <font>
      <sz val="9"/>
      <color theme="1"/>
      <name val="Verdana"/>
      <family val="2"/>
    </font>
    <font>
      <b/>
      <sz val="9"/>
      <color theme="1"/>
      <name val="Verdana"/>
      <family val="2"/>
    </font>
    <font>
      <sz val="10"/>
      <color theme="2" tint="-0.749992370372631"/>
      <name val="Verdana"/>
      <family val="2"/>
    </font>
    <font>
      <b/>
      <sz val="10"/>
      <color indexed="81"/>
      <name val="Tahoma"/>
      <family val="2"/>
    </font>
  </fonts>
  <fills count="1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
      <patternFill patternType="solid">
        <fgColor theme="8" tint="0.79998168889431442"/>
        <bgColor indexed="64"/>
      </patternFill>
    </fill>
    <fill>
      <patternFill patternType="lightDown">
        <bgColor theme="2" tint="-0.499984740745262"/>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CC99"/>
      </patternFill>
    </fill>
    <fill>
      <patternFill patternType="solid">
        <fgColor rgb="FFF2F2F2"/>
      </patternFill>
    </fill>
    <fill>
      <patternFill patternType="solid">
        <fgColor rgb="FFFFF2CC"/>
        <bgColor indexed="64"/>
      </patternFill>
    </fill>
    <fill>
      <patternFill patternType="solid">
        <fgColor rgb="FFFFF2CC"/>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s>
  <cellStyleXfs count="50">
    <xf numFmtId="0" fontId="0" fillId="0" borderId="0"/>
    <xf numFmtId="164" fontId="10" fillId="0" borderId="0" applyFont="0" applyFill="0" applyBorder="0" applyAlignment="0" applyProtection="0"/>
    <xf numFmtId="9" fontId="10" fillId="0" borderId="0" applyFont="0" applyFill="0" applyBorder="0" applyAlignment="0" applyProtection="0"/>
    <xf numFmtId="0" fontId="9" fillId="0" borderId="0"/>
    <xf numFmtId="0" fontId="8" fillId="0" borderId="0"/>
    <xf numFmtId="0" fontId="16" fillId="0" borderId="0"/>
    <xf numFmtId="0" fontId="22" fillId="0" borderId="0" applyNumberFormat="0" applyFill="0" applyBorder="0" applyAlignment="0" applyProtection="0"/>
    <xf numFmtId="0" fontId="16" fillId="0" borderId="0"/>
    <xf numFmtId="0" fontId="5" fillId="0" borderId="0"/>
    <xf numFmtId="0" fontId="3" fillId="0" borderId="0"/>
    <xf numFmtId="164" fontId="3" fillId="0" borderId="0" applyFont="0" applyFill="0" applyBorder="0" applyAlignment="0" applyProtection="0"/>
    <xf numFmtId="0" fontId="10" fillId="0" borderId="0"/>
    <xf numFmtId="0" fontId="29" fillId="13" borderId="15" applyNumberFormat="0" applyAlignment="0" applyProtection="0"/>
    <xf numFmtId="0" fontId="30" fillId="0" borderId="0" applyNumberFormat="0" applyFill="0" applyBorder="0" applyAlignment="0" applyProtection="0"/>
    <xf numFmtId="164" fontId="10" fillId="0" borderId="0" applyFont="0" applyFill="0" applyBorder="0" applyAlignment="0" applyProtection="0"/>
    <xf numFmtId="0" fontId="31" fillId="14" borderId="15" applyNumberFormat="0" applyAlignment="0" applyProtection="0"/>
    <xf numFmtId="0" fontId="3" fillId="0" borderId="0"/>
    <xf numFmtId="0" fontId="22" fillId="0" borderId="0" applyNumberForma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0" fontId="10" fillId="0" borderId="0"/>
    <xf numFmtId="171" fontId="16" fillId="0" borderId="0"/>
    <xf numFmtId="0" fontId="3" fillId="0" borderId="0"/>
    <xf numFmtId="0" fontId="10" fillId="0" borderId="0"/>
    <xf numFmtId="0" fontId="32" fillId="0" borderId="0"/>
    <xf numFmtId="164" fontId="10" fillId="0" borderId="0" applyFont="0" applyFill="0" applyBorder="0" applyAlignment="0" applyProtection="0"/>
    <xf numFmtId="0" fontId="3" fillId="0" borderId="0"/>
    <xf numFmtId="9" fontId="3" fillId="0" borderId="0" applyFont="0" applyFill="0" applyBorder="0" applyAlignment="0" applyProtection="0"/>
    <xf numFmtId="0" fontId="16" fillId="0" borderId="0"/>
    <xf numFmtId="0" fontId="16" fillId="0" borderId="0"/>
    <xf numFmtId="0" fontId="34" fillId="0" borderId="0"/>
    <xf numFmtId="164" fontId="10"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10" fillId="0" borderId="0" applyFont="0" applyFill="0" applyBorder="0" applyAlignment="0" applyProtection="0"/>
    <xf numFmtId="0" fontId="2" fillId="0" borderId="0"/>
    <xf numFmtId="164" fontId="2" fillId="0" borderId="0" applyFont="0" applyFill="0" applyBorder="0" applyAlignment="0" applyProtection="0"/>
    <xf numFmtId="164" fontId="10" fillId="0" borderId="0" applyFont="0" applyFill="0" applyBorder="0" applyAlignment="0" applyProtection="0"/>
    <xf numFmtId="0" fontId="2" fillId="0" borderId="0"/>
    <xf numFmtId="164" fontId="10" fillId="0" borderId="0" applyFont="0" applyFill="0" applyBorder="0" applyAlignment="0" applyProtection="0"/>
    <xf numFmtId="0" fontId="2" fillId="0" borderId="0"/>
    <xf numFmtId="9" fontId="2" fillId="0" borderId="0" applyFont="0" applyFill="0" applyBorder="0" applyAlignment="0" applyProtection="0"/>
    <xf numFmtId="0" fontId="16" fillId="0" borderId="0"/>
    <xf numFmtId="0" fontId="36" fillId="0" borderId="0"/>
    <xf numFmtId="0" fontId="1" fillId="0" borderId="0"/>
    <xf numFmtId="43" fontId="10" fillId="0" borderId="0" applyFont="0" applyFill="0" applyBorder="0" applyAlignment="0" applyProtection="0"/>
    <xf numFmtId="43" fontId="10" fillId="0" borderId="0" applyFont="0" applyFill="0" applyBorder="0" applyAlignment="0" applyProtection="0"/>
  </cellStyleXfs>
  <cellXfs count="315">
    <xf numFmtId="0" fontId="0" fillId="0" borderId="0" xfId="0"/>
    <xf numFmtId="0" fontId="0" fillId="4" borderId="0" xfId="0" applyFill="1"/>
    <xf numFmtId="0" fontId="13" fillId="5" borderId="0" xfId="3" applyFont="1" applyFill="1" applyAlignment="1">
      <alignment wrapText="1"/>
    </xf>
    <xf numFmtId="0" fontId="13" fillId="5" borderId="0" xfId="3" applyFont="1" applyFill="1" applyAlignment="1">
      <alignment vertical="center"/>
    </xf>
    <xf numFmtId="0" fontId="15" fillId="4" borderId="0" xfId="0" applyFont="1" applyFill="1"/>
    <xf numFmtId="0" fontId="0" fillId="4" borderId="0" xfId="0" applyFill="1" applyAlignment="1">
      <alignment wrapText="1"/>
    </xf>
    <xf numFmtId="0" fontId="0" fillId="5" borderId="0" xfId="0" applyFill="1"/>
    <xf numFmtId="0" fontId="14" fillId="7" borderId="0" xfId="0" applyFont="1" applyFill="1"/>
    <xf numFmtId="0" fontId="8" fillId="4" borderId="0" xfId="4" applyFill="1"/>
    <xf numFmtId="0" fontId="15" fillId="4" borderId="0" xfId="4" applyFont="1" applyFill="1"/>
    <xf numFmtId="0" fontId="8" fillId="4" borderId="0" xfId="4" applyFill="1" applyAlignment="1">
      <alignment wrapText="1"/>
    </xf>
    <xf numFmtId="0" fontId="8" fillId="5" borderId="0" xfId="4" applyFill="1"/>
    <xf numFmtId="0" fontId="16" fillId="5" borderId="0" xfId="5" applyFill="1"/>
    <xf numFmtId="0" fontId="17" fillId="12" borderId="0" xfId="5" applyFont="1" applyFill="1"/>
    <xf numFmtId="0" fontId="14" fillId="12" borderId="0" xfId="5" applyFont="1" applyFill="1"/>
    <xf numFmtId="0" fontId="16" fillId="0" borderId="0" xfId="5"/>
    <xf numFmtId="0" fontId="19" fillId="5" borderId="0" xfId="5" applyFont="1" applyFill="1"/>
    <xf numFmtId="0" fontId="18" fillId="5" borderId="0" xfId="5" applyFont="1" applyFill="1"/>
    <xf numFmtId="0" fontId="18" fillId="0" borderId="0" xfId="5" applyFont="1"/>
    <xf numFmtId="0" fontId="20" fillId="5" borderId="0" xfId="5" applyFont="1" applyFill="1"/>
    <xf numFmtId="0" fontId="21" fillId="5" borderId="0" xfId="5" applyFont="1" applyFill="1"/>
    <xf numFmtId="0" fontId="24" fillId="4" borderId="0" xfId="0" applyFont="1" applyFill="1"/>
    <xf numFmtId="0" fontId="24" fillId="4" borderId="0" xfId="0" applyFont="1" applyFill="1" applyAlignment="1">
      <alignment wrapText="1"/>
    </xf>
    <xf numFmtId="0" fontId="24" fillId="0" borderId="0" xfId="0" applyFont="1"/>
    <xf numFmtId="0" fontId="7" fillId="4" borderId="0" xfId="0" applyFont="1" applyFill="1"/>
    <xf numFmtId="0" fontId="7" fillId="0" borderId="0" xfId="0" applyFont="1"/>
    <xf numFmtId="0" fontId="23" fillId="9" borderId="0" xfId="0" applyFont="1" applyFill="1" applyAlignment="1">
      <alignment horizontal="right" vertical="center" wrapText="1"/>
    </xf>
    <xf numFmtId="0" fontId="7" fillId="0" borderId="0" xfId="0" applyFont="1" applyAlignment="1">
      <alignment wrapText="1"/>
    </xf>
    <xf numFmtId="0" fontId="23" fillId="4" borderId="0" xfId="0" applyFont="1" applyFill="1"/>
    <xf numFmtId="0" fontId="7" fillId="5" borderId="0" xfId="0" applyFont="1" applyFill="1"/>
    <xf numFmtId="0" fontId="24" fillId="4" borderId="0" xfId="0" applyFont="1" applyFill="1" applyAlignment="1">
      <alignment horizontal="left" wrapText="1"/>
    </xf>
    <xf numFmtId="0" fontId="23" fillId="9" borderId="0" xfId="4" applyFont="1" applyFill="1" applyAlignment="1">
      <alignment horizontal="right" vertical="center" wrapText="1"/>
    </xf>
    <xf numFmtId="0" fontId="19" fillId="8" borderId="1" xfId="5" applyFont="1" applyFill="1" applyBorder="1" applyAlignment="1">
      <alignment horizontal="right"/>
    </xf>
    <xf numFmtId="0" fontId="21" fillId="0" borderId="1" xfId="5" applyFont="1" applyBorder="1" applyAlignment="1">
      <alignment horizontal="right"/>
    </xf>
    <xf numFmtId="170" fontId="19" fillId="0" borderId="1" xfId="5" applyNumberFormat="1" applyFont="1" applyBorder="1" applyAlignment="1">
      <alignment horizontal="center"/>
    </xf>
    <xf numFmtId="0" fontId="19" fillId="5" borderId="1" xfId="5" applyFont="1" applyFill="1" applyBorder="1" applyAlignment="1">
      <alignment vertical="center"/>
    </xf>
    <xf numFmtId="0" fontId="19" fillId="10" borderId="0" xfId="7" applyFont="1" applyFill="1"/>
    <xf numFmtId="170" fontId="19" fillId="10" borderId="0" xfId="7" applyNumberFormat="1" applyFont="1" applyFill="1"/>
    <xf numFmtId="0" fontId="23" fillId="0" borderId="1" xfId="4" applyFont="1" applyBorder="1" applyAlignment="1">
      <alignment horizontal="left" vertical="center" wrapText="1"/>
    </xf>
    <xf numFmtId="0" fontId="19" fillId="3" borderId="1" xfId="5" applyFont="1" applyFill="1" applyBorder="1" applyAlignment="1">
      <alignment horizontal="center" vertical="center"/>
    </xf>
    <xf numFmtId="0" fontId="23" fillId="5" borderId="0" xfId="0" applyFont="1" applyFill="1"/>
    <xf numFmtId="0" fontId="6" fillId="5" borderId="0" xfId="0" applyFont="1" applyFill="1"/>
    <xf numFmtId="0" fontId="19" fillId="10" borderId="0" xfId="5" applyFont="1" applyFill="1"/>
    <xf numFmtId="0" fontId="4" fillId="0" borderId="0" xfId="0" applyFont="1"/>
    <xf numFmtId="170" fontId="19" fillId="10" borderId="0" xfId="5" applyNumberFormat="1" applyFont="1" applyFill="1"/>
    <xf numFmtId="0" fontId="19" fillId="10" borderId="0" xfId="7" applyFont="1" applyFill="1" applyAlignment="1">
      <alignment horizontal="left"/>
    </xf>
    <xf numFmtId="0" fontId="3" fillId="8" borderId="2" xfId="26" applyFill="1" applyBorder="1" applyAlignment="1">
      <alignment horizontal="center" vertical="center"/>
    </xf>
    <xf numFmtId="0" fontId="19" fillId="10" borderId="0" xfId="28" applyFont="1" applyFill="1"/>
    <xf numFmtId="170" fontId="19" fillId="10" borderId="0" xfId="28" applyNumberFormat="1" applyFont="1" applyFill="1"/>
    <xf numFmtId="2" fontId="23" fillId="9" borderId="0" xfId="0" applyNumberFormat="1" applyFont="1" applyFill="1" applyAlignment="1">
      <alignment horizontal="right" vertical="center" wrapText="1"/>
    </xf>
    <xf numFmtId="0" fontId="13" fillId="5" borderId="1" xfId="3" quotePrefix="1" applyFont="1" applyFill="1" applyBorder="1" applyAlignment="1">
      <alignment horizontal="left" vertical="center" wrapText="1"/>
    </xf>
    <xf numFmtId="0" fontId="3" fillId="5" borderId="0" xfId="26" applyFill="1" applyAlignment="1">
      <alignment horizontal="left" vertical="center"/>
    </xf>
    <xf numFmtId="0" fontId="1" fillId="0" borderId="1" xfId="0" applyFont="1" applyBorder="1"/>
    <xf numFmtId="0" fontId="13" fillId="5" borderId="0" xfId="3" applyFont="1" applyFill="1" applyAlignment="1">
      <alignment vertical="center" wrapText="1"/>
    </xf>
    <xf numFmtId="0" fontId="28" fillId="5" borderId="0" xfId="3" applyFont="1" applyFill="1" applyAlignment="1">
      <alignment vertical="center"/>
    </xf>
    <xf numFmtId="0" fontId="13" fillId="5" borderId="1" xfId="3" applyFont="1" applyFill="1" applyBorder="1" applyAlignment="1">
      <alignment vertical="center"/>
    </xf>
    <xf numFmtId="15" fontId="19" fillId="10" borderId="0" xfId="7" applyNumberFormat="1" applyFont="1" applyFill="1"/>
    <xf numFmtId="0" fontId="1" fillId="0" borderId="0" xfId="0" applyFont="1"/>
    <xf numFmtId="0" fontId="1" fillId="5" borderId="0" xfId="0" applyFont="1" applyFill="1"/>
    <xf numFmtId="0" fontId="1" fillId="10" borderId="0" xfId="0" applyFont="1" applyFill="1" applyAlignment="1">
      <alignment horizontal="left" wrapText="1"/>
    </xf>
    <xf numFmtId="0" fontId="1" fillId="5" borderId="0" xfId="0" applyFont="1" applyFill="1" applyAlignment="1">
      <alignment horizontal="left"/>
    </xf>
    <xf numFmtId="0" fontId="1" fillId="5" borderId="0" xfId="0" applyFont="1" applyFill="1" applyAlignment="1">
      <alignment horizontal="left" wrapText="1"/>
    </xf>
    <xf numFmtId="0" fontId="1" fillId="3" borderId="0" xfId="0" applyFont="1" applyFill="1" applyAlignment="1">
      <alignment horizontal="left" wrapText="1"/>
    </xf>
    <xf numFmtId="0" fontId="1" fillId="5" borderId="0" xfId="0" applyFont="1" applyFill="1" applyAlignment="1">
      <alignment wrapText="1"/>
    </xf>
    <xf numFmtId="0" fontId="1" fillId="8" borderId="1" xfId="0" applyFont="1" applyFill="1" applyBorder="1"/>
    <xf numFmtId="0" fontId="1" fillId="6" borderId="1" xfId="0" applyFont="1" applyFill="1" applyBorder="1" applyAlignment="1">
      <alignment wrapText="1"/>
    </xf>
    <xf numFmtId="0" fontId="1" fillId="0" borderId="1" xfId="0" applyFont="1" applyBorder="1" applyAlignment="1">
      <alignment wrapText="1"/>
    </xf>
    <xf numFmtId="0" fontId="1" fillId="4" borderId="0" xfId="0" applyFont="1" applyFill="1"/>
    <xf numFmtId="0" fontId="1" fillId="4" borderId="0" xfId="0" applyFont="1" applyFill="1" applyAlignment="1">
      <alignment wrapText="1"/>
    </xf>
    <xf numFmtId="0" fontId="1" fillId="8" borderId="10" xfId="0" applyFont="1" applyFill="1" applyBorder="1" applyAlignment="1">
      <alignment horizontal="right"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right" vertical="center"/>
    </xf>
    <xf numFmtId="17" fontId="1" fillId="8" borderId="1" xfId="0" applyNumberFormat="1" applyFont="1" applyFill="1" applyBorder="1" applyAlignment="1">
      <alignment horizontal="center" vertical="center"/>
    </xf>
    <xf numFmtId="17" fontId="1" fillId="8" borderId="1" xfId="0" quotePrefix="1" applyNumberFormat="1" applyFont="1" applyFill="1" applyBorder="1" applyAlignment="1">
      <alignment horizontal="center" vertical="center"/>
    </xf>
    <xf numFmtId="49" fontId="1" fillId="8" borderId="1" xfId="0" applyNumberFormat="1" applyFont="1" applyFill="1" applyBorder="1" applyAlignment="1">
      <alignment horizontal="center" vertical="center"/>
    </xf>
    <xf numFmtId="0" fontId="1" fillId="8" borderId="1" xfId="0" applyFont="1" applyFill="1" applyBorder="1" applyAlignment="1">
      <alignment horizontal="center" vertical="center" wrapText="1"/>
    </xf>
    <xf numFmtId="2" fontId="1" fillId="3" borderId="1" xfId="0" applyNumberFormat="1" applyFont="1" applyFill="1" applyBorder="1" applyAlignment="1">
      <alignment horizontal="center"/>
    </xf>
    <xf numFmtId="0" fontId="1" fillId="8" borderId="2" xfId="0" applyFont="1" applyFill="1" applyBorder="1" applyAlignment="1">
      <alignment horizontal="center" vertical="center"/>
    </xf>
    <xf numFmtId="4" fontId="1" fillId="3" borderId="1" xfId="0" applyNumberFormat="1" applyFont="1" applyFill="1" applyBorder="1" applyAlignment="1">
      <alignment horizontal="center"/>
    </xf>
    <xf numFmtId="2" fontId="1" fillId="3" borderId="1" xfId="0" applyNumberFormat="1" applyFont="1" applyFill="1" applyBorder="1" applyAlignment="1">
      <alignment horizontal="center" vertical="center"/>
    </xf>
    <xf numFmtId="0" fontId="1" fillId="8" borderId="1" xfId="0" applyFont="1" applyFill="1" applyBorder="1" applyAlignment="1">
      <alignment horizontal="center" vertical="center"/>
    </xf>
    <xf numFmtId="164" fontId="1" fillId="3" borderId="1" xfId="0" applyNumberFormat="1" applyFont="1" applyFill="1" applyBorder="1" applyAlignment="1">
      <alignment horizontal="center"/>
    </xf>
    <xf numFmtId="2" fontId="1" fillId="3" borderId="1" xfId="1" applyNumberFormat="1" applyFont="1" applyFill="1" applyBorder="1" applyAlignment="1">
      <alignment horizontal="center" vertical="center"/>
    </xf>
    <xf numFmtId="2" fontId="1" fillId="5" borderId="0" xfId="0" applyNumberFormat="1" applyFont="1" applyFill="1"/>
    <xf numFmtId="9" fontId="1" fillId="5" borderId="1" xfId="0" applyNumberFormat="1" applyFont="1" applyFill="1" applyBorder="1" applyAlignment="1">
      <alignment horizontal="left" vertical="center" wrapText="1"/>
    </xf>
    <xf numFmtId="9" fontId="1" fillId="5" borderId="1" xfId="0" applyNumberFormat="1" applyFont="1" applyFill="1" applyBorder="1" applyAlignment="1">
      <alignment horizontal="center" vertical="center"/>
    </xf>
    <xf numFmtId="0" fontId="1" fillId="8" borderId="2" xfId="0" applyFont="1" applyFill="1" applyBorder="1" applyAlignment="1">
      <alignment horizontal="center" vertical="center" wrapText="1"/>
    </xf>
    <xf numFmtId="0" fontId="1" fillId="0" borderId="1" xfId="0" applyFont="1" applyBorder="1" applyAlignment="1">
      <alignment vertical="center"/>
    </xf>
    <xf numFmtId="4" fontId="1" fillId="10" borderId="1" xfId="0" applyNumberFormat="1" applyFont="1" applyFill="1" applyBorder="1" applyAlignment="1">
      <alignment horizontal="center" vertical="center"/>
    </xf>
    <xf numFmtId="2" fontId="1" fillId="10" borderId="1" xfId="0" applyNumberFormat="1" applyFont="1" applyFill="1" applyBorder="1" applyAlignment="1">
      <alignment horizontal="center" vertical="center"/>
    </xf>
    <xf numFmtId="0" fontId="1" fillId="8" borderId="10" xfId="0" applyFont="1" applyFill="1" applyBorder="1" applyAlignment="1">
      <alignment vertical="center"/>
    </xf>
    <xf numFmtId="0" fontId="1" fillId="8" borderId="5" xfId="0" applyFont="1" applyFill="1" applyBorder="1" applyAlignment="1">
      <alignment vertical="center"/>
    </xf>
    <xf numFmtId="0" fontId="1" fillId="8" borderId="1" xfId="0" applyFont="1" applyFill="1" applyBorder="1" applyAlignment="1">
      <alignment vertical="center"/>
    </xf>
    <xf numFmtId="0" fontId="1" fillId="0" borderId="3" xfId="0" applyFont="1" applyBorder="1" applyAlignment="1">
      <alignment horizontal="center"/>
    </xf>
    <xf numFmtId="165" fontId="1" fillId="10" borderId="1" xfId="1" applyNumberFormat="1" applyFont="1" applyFill="1" applyBorder="1" applyAlignment="1">
      <alignment horizontal="center"/>
    </xf>
    <xf numFmtId="0" fontId="1" fillId="0" borderId="2" xfId="0" applyFont="1" applyBorder="1"/>
    <xf numFmtId="9" fontId="1" fillId="10" borderId="1" xfId="2" applyFont="1" applyFill="1" applyBorder="1"/>
    <xf numFmtId="0" fontId="1" fillId="0" borderId="1" xfId="0" quotePrefix="1" applyFont="1" applyBorder="1"/>
    <xf numFmtId="165" fontId="1" fillId="3" borderId="1" xfId="1" applyNumberFormat="1" applyFont="1" applyFill="1" applyBorder="1" applyAlignment="1">
      <alignment horizontal="center"/>
    </xf>
    <xf numFmtId="165" fontId="1" fillId="3" borderId="1" xfId="0" applyNumberFormat="1" applyFont="1" applyFill="1" applyBorder="1"/>
    <xf numFmtId="9" fontId="1" fillId="3" borderId="1" xfId="2" applyFont="1" applyFill="1" applyBorder="1"/>
    <xf numFmtId="166" fontId="1" fillId="3" borderId="1" xfId="0" applyNumberFormat="1" applyFont="1" applyFill="1" applyBorder="1" applyAlignment="1">
      <alignment horizontal="center"/>
    </xf>
    <xf numFmtId="164" fontId="1" fillId="3" borderId="5" xfId="0" applyNumberFormat="1" applyFont="1" applyFill="1" applyBorder="1"/>
    <xf numFmtId="164" fontId="1" fillId="3" borderId="1" xfId="0" applyNumberFormat="1" applyFont="1" applyFill="1" applyBorder="1"/>
    <xf numFmtId="168" fontId="1" fillId="10" borderId="1" xfId="2" applyNumberFormat="1" applyFont="1" applyFill="1" applyBorder="1" applyAlignment="1">
      <alignment horizontal="right"/>
    </xf>
    <xf numFmtId="167" fontId="1" fillId="2" borderId="1" xfId="1" applyNumberFormat="1" applyFont="1" applyFill="1" applyBorder="1" applyAlignment="1">
      <alignment horizontal="center"/>
    </xf>
    <xf numFmtId="168" fontId="1" fillId="3" borderId="1" xfId="2" applyNumberFormat="1" applyFont="1" applyFill="1" applyBorder="1" applyAlignment="1">
      <alignment horizontal="right"/>
    </xf>
    <xf numFmtId="167" fontId="1" fillId="10" borderId="1" xfId="1" applyNumberFormat="1" applyFont="1" applyFill="1" applyBorder="1" applyAlignment="1">
      <alignment horizontal="center"/>
    </xf>
    <xf numFmtId="165" fontId="1" fillId="2" borderId="1" xfId="1" applyNumberFormat="1" applyFont="1" applyFill="1" applyBorder="1" applyAlignment="1">
      <alignment horizontal="center"/>
    </xf>
    <xf numFmtId="0" fontId="1" fillId="4" borderId="0" xfId="0" applyFont="1" applyFill="1" applyAlignment="1">
      <alignment horizontal="left" wrapText="1"/>
    </xf>
    <xf numFmtId="172" fontId="1" fillId="10" borderId="1" xfId="1" applyNumberFormat="1" applyFont="1" applyFill="1" applyBorder="1"/>
    <xf numFmtId="0" fontId="1" fillId="10" borderId="1" xfId="0" applyFont="1" applyFill="1" applyBorder="1"/>
    <xf numFmtId="0" fontId="1" fillId="8" borderId="1" xfId="5" applyFont="1" applyFill="1" applyBorder="1" applyAlignment="1">
      <alignment horizontal="center"/>
    </xf>
    <xf numFmtId="0" fontId="1" fillId="8" borderId="1" xfId="4" applyFont="1" applyFill="1" applyBorder="1" applyAlignment="1">
      <alignment horizontal="right" vertical="center" wrapText="1"/>
    </xf>
    <xf numFmtId="0" fontId="1" fillId="8" borderId="4" xfId="4" applyFont="1" applyFill="1" applyBorder="1" applyAlignment="1">
      <alignment horizontal="center" vertical="center" wrapText="1"/>
    </xf>
    <xf numFmtId="0" fontId="1" fillId="8" borderId="9" xfId="4" applyFont="1" applyFill="1" applyBorder="1" applyAlignment="1">
      <alignment horizontal="center" vertical="center" wrapText="1"/>
    </xf>
    <xf numFmtId="0" fontId="1" fillId="8" borderId="1" xfId="4" applyFont="1" applyFill="1" applyBorder="1" applyAlignment="1">
      <alignment horizontal="center" vertical="center" wrapText="1"/>
    </xf>
    <xf numFmtId="49" fontId="1" fillId="8" borderId="1" xfId="4" applyNumberFormat="1" applyFont="1" applyFill="1" applyBorder="1" applyAlignment="1">
      <alignment horizontal="center" vertical="center" wrapText="1"/>
    </xf>
    <xf numFmtId="49" fontId="1" fillId="8" borderId="7" xfId="4" applyNumberFormat="1" applyFont="1" applyFill="1" applyBorder="1" applyAlignment="1">
      <alignment horizontal="center" vertical="center" wrapText="1"/>
    </xf>
    <xf numFmtId="0" fontId="1" fillId="8" borderId="1" xfId="0" applyFont="1" applyFill="1" applyBorder="1" applyAlignment="1">
      <alignment vertical="center" wrapText="1"/>
    </xf>
    <xf numFmtId="0" fontId="1" fillId="5" borderId="1" xfId="0" applyFont="1" applyFill="1" applyBorder="1" applyAlignment="1">
      <alignment vertical="center" wrapText="1"/>
    </xf>
    <xf numFmtId="9" fontId="1" fillId="5" borderId="1" xfId="2" applyFont="1" applyFill="1" applyBorder="1" applyAlignment="1">
      <alignment horizontal="center" vertical="center" wrapText="1"/>
    </xf>
    <xf numFmtId="0" fontId="1" fillId="8" borderId="1" xfId="0" applyFont="1" applyFill="1" applyBorder="1" applyAlignment="1">
      <alignment horizontal="left" vertical="center"/>
    </xf>
    <xf numFmtId="0" fontId="1" fillId="0" borderId="1" xfId="0" applyFont="1" applyBorder="1" applyAlignment="1">
      <alignment vertical="top"/>
    </xf>
    <xf numFmtId="0" fontId="1" fillId="8" borderId="12" xfId="0" applyFont="1" applyFill="1" applyBorder="1" applyAlignment="1">
      <alignment vertical="center"/>
    </xf>
    <xf numFmtId="17" fontId="1" fillId="8" borderId="2" xfId="0" applyNumberFormat="1" applyFont="1" applyFill="1" applyBorder="1" applyAlignment="1">
      <alignment horizontal="center" vertical="center"/>
    </xf>
    <xf numFmtId="164" fontId="1" fillId="3" borderId="1" xfId="1" applyFont="1" applyFill="1" applyBorder="1"/>
    <xf numFmtId="2" fontId="1" fillId="0" borderId="0" xfId="0" applyNumberFormat="1" applyFont="1"/>
    <xf numFmtId="2" fontId="0" fillId="5" borderId="0" xfId="0" applyNumberFormat="1" applyFill="1"/>
    <xf numFmtId="10" fontId="1" fillId="5" borderId="0" xfId="0" applyNumberFormat="1" applyFont="1" applyFill="1"/>
    <xf numFmtId="2" fontId="1" fillId="15" borderId="1" xfId="0" applyNumberFormat="1" applyFont="1" applyFill="1" applyBorder="1" applyAlignment="1">
      <alignment horizontal="center" vertical="center"/>
    </xf>
    <xf numFmtId="165" fontId="1" fillId="15" borderId="1" xfId="1" applyNumberFormat="1" applyFont="1" applyFill="1" applyBorder="1" applyAlignment="1">
      <alignment horizontal="center"/>
    </xf>
    <xf numFmtId="168" fontId="1" fillId="15" borderId="1" xfId="2" applyNumberFormat="1" applyFont="1" applyFill="1" applyBorder="1" applyAlignment="1">
      <alignment horizontal="right"/>
    </xf>
    <xf numFmtId="167" fontId="1" fillId="15" borderId="1" xfId="1" applyNumberFormat="1" applyFont="1" applyFill="1" applyBorder="1" applyAlignment="1">
      <alignment horizontal="center"/>
    </xf>
    <xf numFmtId="172" fontId="1" fillId="15" borderId="1" xfId="1" applyNumberFormat="1" applyFont="1" applyFill="1" applyBorder="1"/>
    <xf numFmtId="0" fontId="19" fillId="15" borderId="0" xfId="5" applyFont="1" applyFill="1"/>
    <xf numFmtId="0" fontId="1" fillId="5" borderId="0" xfId="0" applyFont="1" applyFill="1" applyAlignment="1">
      <alignment vertical="center"/>
    </xf>
    <xf numFmtId="0" fontId="9" fillId="5" borderId="0" xfId="3" applyFill="1"/>
    <xf numFmtId="0" fontId="11" fillId="5" borderId="1" xfId="3" applyFont="1" applyFill="1" applyBorder="1" applyAlignment="1">
      <alignment horizontal="left" vertical="center"/>
    </xf>
    <xf numFmtId="14" fontId="0" fillId="5" borderId="1" xfId="3" applyNumberFormat="1" applyFont="1" applyFill="1" applyBorder="1" applyAlignment="1">
      <alignment horizontal="left"/>
    </xf>
    <xf numFmtId="0" fontId="0" fillId="5" borderId="1" xfId="3" applyFont="1" applyFill="1" applyBorder="1" applyAlignment="1">
      <alignment horizontal="left" wrapText="1"/>
    </xf>
    <xf numFmtId="0" fontId="0" fillId="5" borderId="1" xfId="3" applyFont="1" applyFill="1" applyBorder="1" applyAlignment="1">
      <alignment vertical="center"/>
    </xf>
    <xf numFmtId="14" fontId="10" fillId="5" borderId="1" xfId="3" applyNumberFormat="1" applyFont="1" applyFill="1" applyBorder="1" applyAlignment="1">
      <alignment horizontal="left" vertical="center"/>
    </xf>
    <xf numFmtId="0" fontId="0" fillId="5" borderId="1" xfId="3" quotePrefix="1" applyFont="1" applyFill="1" applyBorder="1" applyAlignment="1">
      <alignment horizontal="left" vertical="center" wrapText="1"/>
    </xf>
    <xf numFmtId="0" fontId="0" fillId="5" borderId="1" xfId="3" applyFont="1" applyFill="1" applyBorder="1" applyAlignment="1">
      <alignment horizontal="left" vertical="center"/>
    </xf>
    <xf numFmtId="49" fontId="0" fillId="5" borderId="1" xfId="3" applyNumberFormat="1" applyFont="1" applyFill="1" applyBorder="1" applyAlignment="1">
      <alignment horizontal="left" vertical="center" wrapText="1"/>
    </xf>
    <xf numFmtId="49" fontId="0" fillId="5" borderId="1" xfId="3" quotePrefix="1" applyNumberFormat="1" applyFont="1" applyFill="1" applyBorder="1" applyAlignment="1">
      <alignment horizontal="left" vertical="center" wrapText="1"/>
    </xf>
    <xf numFmtId="0" fontId="1" fillId="5" borderId="1" xfId="3" applyFont="1" applyFill="1" applyBorder="1" applyAlignment="1">
      <alignment vertical="center"/>
    </xf>
    <xf numFmtId="0" fontId="1" fillId="5" borderId="1" xfId="3" quotePrefix="1" applyFont="1" applyFill="1" applyBorder="1" applyAlignment="1">
      <alignment wrapText="1"/>
    </xf>
    <xf numFmtId="14" fontId="9" fillId="5" borderId="1" xfId="3" applyNumberFormat="1" applyFill="1" applyBorder="1" applyAlignment="1">
      <alignment horizontal="left" vertical="center"/>
    </xf>
    <xf numFmtId="14" fontId="10" fillId="5" borderId="1" xfId="3" quotePrefix="1" applyNumberFormat="1" applyFont="1" applyFill="1" applyBorder="1" applyAlignment="1">
      <alignment horizontal="left" vertical="center" wrapText="1"/>
    </xf>
    <xf numFmtId="0" fontId="9" fillId="5" borderId="0" xfId="3" applyFill="1" applyAlignment="1">
      <alignment vertical="center"/>
    </xf>
    <xf numFmtId="0" fontId="24" fillId="5" borderId="0" xfId="0" applyFont="1" applyFill="1"/>
    <xf numFmtId="0" fontId="1" fillId="5" borderId="0" xfId="0" applyFont="1" applyFill="1" applyAlignment="1">
      <alignment horizontal="left" vertical="center"/>
    </xf>
    <xf numFmtId="0" fontId="1" fillId="5" borderId="0" xfId="0" applyFont="1" applyFill="1" applyAlignment="1">
      <alignment horizontal="center"/>
    </xf>
    <xf numFmtId="164" fontId="1" fillId="5" borderId="0" xfId="0" applyNumberFormat="1" applyFont="1" applyFill="1" applyAlignment="1">
      <alignment horizontal="center"/>
    </xf>
    <xf numFmtId="4" fontId="0" fillId="5" borderId="0" xfId="0" applyNumberFormat="1" applyFill="1"/>
    <xf numFmtId="0" fontId="1" fillId="5" borderId="3" xfId="0" applyFont="1" applyFill="1" applyBorder="1" applyAlignment="1">
      <alignment horizontal="center"/>
    </xf>
    <xf numFmtId="14" fontId="1" fillId="0" borderId="1" xfId="3" applyNumberFormat="1" applyFont="1" applyBorder="1" applyAlignment="1">
      <alignment horizontal="left" vertical="center"/>
    </xf>
    <xf numFmtId="0" fontId="1" fillId="8" borderId="4" xfId="5" applyFont="1" applyFill="1" applyBorder="1" applyAlignment="1">
      <alignment horizontal="center"/>
    </xf>
    <xf numFmtId="0" fontId="23" fillId="9" borderId="8" xfId="0" applyFont="1" applyFill="1" applyBorder="1" applyAlignment="1">
      <alignment horizontal="right" vertical="center" wrapText="1"/>
    </xf>
    <xf numFmtId="0" fontId="23" fillId="9" borderId="9" xfId="0" applyFont="1" applyFill="1" applyBorder="1" applyAlignment="1">
      <alignment horizontal="right" vertical="center" wrapText="1"/>
    </xf>
    <xf numFmtId="164" fontId="23" fillId="9" borderId="0" xfId="0" applyNumberFormat="1" applyFont="1" applyFill="1" applyAlignment="1">
      <alignment horizontal="right" vertical="center" wrapText="1"/>
    </xf>
    <xf numFmtId="0" fontId="1" fillId="8" borderId="2" xfId="0" applyFont="1" applyFill="1" applyBorder="1" applyAlignment="1">
      <alignment horizontal="right" vertical="center"/>
    </xf>
    <xf numFmtId="14" fontId="0" fillId="0" borderId="1" xfId="3" quotePrefix="1" applyNumberFormat="1" applyFont="1" applyBorder="1" applyAlignment="1">
      <alignment horizontal="left" vertical="center" wrapText="1"/>
    </xf>
    <xf numFmtId="0" fontId="1" fillId="0" borderId="1" xfId="3" applyFont="1" applyBorder="1" applyAlignment="1">
      <alignment vertical="center"/>
    </xf>
    <xf numFmtId="0" fontId="1" fillId="0" borderId="0" xfId="0" applyFont="1" applyAlignment="1">
      <alignment wrapText="1"/>
    </xf>
    <xf numFmtId="14" fontId="0" fillId="5" borderId="1" xfId="3" quotePrefix="1" applyNumberFormat="1" applyFont="1" applyFill="1" applyBorder="1" applyAlignment="1">
      <alignment horizontal="left" vertical="center" wrapText="1"/>
    </xf>
    <xf numFmtId="3" fontId="37" fillId="16" borderId="1" xfId="0" applyNumberFormat="1" applyFont="1" applyFill="1" applyBorder="1" applyAlignment="1">
      <alignment horizontal="center"/>
    </xf>
    <xf numFmtId="10" fontId="1" fillId="15" borderId="1" xfId="1" applyNumberFormat="1" applyFont="1" applyFill="1" applyBorder="1" applyAlignment="1">
      <alignment horizontal="center"/>
    </xf>
    <xf numFmtId="165" fontId="24" fillId="5" borderId="0" xfId="0" applyNumberFormat="1" applyFont="1" applyFill="1"/>
    <xf numFmtId="49" fontId="1" fillId="8" borderId="1" xfId="0" quotePrefix="1" applyNumberFormat="1" applyFont="1" applyFill="1" applyBorder="1" applyAlignment="1">
      <alignment horizontal="center" vertical="center"/>
    </xf>
    <xf numFmtId="3" fontId="1" fillId="10" borderId="1" xfId="0" applyNumberFormat="1" applyFont="1" applyFill="1" applyBorder="1"/>
    <xf numFmtId="164" fontId="1" fillId="3" borderId="1" xfId="0" applyNumberFormat="1" applyFont="1" applyFill="1" applyBorder="1" applyAlignment="1">
      <alignment horizontal="right"/>
    </xf>
    <xf numFmtId="169" fontId="1" fillId="10" borderId="1" xfId="0" applyNumberFormat="1" applyFont="1" applyFill="1" applyBorder="1"/>
    <xf numFmtId="0" fontId="1" fillId="4" borderId="0" xfId="47" applyFill="1"/>
    <xf numFmtId="0" fontId="1" fillId="4" borderId="0" xfId="47" applyFill="1" applyAlignment="1">
      <alignment wrapText="1"/>
    </xf>
    <xf numFmtId="0" fontId="15" fillId="4" borderId="0" xfId="47" applyFont="1" applyFill="1"/>
    <xf numFmtId="0" fontId="39" fillId="5" borderId="0" xfId="47" applyFont="1" applyFill="1"/>
    <xf numFmtId="0" fontId="40" fillId="5" borderId="0" xfId="47" applyFont="1" applyFill="1"/>
    <xf numFmtId="0" fontId="39" fillId="5" borderId="0" xfId="47" applyFont="1" applyFill="1" applyAlignment="1">
      <alignment horizontal="center" vertical="center" wrapText="1"/>
    </xf>
    <xf numFmtId="0" fontId="39" fillId="5" borderId="0" xfId="47" applyFont="1" applyFill="1" applyAlignment="1">
      <alignment horizontal="center" vertical="center"/>
    </xf>
    <xf numFmtId="0" fontId="39" fillId="0" borderId="0" xfId="47" applyFont="1"/>
    <xf numFmtId="0" fontId="38" fillId="5" borderId="0" xfId="0" applyFont="1" applyFill="1"/>
    <xf numFmtId="0" fontId="38" fillId="4" borderId="0" xfId="0" applyFont="1" applyFill="1"/>
    <xf numFmtId="0" fontId="38" fillId="0" borderId="0" xfId="0" applyFont="1"/>
    <xf numFmtId="2" fontId="1" fillId="3" borderId="1" xfId="0" applyNumberFormat="1" applyFont="1" applyFill="1" applyBorder="1" applyAlignment="1">
      <alignment horizontal="right"/>
    </xf>
    <xf numFmtId="0" fontId="19" fillId="0" borderId="1" xfId="0" applyFont="1" applyBorder="1"/>
    <xf numFmtId="0" fontId="19" fillId="8" borderId="1" xfId="0" applyFont="1" applyFill="1" applyBorder="1" applyAlignment="1">
      <alignment vertical="center" wrapText="1"/>
    </xf>
    <xf numFmtId="0" fontId="19" fillId="5" borderId="1" xfId="0" applyFont="1" applyFill="1" applyBorder="1" applyAlignment="1">
      <alignment vertical="center" wrapText="1"/>
    </xf>
    <xf numFmtId="0" fontId="1" fillId="0" borderId="1" xfId="0" applyFont="1" applyBorder="1" applyAlignment="1">
      <alignment vertical="center" wrapText="1"/>
    </xf>
    <xf numFmtId="2" fontId="24" fillId="5" borderId="0" xfId="0" applyNumberFormat="1" applyFont="1" applyFill="1"/>
    <xf numFmtId="9" fontId="1" fillId="3" borderId="1" xfId="2" applyFont="1" applyFill="1" applyBorder="1" applyAlignment="1">
      <alignment horizontal="right"/>
    </xf>
    <xf numFmtId="0" fontId="14" fillId="0" borderId="0" xfId="0" applyFont="1"/>
    <xf numFmtId="0" fontId="19" fillId="0" borderId="0" xfId="0" applyFont="1"/>
    <xf numFmtId="0" fontId="19" fillId="6" borderId="1" xfId="0" applyFont="1" applyFill="1" applyBorder="1" applyAlignment="1">
      <alignment wrapText="1"/>
    </xf>
    <xf numFmtId="0" fontId="19" fillId="0" borderId="1" xfId="0" applyFont="1" applyBorder="1" applyAlignment="1">
      <alignment wrapText="1"/>
    </xf>
    <xf numFmtId="0" fontId="19" fillId="6" borderId="6" xfId="0" applyFont="1" applyFill="1" applyBorder="1" applyAlignment="1">
      <alignment wrapText="1"/>
    </xf>
    <xf numFmtId="0" fontId="19" fillId="0" borderId="5" xfId="0" applyFont="1" applyBorder="1" applyAlignment="1">
      <alignment wrapText="1"/>
    </xf>
    <xf numFmtId="0" fontId="23" fillId="5" borderId="0" xfId="47" applyFont="1" applyFill="1"/>
    <xf numFmtId="0" fontId="1" fillId="5" borderId="0" xfId="47" applyFill="1"/>
    <xf numFmtId="0" fontId="1" fillId="8" borderId="1" xfId="47" applyFill="1" applyBorder="1" applyAlignment="1">
      <alignment horizontal="left"/>
    </xf>
    <xf numFmtId="0" fontId="1" fillId="8" borderId="1" xfId="47" applyFill="1" applyBorder="1"/>
    <xf numFmtId="0" fontId="1" fillId="0" borderId="1" xfId="47" applyBorder="1" applyAlignment="1">
      <alignment horizontal="left" vertical="center" wrapText="1"/>
    </xf>
    <xf numFmtId="0" fontId="1" fillId="10" borderId="1" xfId="47" applyFill="1" applyBorder="1" applyAlignment="1">
      <alignment horizontal="center" vertical="center"/>
    </xf>
    <xf numFmtId="169" fontId="19" fillId="10" borderId="1" xfId="0" applyNumberFormat="1" applyFont="1" applyFill="1" applyBorder="1"/>
    <xf numFmtId="2" fontId="19" fillId="15" borderId="1" xfId="0" applyNumberFormat="1" applyFont="1" applyFill="1" applyBorder="1" applyAlignment="1">
      <alignment horizontal="center" vertical="center"/>
    </xf>
    <xf numFmtId="165" fontId="1" fillId="15" borderId="1" xfId="1" applyNumberFormat="1" applyFont="1" applyFill="1" applyBorder="1" applyAlignment="1">
      <alignment horizontal="center" wrapText="1"/>
    </xf>
    <xf numFmtId="0" fontId="1" fillId="0" borderId="1" xfId="3" applyFont="1" applyBorder="1" applyAlignment="1">
      <alignment horizontal="left" vertical="center"/>
    </xf>
    <xf numFmtId="14" fontId="19" fillId="5" borderId="1" xfId="3" applyNumberFormat="1" applyFont="1" applyFill="1" applyBorder="1" applyAlignment="1">
      <alignment horizontal="left" vertical="center"/>
    </xf>
    <xf numFmtId="14" fontId="0" fillId="5" borderId="1" xfId="3" quotePrefix="1" applyNumberFormat="1" applyFont="1" applyFill="1" applyBorder="1" applyAlignment="1">
      <alignment horizontal="left" vertical="top" wrapText="1"/>
    </xf>
    <xf numFmtId="0" fontId="41" fillId="11" borderId="6" xfId="0" applyFont="1" applyFill="1" applyBorder="1" applyAlignment="1">
      <alignment horizontal="left" wrapText="1"/>
    </xf>
    <xf numFmtId="0" fontId="25" fillId="11" borderId="7" xfId="0" applyFont="1" applyFill="1" applyBorder="1" applyAlignment="1">
      <alignment horizontal="left" wrapText="1"/>
    </xf>
    <xf numFmtId="0" fontId="25" fillId="11" borderId="5" xfId="0" applyFont="1" applyFill="1" applyBorder="1" applyAlignment="1">
      <alignment horizontal="left" wrapText="1"/>
    </xf>
    <xf numFmtId="0" fontId="41" fillId="11" borderId="7" xfId="0" applyFont="1" applyFill="1" applyBorder="1" applyAlignment="1">
      <alignment horizontal="left" wrapText="1"/>
    </xf>
    <xf numFmtId="0" fontId="41" fillId="11" borderId="5" xfId="0" applyFont="1" applyFill="1" applyBorder="1" applyAlignment="1">
      <alignment horizontal="left" wrapText="1"/>
    </xf>
    <xf numFmtId="0" fontId="1" fillId="0" borderId="0" xfId="0" applyFont="1" applyAlignment="1">
      <alignment horizontal="left" wrapText="1"/>
    </xf>
    <xf numFmtId="0" fontId="1"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5" xfId="0" applyFont="1" applyFill="1" applyBorder="1" applyAlignment="1">
      <alignment horizontal="center" vertical="center" wrapText="1"/>
    </xf>
    <xf numFmtId="164" fontId="1" fillId="0" borderId="11" xfId="0" applyNumberFormat="1" applyFont="1" applyBorder="1" applyAlignment="1">
      <alignment horizontal="center"/>
    </xf>
    <xf numFmtId="164" fontId="1" fillId="0" borderId="8" xfId="0" applyNumberFormat="1" applyFont="1" applyBorder="1" applyAlignment="1">
      <alignment horizontal="center"/>
    </xf>
    <xf numFmtId="164" fontId="1" fillId="0" borderId="12" xfId="0" applyNumberFormat="1" applyFont="1" applyBorder="1" applyAlignment="1">
      <alignment horizontal="center"/>
    </xf>
    <xf numFmtId="164" fontId="1" fillId="0" borderId="13" xfId="0" applyNumberFormat="1" applyFont="1" applyBorder="1" applyAlignment="1">
      <alignment horizontal="center"/>
    </xf>
    <xf numFmtId="164" fontId="1" fillId="0" borderId="9" xfId="0" applyNumberFormat="1" applyFont="1" applyBorder="1" applyAlignment="1">
      <alignment horizontal="center"/>
    </xf>
    <xf numFmtId="164" fontId="1" fillId="0" borderId="10" xfId="0" applyNumberFormat="1" applyFont="1" applyBorder="1" applyAlignment="1">
      <alignment horizontal="center"/>
    </xf>
    <xf numFmtId="0" fontId="1" fillId="8" borderId="1" xfId="0" applyFont="1" applyFill="1" applyBorder="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3" fillId="5" borderId="2" xfId="26" applyFill="1" applyBorder="1" applyAlignment="1">
      <alignment horizontal="left" vertical="center"/>
    </xf>
    <xf numFmtId="0" fontId="3" fillId="5" borderId="4" xfId="26" applyFill="1" applyBorder="1" applyAlignment="1">
      <alignment horizontal="left"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center"/>
    </xf>
    <xf numFmtId="0" fontId="1" fillId="0" borderId="4" xfId="0" applyFont="1" applyBorder="1" applyAlignment="1">
      <alignment horizontal="center"/>
    </xf>
    <xf numFmtId="0" fontId="1" fillId="4" borderId="0" xfId="0" applyFont="1" applyFill="1" applyAlignment="1">
      <alignment horizontal="left" wrapText="1"/>
    </xf>
    <xf numFmtId="0" fontId="23" fillId="8" borderId="11" xfId="0" applyFont="1" applyFill="1" applyBorder="1" applyAlignment="1">
      <alignment horizontal="left"/>
    </xf>
    <xf numFmtId="0" fontId="23" fillId="8" borderId="8" xfId="0" applyFont="1" applyFill="1" applyBorder="1" applyAlignment="1">
      <alignment horizontal="left"/>
    </xf>
    <xf numFmtId="0" fontId="23" fillId="8" borderId="12" xfId="0" applyFont="1" applyFill="1" applyBorder="1" applyAlignment="1">
      <alignment horizontal="left"/>
    </xf>
    <xf numFmtId="0" fontId="27" fillId="8" borderId="13" xfId="0" applyFont="1" applyFill="1" applyBorder="1" applyAlignment="1">
      <alignment horizontal="left" wrapText="1"/>
    </xf>
    <xf numFmtId="0" fontId="27" fillId="8" borderId="9" xfId="0" applyFont="1" applyFill="1" applyBorder="1" applyAlignment="1">
      <alignment horizontal="left" wrapText="1"/>
    </xf>
    <xf numFmtId="0" fontId="27" fillId="8" borderId="10" xfId="0" applyFont="1" applyFill="1" applyBorder="1" applyAlignment="1">
      <alignment horizontal="left" wrapText="1"/>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4" xfId="0" applyFont="1" applyFill="1" applyBorder="1" applyAlignment="1">
      <alignment horizontal="center" vertical="center"/>
    </xf>
    <xf numFmtId="0" fontId="3" fillId="8" borderId="2" xfId="9" applyFill="1" applyBorder="1" applyAlignment="1">
      <alignment horizontal="center" vertical="center"/>
    </xf>
    <xf numFmtId="0" fontId="3" fillId="8" borderId="3" xfId="9" applyFill="1" applyBorder="1" applyAlignment="1">
      <alignment horizontal="center" vertical="center"/>
    </xf>
    <xf numFmtId="0" fontId="3" fillId="8" borderId="4" xfId="9" applyFill="1" applyBorder="1" applyAlignment="1">
      <alignment horizontal="center" vertical="center"/>
    </xf>
    <xf numFmtId="0" fontId="21" fillId="8" borderId="11" xfId="0" applyFont="1" applyFill="1" applyBorder="1" applyAlignment="1">
      <alignment horizontal="left"/>
    </xf>
    <xf numFmtId="0" fontId="21" fillId="8" borderId="8" xfId="0" applyFont="1" applyFill="1" applyBorder="1" applyAlignment="1">
      <alignment horizontal="left"/>
    </xf>
    <xf numFmtId="0" fontId="21" fillId="8" borderId="12" xfId="0" applyFont="1" applyFill="1" applyBorder="1" applyAlignment="1">
      <alignment horizontal="left"/>
    </xf>
    <xf numFmtId="0" fontId="26" fillId="8" borderId="13" xfId="0" applyFont="1" applyFill="1" applyBorder="1" applyAlignment="1">
      <alignment horizontal="left" vertical="center" wrapText="1"/>
    </xf>
    <xf numFmtId="0" fontId="26" fillId="8" borderId="9" xfId="0" applyFont="1" applyFill="1" applyBorder="1" applyAlignment="1">
      <alignment horizontal="left" vertical="center" wrapText="1"/>
    </xf>
    <xf numFmtId="0" fontId="26" fillId="8" borderId="10" xfId="0" applyFont="1" applyFill="1" applyBorder="1" applyAlignment="1">
      <alignment horizontal="left" vertical="center" wrapText="1"/>
    </xf>
    <xf numFmtId="0" fontId="1" fillId="0" borderId="3" xfId="0" applyFont="1" applyBorder="1" applyAlignment="1">
      <alignment horizontal="left" vertical="center"/>
    </xf>
    <xf numFmtId="0" fontId="3" fillId="5" borderId="2" xfId="9" applyFill="1" applyBorder="1" applyAlignment="1">
      <alignment horizontal="left" vertical="center"/>
    </xf>
    <xf numFmtId="0" fontId="3" fillId="5" borderId="3" xfId="9" applyFill="1" applyBorder="1" applyAlignment="1">
      <alignment horizontal="left" vertical="center"/>
    </xf>
    <xf numFmtId="0" fontId="3" fillId="5" borderId="4" xfId="9" applyFill="1" applyBorder="1" applyAlignment="1">
      <alignment horizontal="left" vertical="center"/>
    </xf>
    <xf numFmtId="0" fontId="1" fillId="0" borderId="3" xfId="0" applyFont="1" applyBorder="1" applyAlignment="1">
      <alignment horizontal="center"/>
    </xf>
    <xf numFmtId="0" fontId="1" fillId="0" borderId="3" xfId="0" applyFont="1" applyBorder="1" applyAlignment="1">
      <alignment horizontal="left" vertical="center" wrapText="1"/>
    </xf>
    <xf numFmtId="0" fontId="3" fillId="5" borderId="2" xfId="9" applyFill="1" applyBorder="1" applyAlignment="1">
      <alignment horizontal="left" vertical="center" wrapText="1"/>
    </xf>
    <xf numFmtId="0" fontId="3" fillId="5" borderId="3" xfId="9" applyFill="1" applyBorder="1" applyAlignment="1">
      <alignment horizontal="left" vertical="center" wrapText="1"/>
    </xf>
    <xf numFmtId="0" fontId="3" fillId="5" borderId="4" xfId="9" applyFill="1" applyBorder="1" applyAlignment="1">
      <alignment horizontal="left" vertical="center" wrapText="1"/>
    </xf>
    <xf numFmtId="0" fontId="1" fillId="5" borderId="2" xfId="26" applyFont="1" applyFill="1" applyBorder="1" applyAlignment="1">
      <alignment horizontal="left" vertical="center" wrapText="1"/>
    </xf>
    <xf numFmtId="0" fontId="3" fillId="5" borderId="3" xfId="26" applyFill="1" applyBorder="1" applyAlignment="1">
      <alignment horizontal="left" vertical="center" wrapText="1"/>
    </xf>
    <xf numFmtId="0" fontId="3" fillId="5" borderId="4" xfId="26" applyFill="1" applyBorder="1" applyAlignment="1">
      <alignment horizontal="left" vertical="center" wrapText="1"/>
    </xf>
    <xf numFmtId="0" fontId="1" fillId="0" borderId="1" xfId="0" applyFont="1" applyBorder="1" applyAlignment="1">
      <alignment horizontal="left" vertical="center" wrapText="1"/>
    </xf>
    <xf numFmtId="0" fontId="1" fillId="5" borderId="3" xfId="26" applyFont="1" applyFill="1" applyBorder="1" applyAlignment="1">
      <alignment horizontal="left" vertical="center" wrapText="1"/>
    </xf>
    <xf numFmtId="0" fontId="1" fillId="5" borderId="4" xfId="26" applyFont="1" applyFill="1" applyBorder="1" applyAlignment="1">
      <alignment horizontal="left" vertical="center" wrapText="1"/>
    </xf>
    <xf numFmtId="0" fontId="3" fillId="5" borderId="2" xfId="26" applyFill="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8" borderId="2"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2" xfId="0" applyFont="1" applyFill="1" applyBorder="1" applyAlignment="1">
      <alignment horizontal="left" vertical="center"/>
    </xf>
    <xf numFmtId="0" fontId="1" fillId="8" borderId="4" xfId="0" applyFont="1" applyFill="1" applyBorder="1" applyAlignment="1">
      <alignment horizontal="left" vertical="center"/>
    </xf>
    <xf numFmtId="0" fontId="1" fillId="5" borderId="0" xfId="0" applyFont="1" applyFill="1" applyAlignment="1">
      <alignment horizontal="left" vertical="top" wrapText="1"/>
    </xf>
    <xf numFmtId="0" fontId="1" fillId="8" borderId="3" xfId="0" applyFont="1" applyFill="1" applyBorder="1" applyAlignment="1">
      <alignment horizontal="left" vertical="center"/>
    </xf>
    <xf numFmtId="0" fontId="1" fillId="8" borderId="6" xfId="0" applyFont="1" applyFill="1" applyBorder="1" applyAlignment="1">
      <alignment horizontal="center" vertical="center"/>
    </xf>
    <xf numFmtId="0" fontId="14" fillId="7" borderId="16" xfId="0" applyFont="1" applyFill="1" applyBorder="1" applyAlignment="1">
      <alignment horizontal="left" vertical="center"/>
    </xf>
    <xf numFmtId="0" fontId="14" fillId="7" borderId="0" xfId="0" applyFont="1" applyFill="1" applyAlignment="1">
      <alignment horizontal="left" vertical="center"/>
    </xf>
    <xf numFmtId="0" fontId="14" fillId="7" borderId="14" xfId="0" applyFont="1" applyFill="1" applyBorder="1" applyAlignment="1">
      <alignment horizontal="left" vertical="center"/>
    </xf>
    <xf numFmtId="0" fontId="21" fillId="8" borderId="11" xfId="4" applyFont="1" applyFill="1" applyBorder="1" applyAlignment="1">
      <alignment horizontal="left"/>
    </xf>
    <xf numFmtId="0" fontId="21" fillId="8" borderId="8" xfId="4" applyFont="1" applyFill="1" applyBorder="1" applyAlignment="1">
      <alignment horizontal="left"/>
    </xf>
    <xf numFmtId="0" fontId="21" fillId="8" borderId="12" xfId="4" applyFont="1" applyFill="1" applyBorder="1" applyAlignment="1">
      <alignment horizontal="left"/>
    </xf>
    <xf numFmtId="0" fontId="26" fillId="8" borderId="13" xfId="4" applyFont="1" applyFill="1" applyBorder="1" applyAlignment="1">
      <alignment horizontal="left" vertical="center" wrapText="1"/>
    </xf>
    <xf numFmtId="0" fontId="26" fillId="8" borderId="9" xfId="4" applyFont="1" applyFill="1" applyBorder="1" applyAlignment="1">
      <alignment horizontal="left" vertical="center" wrapText="1"/>
    </xf>
    <xf numFmtId="0" fontId="26" fillId="8" borderId="10" xfId="4" applyFont="1" applyFill="1" applyBorder="1" applyAlignment="1">
      <alignment horizontal="left" vertical="center" wrapText="1"/>
    </xf>
    <xf numFmtId="0" fontId="1" fillId="0" borderId="0" xfId="0" applyFont="1" applyAlignment="1">
      <alignment horizontal="center"/>
    </xf>
    <xf numFmtId="0" fontId="1" fillId="8" borderId="13"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4" borderId="0" xfId="4" applyFont="1" applyFill="1" applyAlignment="1">
      <alignment horizontal="left" wrapText="1"/>
    </xf>
    <xf numFmtId="0" fontId="8" fillId="4" borderId="0" xfId="4" applyFill="1" applyAlignment="1">
      <alignment horizontal="left" wrapText="1"/>
    </xf>
    <xf numFmtId="9" fontId="1" fillId="5" borderId="6" xfId="2" applyFont="1" applyFill="1" applyBorder="1" applyAlignment="1">
      <alignment horizontal="center" vertical="center" wrapText="1"/>
    </xf>
    <xf numFmtId="9" fontId="1" fillId="5" borderId="5" xfId="2" applyFont="1" applyFill="1" applyBorder="1" applyAlignment="1">
      <alignment horizontal="center" vertical="center" wrapText="1"/>
    </xf>
    <xf numFmtId="0" fontId="27" fillId="8" borderId="13"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27" fillId="8" borderId="10" xfId="0" applyFont="1" applyFill="1" applyBorder="1" applyAlignment="1">
      <alignment horizontal="center" vertical="center" wrapText="1"/>
    </xf>
    <xf numFmtId="0" fontId="14" fillId="7" borderId="6" xfId="0" applyFont="1" applyFill="1" applyBorder="1" applyAlignment="1">
      <alignment horizontal="left" vertical="center"/>
    </xf>
    <xf numFmtId="0" fontId="14" fillId="7" borderId="7" xfId="0" applyFont="1" applyFill="1" applyBorder="1" applyAlignment="1">
      <alignment horizontal="left" vertical="center"/>
    </xf>
    <xf numFmtId="0" fontId="14" fillId="7" borderId="5" xfId="0" applyFont="1" applyFill="1" applyBorder="1" applyAlignment="1">
      <alignment horizontal="left" vertical="center"/>
    </xf>
    <xf numFmtId="0" fontId="1" fillId="4" borderId="0" xfId="47" applyFill="1" applyAlignment="1">
      <alignment horizontal="left" vertical="top" wrapText="1"/>
    </xf>
    <xf numFmtId="0" fontId="26" fillId="8" borderId="13" xfId="4" applyFont="1" applyFill="1" applyBorder="1" applyAlignment="1">
      <alignment horizontal="left" vertical="top" wrapText="1"/>
    </xf>
    <xf numFmtId="0" fontId="26" fillId="8" borderId="9" xfId="4" applyFont="1" applyFill="1" applyBorder="1" applyAlignment="1">
      <alignment horizontal="left" vertical="top" wrapText="1"/>
    </xf>
    <xf numFmtId="0" fontId="26" fillId="8" borderId="10" xfId="4" applyFont="1" applyFill="1" applyBorder="1" applyAlignment="1">
      <alignment horizontal="left" vertical="top" wrapText="1"/>
    </xf>
    <xf numFmtId="0" fontId="19" fillId="5" borderId="1" xfId="5" applyFont="1" applyFill="1" applyBorder="1" applyAlignment="1">
      <alignment vertical="center" wrapText="1"/>
    </xf>
    <xf numFmtId="0" fontId="22" fillId="5" borderId="1" xfId="6" applyFill="1" applyBorder="1" applyAlignment="1">
      <alignment horizontal="left" wrapText="1"/>
    </xf>
    <xf numFmtId="0" fontId="19" fillId="5" borderId="1" xfId="5" applyFont="1" applyFill="1" applyBorder="1" applyAlignment="1">
      <alignment horizontal="left" wrapText="1"/>
    </xf>
    <xf numFmtId="0" fontId="19" fillId="8" borderId="1" xfId="5" applyFont="1" applyFill="1" applyBorder="1" applyAlignment="1">
      <alignment horizontal="right"/>
    </xf>
    <xf numFmtId="0" fontId="27" fillId="8" borderId="13" xfId="0" applyFont="1" applyFill="1" applyBorder="1" applyAlignment="1">
      <alignment horizontal="left" vertical="center" wrapText="1"/>
    </xf>
    <xf numFmtId="0" fontId="27" fillId="8" borderId="9" xfId="0" applyFont="1" applyFill="1" applyBorder="1" applyAlignment="1">
      <alignment horizontal="left" vertical="center" wrapText="1"/>
    </xf>
    <xf numFmtId="0" fontId="27" fillId="8" borderId="10" xfId="0" applyFont="1" applyFill="1" applyBorder="1" applyAlignment="1">
      <alignment horizontal="left" vertical="center"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cellXfs>
  <cellStyles count="50">
    <cellStyle name="Calculation 2" xfId="15" xr:uid="{00000000-0005-0000-0000-000000000000}"/>
    <cellStyle name="Comma" xfId="1" builtinId="3"/>
    <cellStyle name="Comma 14" xfId="18" xr:uid="{00000000-0005-0000-0000-000002000000}"/>
    <cellStyle name="Comma 14 2" xfId="39" xr:uid="{67AB4A7C-8325-4B56-8A26-C7A4CB8924D0}"/>
    <cellStyle name="Comma 2" xfId="14" xr:uid="{00000000-0005-0000-0000-000003000000}"/>
    <cellStyle name="Comma 2 2" xfId="37" xr:uid="{FCCD8A0F-574D-4906-8930-14B24F4E98B2}"/>
    <cellStyle name="Comma 2 2 2" xfId="49" xr:uid="{EF0E1256-CF3D-4702-A674-E8EDA3F654E5}"/>
    <cellStyle name="Comma 3" xfId="19" xr:uid="{00000000-0005-0000-0000-000004000000}"/>
    <cellStyle name="Comma 3 2" xfId="40" xr:uid="{BA6B877B-0E2B-4325-88D4-0D30F1D21308}"/>
    <cellStyle name="Comma 4" xfId="25" xr:uid="{00000000-0005-0000-0000-000005000000}"/>
    <cellStyle name="Comma 4 2" xfId="42" xr:uid="{0A6D72C4-3FC1-4100-B5DF-2ED97FE4E017}"/>
    <cellStyle name="Comma 5" xfId="10" xr:uid="{00000000-0005-0000-0000-000006000000}"/>
    <cellStyle name="Comma 5 2" xfId="36" xr:uid="{EAF40868-8627-4505-8C61-2A5181945213}"/>
    <cellStyle name="Comma 6" xfId="31" xr:uid="{D6C4A7B5-BC10-4AFC-A8C6-08AFD80A98B3}"/>
    <cellStyle name="Comma 7" xfId="48" xr:uid="{6421BBAF-6164-471E-95C6-CF371AA569F0}"/>
    <cellStyle name="Explanatory Text 2" xfId="13" xr:uid="{00000000-0005-0000-0000-000007000000}"/>
    <cellStyle name="Hyperlink" xfId="6" builtinId="8"/>
    <cellStyle name="Hyperlink 6" xfId="17" xr:uid="{00000000-0005-0000-0000-000009000000}"/>
    <cellStyle name="Input 2" xfId="12" xr:uid="{00000000-0005-0000-0000-00000A000000}"/>
    <cellStyle name="Normal" xfId="0" builtinId="0"/>
    <cellStyle name="Normal 10" xfId="47" xr:uid="{69731F75-7F3C-4F84-883C-9C4FADF1039B}"/>
    <cellStyle name="Normal 10 2" xfId="20" xr:uid="{00000000-0005-0000-0000-00000C000000}"/>
    <cellStyle name="Normal 10 2 2" xfId="21" xr:uid="{00000000-0005-0000-0000-00000D000000}"/>
    <cellStyle name="Normal 10 2 3" xfId="24" xr:uid="{00000000-0005-0000-0000-00000E000000}"/>
    <cellStyle name="Normal 10 2 4" xfId="23" xr:uid="{00000000-0005-0000-0000-00000F000000}"/>
    <cellStyle name="Normal 2" xfId="3" xr:uid="{00000000-0005-0000-0000-000010000000}"/>
    <cellStyle name="Normal 2 2" xfId="26" xr:uid="{00000000-0005-0000-0000-000011000000}"/>
    <cellStyle name="Normal 2 2 2" xfId="43" xr:uid="{D2D22568-B522-4E26-B55D-93F053FC5AFC}"/>
    <cellStyle name="Normal 2 3" xfId="11" xr:uid="{00000000-0005-0000-0000-000012000000}"/>
    <cellStyle name="Normal 2 4" xfId="32" xr:uid="{F37D7CB4-9C54-4588-9BB4-32C6D1B65F49}"/>
    <cellStyle name="Normal 3" xfId="4" xr:uid="{00000000-0005-0000-0000-000013000000}"/>
    <cellStyle name="Normal 3 2" xfId="5" xr:uid="{00000000-0005-0000-0000-000014000000}"/>
    <cellStyle name="Normal 3 3" xfId="33" xr:uid="{37236DE2-8BA0-49C4-BCD3-2BF300C65991}"/>
    <cellStyle name="Normal 4" xfId="7" xr:uid="{00000000-0005-0000-0000-000015000000}"/>
    <cellStyle name="Normal 5" xfId="28" xr:uid="{00000000-0005-0000-0000-000016000000}"/>
    <cellStyle name="Normal 57" xfId="16" xr:uid="{00000000-0005-0000-0000-000017000000}"/>
    <cellStyle name="Normal 57 2" xfId="38" xr:uid="{42CE17FC-FD37-4251-8B2F-64C1ABB6450C}"/>
    <cellStyle name="Normal 58" xfId="8" xr:uid="{00000000-0005-0000-0000-000018000000}"/>
    <cellStyle name="Normal 58 2" xfId="22" xr:uid="{00000000-0005-0000-0000-000019000000}"/>
    <cellStyle name="Normal 58 2 2" xfId="41" xr:uid="{B165595E-1F22-4053-A17A-7B0E94712706}"/>
    <cellStyle name="Normal 58 3" xfId="34" xr:uid="{AFC277C9-23DF-42AD-9298-6FD4F0EF3BEC}"/>
    <cellStyle name="Normal 6" xfId="29" xr:uid="{00000000-0005-0000-0000-00001A000000}"/>
    <cellStyle name="Normal 7" xfId="9" xr:uid="{00000000-0005-0000-0000-00001B000000}"/>
    <cellStyle name="Normal 7 2" xfId="35" xr:uid="{7096E980-4C9E-4516-B0A4-14B4631CBD19}"/>
    <cellStyle name="Normal 8" xfId="30" xr:uid="{00000000-0005-0000-0000-00001C000000}"/>
    <cellStyle name="Normal 8 2" xfId="45" xr:uid="{629749AE-6F6C-4F47-AA35-9C954CD555AF}"/>
    <cellStyle name="Normal 9" xfId="46" xr:uid="{39FC05AF-D9E2-4607-8D2B-E8B60ED56566}"/>
    <cellStyle name="Per cent" xfId="2" builtinId="5"/>
    <cellStyle name="Percent 2" xfId="27" xr:uid="{00000000-0005-0000-0000-00001E000000}"/>
    <cellStyle name="Percent 2 2" xfId="44" xr:uid="{53C9A370-D37B-44E9-B5BF-EE56A71EBFF0}"/>
  </cellStyles>
  <dxfs count="0"/>
  <tableStyles count="0" defaultTableStyle="TableStyleMedium2" defaultPivotStyle="PivotStyleLight16"/>
  <colors>
    <mruColors>
      <color rgb="FFFF5050"/>
      <color rgb="FFFFF2CC"/>
      <color rgb="FFFF0066"/>
      <color rgb="FF66FF33"/>
      <color rgb="FFFF7C8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133826</xdr:colOff>
      <xdr:row>0</xdr:row>
      <xdr:rowOff>32397</xdr:rowOff>
    </xdr:from>
    <xdr:to>
      <xdr:col>2</xdr:col>
      <xdr:colOff>629731</xdr:colOff>
      <xdr:row>0</xdr:row>
      <xdr:rowOff>668921</xdr:rowOff>
    </xdr:to>
    <xdr:pic>
      <xdr:nvPicPr>
        <xdr:cNvPr id="5" name="Picture 4" descr="Ofgem Logo&#10;Making a positive difference for energy consumers&#10;">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26" y="32397"/>
          <a:ext cx="2667605" cy="636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14753</xdr:colOff>
      <xdr:row>41</xdr:row>
      <xdr:rowOff>172265</xdr:rowOff>
    </xdr:from>
    <xdr:to>
      <xdr:col>2</xdr:col>
      <xdr:colOff>1096600</xdr:colOff>
      <xdr:row>47</xdr:row>
      <xdr:rowOff>55629</xdr:rowOff>
    </xdr:to>
    <xdr:sp macro="" textlink="">
      <xdr:nvSpPr>
        <xdr:cNvPr id="5" name="TextBox 26">
          <a:extLst>
            <a:ext uri="{FF2B5EF4-FFF2-40B4-BE49-F238E27FC236}">
              <a16:creationId xmlns:a16="http://schemas.microsoft.com/office/drawing/2014/main" id="{00000000-0008-0000-0100-00001B000000}"/>
            </a:ext>
          </a:extLst>
        </xdr:cNvPr>
        <xdr:cNvSpPr txBox="1"/>
      </xdr:nvSpPr>
      <xdr:spPr>
        <a:xfrm>
          <a:off x="622539" y="9815194"/>
          <a:ext cx="2932418" cy="96286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1a SMNCC values</a:t>
          </a:r>
        </a:p>
        <a:p>
          <a:endParaRPr lang="en-GB" sz="1000">
            <a:latin typeface="Verdana" panose="020B0604030504040204" pitchFamily="34" charset="0"/>
            <a:ea typeface="Verdana" panose="020B0604030504040204" pitchFamily="34" charset="0"/>
            <a:cs typeface="Verdana" panose="020B0604030504040204" pitchFamily="34" charset="0"/>
          </a:endParaRPr>
        </a:p>
        <a:p>
          <a:r>
            <a:rPr lang="en-GB" sz="1000">
              <a:latin typeface="Verdana" panose="020B0604030504040204" pitchFamily="34" charset="0"/>
              <a:ea typeface="Verdana" panose="020B0604030504040204" pitchFamily="34" charset="0"/>
              <a:cs typeface="Verdana" panose="020B0604030504040204" pitchFamily="34" charset="0"/>
            </a:rPr>
            <a:t>Table showing the calculation of the SMNCC at benchmark consumption levels m (typical), and nil consumption</a:t>
          </a:r>
        </a:p>
      </xdr:txBody>
    </xdr:sp>
    <xdr:clientData/>
  </xdr:twoCellAnchor>
  <xdr:twoCellAnchor>
    <xdr:from>
      <xdr:col>3</xdr:col>
      <xdr:colOff>1334095</xdr:colOff>
      <xdr:row>42</xdr:row>
      <xdr:rowOff>116681</xdr:rowOff>
    </xdr:from>
    <xdr:to>
      <xdr:col>5</xdr:col>
      <xdr:colOff>359403</xdr:colOff>
      <xdr:row>46</xdr:row>
      <xdr:rowOff>160733</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5350924" y="7633267"/>
          <a:ext cx="2982265" cy="78428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2a Non pass-through costs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output of the model - the non-pass-through SMNCC</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47</xdr:row>
      <xdr:rowOff>95845</xdr:rowOff>
    </xdr:from>
    <xdr:to>
      <xdr:col>5</xdr:col>
      <xdr:colOff>359403</xdr:colOff>
      <xdr:row>51</xdr:row>
      <xdr:rowOff>160138</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5350924" y="8537716"/>
          <a:ext cx="2982265" cy="80452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2b SEGB</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Smart Energy GB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52</xdr:row>
      <xdr:rowOff>95249</xdr:rowOff>
    </xdr:from>
    <xdr:to>
      <xdr:col>5</xdr:col>
      <xdr:colOff>359403</xdr:colOff>
      <xdr:row>56</xdr:row>
      <xdr:rowOff>159542</xdr:rowOff>
    </xdr:to>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5350924" y="9462406"/>
          <a:ext cx="2982265" cy="80452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2c</a:t>
          </a:r>
          <a:r>
            <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rPr>
            <a:t> DCC</a:t>
          </a:r>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DCC</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a:t>
          </a:r>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1343167</xdr:colOff>
      <xdr:row>92</xdr:row>
      <xdr:rowOff>13010</xdr:rowOff>
    </xdr:from>
    <xdr:to>
      <xdr:col>5</xdr:col>
      <xdr:colOff>368475</xdr:colOff>
      <xdr:row>96</xdr:row>
      <xdr:rowOff>77303</xdr:rowOff>
    </xdr:to>
    <xdr:sp macro="" textlink="">
      <xdr:nvSpPr>
        <xdr:cNvPr id="244" name="TextBox 30">
          <a:extLst>
            <a:ext uri="{FF2B5EF4-FFF2-40B4-BE49-F238E27FC236}">
              <a16:creationId xmlns:a16="http://schemas.microsoft.com/office/drawing/2014/main" id="{00000000-0008-0000-0100-00001F000000}"/>
            </a:ext>
          </a:extLst>
        </xdr:cNvPr>
        <xdr:cNvSpPr txBox="1"/>
      </xdr:nvSpPr>
      <xdr:spPr>
        <a:xfrm>
          <a:off x="5280167" y="18899724"/>
          <a:ext cx="5747237" cy="790008"/>
        </a:xfrm>
        <a:prstGeom prst="rect">
          <a:avLst/>
        </a:prstGeom>
        <a:solidFill>
          <a:srgbClr val="FF7C8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2d SMICoP</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SMICoP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97</xdr:row>
      <xdr:rowOff>48700</xdr:rowOff>
    </xdr:from>
    <xdr:to>
      <xdr:col>5</xdr:col>
      <xdr:colOff>359403</xdr:colOff>
      <xdr:row>101</xdr:row>
      <xdr:rowOff>112993</xdr:rowOff>
    </xdr:to>
    <xdr:sp macro="" textlink="">
      <xdr:nvSpPr>
        <xdr:cNvPr id="245" name="TextBox 31">
          <a:extLst>
            <a:ext uri="{FF2B5EF4-FFF2-40B4-BE49-F238E27FC236}">
              <a16:creationId xmlns:a16="http://schemas.microsoft.com/office/drawing/2014/main" id="{00000000-0008-0000-0100-000020000000}"/>
            </a:ext>
          </a:extLst>
        </xdr:cNvPr>
        <xdr:cNvSpPr txBox="1"/>
      </xdr:nvSpPr>
      <xdr:spPr>
        <a:xfrm>
          <a:off x="5271095" y="19842557"/>
          <a:ext cx="5747237" cy="790007"/>
        </a:xfrm>
        <a:prstGeom prst="rect">
          <a:avLst/>
        </a:prstGeom>
        <a:solidFill>
          <a:srgbClr val="FF7C8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2e CPIH</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CPIH input</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data used in the calculation of the SMNCC</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57</xdr:row>
      <xdr:rowOff>111605</xdr:rowOff>
    </xdr:from>
    <xdr:to>
      <xdr:col>5</xdr:col>
      <xdr:colOff>359403</xdr:colOff>
      <xdr:row>62</xdr:row>
      <xdr:rowOff>137797</xdr:rowOff>
    </xdr:to>
    <xdr:sp macro="" textlink="">
      <xdr:nvSpPr>
        <xdr:cNvPr id="137" name="TextBox 32">
          <a:extLst>
            <a:ext uri="{FF2B5EF4-FFF2-40B4-BE49-F238E27FC236}">
              <a16:creationId xmlns:a16="http://schemas.microsoft.com/office/drawing/2014/main" id="{00000000-0008-0000-0100-000021000000}"/>
            </a:ext>
          </a:extLst>
        </xdr:cNvPr>
        <xdr:cNvSpPr txBox="1"/>
      </xdr:nvSpPr>
      <xdr:spPr>
        <a:xfrm>
          <a:off x="5271095" y="12648319"/>
          <a:ext cx="5747237" cy="93333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2f</a:t>
          </a:r>
          <a:r>
            <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rPr>
            <a:t> Scaling factor</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a:t>
          </a:r>
          <a:r>
            <a:rPr lang="en-GB" sz="1000" b="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showing the scaling factor</a:t>
          </a:r>
          <a:r>
            <a:rPr lang="en-GB" sz="1000" b="0"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for nil consumption used in the calculation of the SMNCC and Industry Charges at nil consumption</a:t>
          </a:r>
          <a:endParaRPr lang="en-GB" sz="1000" b="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591144</xdr:colOff>
      <xdr:row>53</xdr:row>
      <xdr:rowOff>161925</xdr:rowOff>
    </xdr:from>
    <xdr:to>
      <xdr:col>12</xdr:col>
      <xdr:colOff>163285</xdr:colOff>
      <xdr:row>56</xdr:row>
      <xdr:rowOff>108857</xdr:rowOff>
    </xdr:to>
    <xdr:sp macro="" textlink="">
      <xdr:nvSpPr>
        <xdr:cNvPr id="329" name="TextBox 35">
          <a:extLst>
            <a:ext uri="{FF2B5EF4-FFF2-40B4-BE49-F238E27FC236}">
              <a16:creationId xmlns:a16="http://schemas.microsoft.com/office/drawing/2014/main" id="{00000000-0008-0000-0100-000024000000}"/>
            </a:ext>
          </a:extLst>
        </xdr:cNvPr>
        <xdr:cNvSpPr txBox="1"/>
      </xdr:nvSpPr>
      <xdr:spPr>
        <a:xfrm>
          <a:off x="13073430" y="11972925"/>
          <a:ext cx="2003284" cy="491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DCC Charging Statements</a:t>
          </a:r>
        </a:p>
      </xdr:txBody>
    </xdr:sp>
    <xdr:clientData/>
  </xdr:twoCellAnchor>
  <xdr:twoCellAnchor>
    <xdr:from>
      <xdr:col>8</xdr:col>
      <xdr:colOff>591144</xdr:colOff>
      <xdr:row>48</xdr:row>
      <xdr:rowOff>34527</xdr:rowOff>
    </xdr:from>
    <xdr:to>
      <xdr:col>12</xdr:col>
      <xdr:colOff>120252</xdr:colOff>
      <xdr:row>51</xdr:row>
      <xdr:rowOff>95249</xdr:rowOff>
    </xdr:to>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10524358" y="8661456"/>
          <a:ext cx="2141680" cy="6158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SEGB Consumer Engagement Plan and Budget</a:t>
          </a:r>
        </a:p>
      </xdr:txBody>
    </xdr:sp>
    <xdr:clientData/>
  </xdr:twoCellAnchor>
  <xdr:twoCellAnchor>
    <xdr:from>
      <xdr:col>8</xdr:col>
      <xdr:colOff>591144</xdr:colOff>
      <xdr:row>58</xdr:row>
      <xdr:rowOff>70244</xdr:rowOff>
    </xdr:from>
    <xdr:to>
      <xdr:col>12</xdr:col>
      <xdr:colOff>226785</xdr:colOff>
      <xdr:row>61</xdr:row>
      <xdr:rowOff>-1</xdr:rowOff>
    </xdr:to>
    <xdr:sp macro="" textlink="">
      <xdr:nvSpPr>
        <xdr:cNvPr id="280" name="TextBox 37">
          <a:extLst>
            <a:ext uri="{FF2B5EF4-FFF2-40B4-BE49-F238E27FC236}">
              <a16:creationId xmlns:a16="http://schemas.microsoft.com/office/drawing/2014/main" id="{00000000-0008-0000-0100-000026000000}"/>
            </a:ext>
          </a:extLst>
        </xdr:cNvPr>
        <xdr:cNvSpPr txBox="1"/>
      </xdr:nvSpPr>
      <xdr:spPr>
        <a:xfrm>
          <a:off x="13073430" y="12788387"/>
          <a:ext cx="2066784" cy="4740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DESNZ meter point statistics</a:t>
          </a:r>
        </a:p>
      </xdr:txBody>
    </xdr:sp>
    <xdr:clientData/>
  </xdr:twoCellAnchor>
  <xdr:twoCellAnchor>
    <xdr:from>
      <xdr:col>8</xdr:col>
      <xdr:colOff>582073</xdr:colOff>
      <xdr:row>43</xdr:row>
      <xdr:rowOff>28745</xdr:rowOff>
    </xdr:from>
    <xdr:to>
      <xdr:col>12</xdr:col>
      <xdr:colOff>111181</xdr:colOff>
      <xdr:row>46</xdr:row>
      <xdr:rowOff>89466</xdr:rowOff>
    </xdr:to>
    <xdr:sp macro="" textlink="">
      <xdr:nvSpPr>
        <xdr:cNvPr id="328" name="TextBox 38">
          <a:extLst>
            <a:ext uri="{FF2B5EF4-FFF2-40B4-BE49-F238E27FC236}">
              <a16:creationId xmlns:a16="http://schemas.microsoft.com/office/drawing/2014/main" id="{00000000-0008-0000-0100-000027000000}"/>
            </a:ext>
          </a:extLst>
        </xdr:cNvPr>
        <xdr:cNvSpPr txBox="1"/>
      </xdr:nvSpPr>
      <xdr:spPr>
        <a:xfrm>
          <a:off x="13064359" y="10025459"/>
          <a:ext cx="1960251" cy="60500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Non-pass-through model</a:t>
          </a:r>
        </a:p>
      </xdr:txBody>
    </xdr:sp>
    <xdr:clientData/>
  </xdr:twoCellAnchor>
  <xdr:twoCellAnchor>
    <xdr:from>
      <xdr:col>5</xdr:col>
      <xdr:colOff>363213</xdr:colOff>
      <xdr:row>54</xdr:row>
      <xdr:rowOff>130253</xdr:rowOff>
    </xdr:from>
    <xdr:to>
      <xdr:col>8</xdr:col>
      <xdr:colOff>587334</xdr:colOff>
      <xdr:row>55</xdr:row>
      <xdr:rowOff>44904</xdr:rowOff>
    </xdr:to>
    <xdr:cxnSp macro="">
      <xdr:nvCxnSpPr>
        <xdr:cNvPr id="40" name="Straight Arrow Connector 39" descr="Arrow pointing left">
          <a:extLst>
            <a:ext uri="{FF2B5EF4-FFF2-40B4-BE49-F238E27FC236}">
              <a16:creationId xmlns:a16="http://schemas.microsoft.com/office/drawing/2014/main" id="{00000000-0008-0000-0100-000028000000}"/>
            </a:ext>
          </a:extLst>
        </xdr:cNvPr>
        <xdr:cNvCxnSpPr>
          <a:stCxn id="329" idx="1"/>
          <a:endCxn id="30" idx="3"/>
        </xdr:cNvCxnSpPr>
      </xdr:nvCxnSpPr>
      <xdr:spPr>
        <a:xfrm flipH="1" flipV="1">
          <a:off x="10850238" y="11588828"/>
          <a:ext cx="2052921" cy="956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363141</xdr:colOff>
      <xdr:row>55</xdr:row>
      <xdr:rowOff>172640</xdr:rowOff>
    </xdr:from>
    <xdr:to>
      <xdr:col>8</xdr:col>
      <xdr:colOff>591144</xdr:colOff>
      <xdr:row>59</xdr:row>
      <xdr:rowOff>125837</xdr:rowOff>
    </xdr:to>
    <xdr:cxnSp macro="">
      <xdr:nvCxnSpPr>
        <xdr:cNvPr id="282" name="Straight Arrow Connector 40" descr="Arrow pointing left">
          <a:extLst>
            <a:ext uri="{FF2B5EF4-FFF2-40B4-BE49-F238E27FC236}">
              <a16:creationId xmlns:a16="http://schemas.microsoft.com/office/drawing/2014/main" id="{00000000-0008-0000-0100-000029000000}"/>
            </a:ext>
          </a:extLst>
        </xdr:cNvPr>
        <xdr:cNvCxnSpPr>
          <a:stCxn id="280" idx="1"/>
        </xdr:cNvCxnSpPr>
      </xdr:nvCxnSpPr>
      <xdr:spPr>
        <a:xfrm flipH="1" flipV="1">
          <a:off x="11022070" y="12346497"/>
          <a:ext cx="2051360" cy="67891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364807</xdr:colOff>
      <xdr:row>51</xdr:row>
      <xdr:rowOff>19525</xdr:rowOff>
    </xdr:from>
    <xdr:to>
      <xdr:col>8</xdr:col>
      <xdr:colOff>587334</xdr:colOff>
      <xdr:row>59</xdr:row>
      <xdr:rowOff>124657</xdr:rowOff>
    </xdr:to>
    <xdr:cxnSp macro="">
      <xdr:nvCxnSpPr>
        <xdr:cNvPr id="42" name="Straight Arrow Connector 41" descr="Arrow pointing left">
          <a:extLst>
            <a:ext uri="{FF2B5EF4-FFF2-40B4-BE49-F238E27FC236}">
              <a16:creationId xmlns:a16="http://schemas.microsoft.com/office/drawing/2014/main" id="{00000000-0008-0000-0100-00002A000000}"/>
            </a:ext>
          </a:extLst>
        </xdr:cNvPr>
        <xdr:cNvCxnSpPr>
          <a:stCxn id="280" idx="1"/>
        </xdr:cNvCxnSpPr>
      </xdr:nvCxnSpPr>
      <xdr:spPr>
        <a:xfrm flipH="1" flipV="1">
          <a:off x="10851832" y="10935175"/>
          <a:ext cx="2051327" cy="15529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364665</xdr:colOff>
      <xdr:row>59</xdr:row>
      <xdr:rowOff>124657</xdr:rowOff>
    </xdr:from>
    <xdr:to>
      <xdr:col>8</xdr:col>
      <xdr:colOff>587334</xdr:colOff>
      <xdr:row>94</xdr:row>
      <xdr:rowOff>47062</xdr:rowOff>
    </xdr:to>
    <xdr:cxnSp macro="">
      <xdr:nvCxnSpPr>
        <xdr:cNvPr id="43" name="Straight Arrow Connector 42" descr="Arrow pointing left">
          <a:extLst>
            <a:ext uri="{FF2B5EF4-FFF2-40B4-BE49-F238E27FC236}">
              <a16:creationId xmlns:a16="http://schemas.microsoft.com/office/drawing/2014/main" id="{00000000-0008-0000-0100-00002B000000}"/>
            </a:ext>
          </a:extLst>
        </xdr:cNvPr>
        <xdr:cNvCxnSpPr>
          <a:stCxn id="280" idx="1"/>
          <a:endCxn id="244" idx="3"/>
        </xdr:cNvCxnSpPr>
      </xdr:nvCxnSpPr>
      <xdr:spPr>
        <a:xfrm flipH="1">
          <a:off x="10851690" y="12488107"/>
          <a:ext cx="2051469" cy="62565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600216</xdr:colOff>
      <xdr:row>98</xdr:row>
      <xdr:rowOff>39801</xdr:rowOff>
    </xdr:from>
    <xdr:to>
      <xdr:col>12</xdr:col>
      <xdr:colOff>129324</xdr:colOff>
      <xdr:row>100</xdr:row>
      <xdr:rowOff>111691</xdr:rowOff>
    </xdr:to>
    <xdr:sp macro="" textlink="">
      <xdr:nvSpPr>
        <xdr:cNvPr id="447" name="TextBox 43">
          <a:extLst>
            <a:ext uri="{FF2B5EF4-FFF2-40B4-BE49-F238E27FC236}">
              <a16:creationId xmlns:a16="http://schemas.microsoft.com/office/drawing/2014/main" id="{00000000-0008-0000-0100-00002C000000}"/>
            </a:ext>
          </a:extLst>
        </xdr:cNvPr>
        <xdr:cNvSpPr txBox="1"/>
      </xdr:nvSpPr>
      <xdr:spPr>
        <a:xfrm>
          <a:off x="13082502" y="20015087"/>
          <a:ext cx="1960251" cy="43474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Office for National Statistics CPIH</a:t>
          </a:r>
        </a:p>
      </xdr:txBody>
    </xdr:sp>
    <xdr:clientData/>
  </xdr:twoCellAnchor>
  <xdr:twoCellAnchor>
    <xdr:from>
      <xdr:col>5</xdr:col>
      <xdr:colOff>363213</xdr:colOff>
      <xdr:row>99</xdr:row>
      <xdr:rowOff>75746</xdr:rowOff>
    </xdr:from>
    <xdr:to>
      <xdr:col>8</xdr:col>
      <xdr:colOff>598311</xdr:colOff>
      <xdr:row>99</xdr:row>
      <xdr:rowOff>81799</xdr:rowOff>
    </xdr:to>
    <xdr:cxnSp macro="">
      <xdr:nvCxnSpPr>
        <xdr:cNvPr id="45" name="Straight Arrow Connector 44" descr="Arrow pointing left">
          <a:extLst>
            <a:ext uri="{FF2B5EF4-FFF2-40B4-BE49-F238E27FC236}">
              <a16:creationId xmlns:a16="http://schemas.microsoft.com/office/drawing/2014/main" id="{00000000-0008-0000-0100-00002D000000}"/>
            </a:ext>
          </a:extLst>
        </xdr:cNvPr>
        <xdr:cNvCxnSpPr>
          <a:stCxn id="447" idx="1"/>
          <a:endCxn id="245" idx="3"/>
        </xdr:cNvCxnSpPr>
      </xdr:nvCxnSpPr>
      <xdr:spPr>
        <a:xfrm flipH="1">
          <a:off x="10850238" y="19678196"/>
          <a:ext cx="2063898" cy="605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359403</xdr:colOff>
      <xdr:row>49</xdr:row>
      <xdr:rowOff>127991</xdr:rowOff>
    </xdr:from>
    <xdr:to>
      <xdr:col>8</xdr:col>
      <xdr:colOff>591144</xdr:colOff>
      <xdr:row>49</xdr:row>
      <xdr:rowOff>154185</xdr:rowOff>
    </xdr:to>
    <xdr:cxnSp macro="">
      <xdr:nvCxnSpPr>
        <xdr:cNvPr id="46" name="Straight Arrow Connector 45" descr="Arrow pointing left">
          <a:extLst>
            <a:ext uri="{FF2B5EF4-FFF2-40B4-BE49-F238E27FC236}">
              <a16:creationId xmlns:a16="http://schemas.microsoft.com/office/drawing/2014/main" id="{00000000-0008-0000-0100-00002E000000}"/>
            </a:ext>
          </a:extLst>
        </xdr:cNvPr>
        <xdr:cNvCxnSpPr>
          <a:stCxn id="37" idx="1"/>
          <a:endCxn id="29" idx="3"/>
        </xdr:cNvCxnSpPr>
      </xdr:nvCxnSpPr>
      <xdr:spPr>
        <a:xfrm flipH="1" flipV="1">
          <a:off x="8333189" y="8939977"/>
          <a:ext cx="2191169" cy="26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363213</xdr:colOff>
      <xdr:row>44</xdr:row>
      <xdr:rowOff>139660</xdr:rowOff>
    </xdr:from>
    <xdr:to>
      <xdr:col>8</xdr:col>
      <xdr:colOff>583978</xdr:colOff>
      <xdr:row>44</xdr:row>
      <xdr:rowOff>150546</xdr:rowOff>
    </xdr:to>
    <xdr:cxnSp macro="">
      <xdr:nvCxnSpPr>
        <xdr:cNvPr id="47" name="Straight Arrow Connector 46" descr="Arrow pointing left">
          <a:extLst>
            <a:ext uri="{FF2B5EF4-FFF2-40B4-BE49-F238E27FC236}">
              <a16:creationId xmlns:a16="http://schemas.microsoft.com/office/drawing/2014/main" id="{00000000-0008-0000-0100-00002F000000}"/>
            </a:ext>
          </a:extLst>
        </xdr:cNvPr>
        <xdr:cNvCxnSpPr>
          <a:stCxn id="328" idx="1"/>
          <a:endCxn id="28" idx="3"/>
        </xdr:cNvCxnSpPr>
      </xdr:nvCxnSpPr>
      <xdr:spPr>
        <a:xfrm flipH="1" flipV="1">
          <a:off x="10850238" y="9788485"/>
          <a:ext cx="2049565" cy="108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1339356</xdr:colOff>
      <xdr:row>102</xdr:row>
      <xdr:rowOff>11457</xdr:rowOff>
    </xdr:from>
    <xdr:to>
      <xdr:col>5</xdr:col>
      <xdr:colOff>372284</xdr:colOff>
      <xdr:row>105</xdr:row>
      <xdr:rowOff>116115</xdr:rowOff>
    </xdr:to>
    <xdr:sp macro="" textlink="">
      <xdr:nvSpPr>
        <xdr:cNvPr id="246" name="TextBox 51">
          <a:extLst>
            <a:ext uri="{FF2B5EF4-FFF2-40B4-BE49-F238E27FC236}">
              <a16:creationId xmlns:a16="http://schemas.microsoft.com/office/drawing/2014/main" id="{F6984CDF-94A3-4BF0-B752-8CF8E8E450FF}"/>
            </a:ext>
          </a:extLst>
        </xdr:cNvPr>
        <xdr:cNvSpPr txBox="1"/>
      </xdr:nvSpPr>
      <xdr:spPr>
        <a:xfrm>
          <a:off x="5276356" y="20712457"/>
          <a:ext cx="5754857" cy="648944"/>
        </a:xfrm>
        <a:prstGeom prst="rect">
          <a:avLst/>
        </a:prstGeom>
        <a:solidFill>
          <a:srgbClr val="FF7C8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2g PPM cost offset</a:t>
          </a:r>
          <a:endPar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the indexed amount</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for the PPM additional cost offset. </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27215</xdr:colOff>
      <xdr:row>65</xdr:row>
      <xdr:rowOff>145142</xdr:rowOff>
    </xdr:from>
    <xdr:to>
      <xdr:col>2</xdr:col>
      <xdr:colOff>1109062</xdr:colOff>
      <xdr:row>71</xdr:row>
      <xdr:rowOff>181428</xdr:rowOff>
    </xdr:to>
    <xdr:sp macro="" textlink="">
      <xdr:nvSpPr>
        <xdr:cNvPr id="292" name="TextBox 1">
          <a:extLst>
            <a:ext uri="{FF2B5EF4-FFF2-40B4-BE49-F238E27FC236}">
              <a16:creationId xmlns:a16="http://schemas.microsoft.com/office/drawing/2014/main" id="{A304273B-585A-4A22-956E-B30A43260026}"/>
            </a:ext>
          </a:extLst>
        </xdr:cNvPr>
        <xdr:cNvSpPr txBox="1"/>
      </xdr:nvSpPr>
      <xdr:spPr>
        <a:xfrm>
          <a:off x="635001" y="14133285"/>
          <a:ext cx="2932418" cy="1124857"/>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1b IC values</a:t>
          </a:r>
        </a:p>
        <a:p>
          <a:endPar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r>
            <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Table showing the calculation of the pass-through Industry Charge allowance at benchmark consumption levels m (typical), and nil consumption</a:t>
          </a:r>
        </a:p>
      </xdr:txBody>
    </xdr:sp>
    <xdr:clientData/>
  </xdr:twoCellAnchor>
  <xdr:twoCellAnchor>
    <xdr:from>
      <xdr:col>2</xdr:col>
      <xdr:colOff>1390888</xdr:colOff>
      <xdr:row>47</xdr:row>
      <xdr:rowOff>108857</xdr:rowOff>
    </xdr:from>
    <xdr:to>
      <xdr:col>3</xdr:col>
      <xdr:colOff>582858</xdr:colOff>
      <xdr:row>91</xdr:row>
      <xdr:rowOff>45357</xdr:rowOff>
    </xdr:to>
    <xdr:sp macro="" textlink="">
      <xdr:nvSpPr>
        <xdr:cNvPr id="320" name="Left Brace 2" descr="Left brace">
          <a:extLst>
            <a:ext uri="{FF2B5EF4-FFF2-40B4-BE49-F238E27FC236}">
              <a16:creationId xmlns:a16="http://schemas.microsoft.com/office/drawing/2014/main" id="{56E9E158-A93C-4438-97A1-8E2568A9B837}"/>
            </a:ext>
          </a:extLst>
        </xdr:cNvPr>
        <xdr:cNvSpPr/>
      </xdr:nvSpPr>
      <xdr:spPr>
        <a:xfrm>
          <a:off x="3849245" y="10831286"/>
          <a:ext cx="670613" cy="791935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xdr:col>
      <xdr:colOff>1094695</xdr:colOff>
      <xdr:row>44</xdr:row>
      <xdr:rowOff>120388</xdr:rowOff>
    </xdr:from>
    <xdr:to>
      <xdr:col>3</xdr:col>
      <xdr:colOff>1334095</xdr:colOff>
      <xdr:row>44</xdr:row>
      <xdr:rowOff>139660</xdr:rowOff>
    </xdr:to>
    <xdr:cxnSp macro="">
      <xdr:nvCxnSpPr>
        <xdr:cNvPr id="143" name="Straight Arrow Connector 7" descr="Arrow pointing left">
          <a:extLst>
            <a:ext uri="{FF2B5EF4-FFF2-40B4-BE49-F238E27FC236}">
              <a16:creationId xmlns:a16="http://schemas.microsoft.com/office/drawing/2014/main" id="{44CCBB16-AB1F-4968-857C-1D7AF5461E03}"/>
            </a:ext>
          </a:extLst>
        </xdr:cNvPr>
        <xdr:cNvCxnSpPr>
          <a:stCxn id="28" idx="1"/>
          <a:endCxn id="5" idx="3"/>
        </xdr:cNvCxnSpPr>
      </xdr:nvCxnSpPr>
      <xdr:spPr>
        <a:xfrm flipH="1" flipV="1">
          <a:off x="3514045" y="9769213"/>
          <a:ext cx="1696725" cy="192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1097643</xdr:colOff>
      <xdr:row>46</xdr:row>
      <xdr:rowOff>18143</xdr:rowOff>
    </xdr:from>
    <xdr:to>
      <xdr:col>3</xdr:col>
      <xdr:colOff>1334095</xdr:colOff>
      <xdr:row>60</xdr:row>
      <xdr:rowOff>33987</xdr:rowOff>
    </xdr:to>
    <xdr:cxnSp macro="">
      <xdr:nvCxnSpPr>
        <xdr:cNvPr id="148" name="Straight Arrow Connector 10" descr="Arrow pointing left">
          <a:extLst>
            <a:ext uri="{FF2B5EF4-FFF2-40B4-BE49-F238E27FC236}">
              <a16:creationId xmlns:a16="http://schemas.microsoft.com/office/drawing/2014/main" id="{974DA8EA-0ADD-4673-853B-6FA091E00937}"/>
            </a:ext>
          </a:extLst>
        </xdr:cNvPr>
        <xdr:cNvCxnSpPr>
          <a:stCxn id="137" idx="1"/>
        </xdr:cNvCxnSpPr>
      </xdr:nvCxnSpPr>
      <xdr:spPr>
        <a:xfrm flipH="1" flipV="1">
          <a:off x="3556000" y="10559143"/>
          <a:ext cx="1715095" cy="25558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1333500</xdr:colOff>
      <xdr:row>63</xdr:row>
      <xdr:rowOff>81642</xdr:rowOff>
    </xdr:from>
    <xdr:to>
      <xdr:col>5</xdr:col>
      <xdr:colOff>358808</xdr:colOff>
      <xdr:row>68</xdr:row>
      <xdr:rowOff>107834</xdr:rowOff>
    </xdr:to>
    <xdr:sp macro="" textlink="">
      <xdr:nvSpPr>
        <xdr:cNvPr id="196" name="TextBox 17">
          <a:extLst>
            <a:ext uri="{FF2B5EF4-FFF2-40B4-BE49-F238E27FC236}">
              <a16:creationId xmlns:a16="http://schemas.microsoft.com/office/drawing/2014/main" id="{16C77B0F-5E09-4ABC-8F14-30AC54CC5DC6}"/>
            </a:ext>
          </a:extLst>
        </xdr:cNvPr>
        <xdr:cNvSpPr txBox="1"/>
      </xdr:nvSpPr>
      <xdr:spPr>
        <a:xfrm>
          <a:off x="5270500" y="13706928"/>
          <a:ext cx="5747237" cy="93333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2h</a:t>
          </a:r>
          <a:r>
            <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Elexon</a:t>
          </a:r>
        </a:p>
        <a:p>
          <a:pPr marL="0" indent="0"/>
          <a:endPar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Table showing calculation of the Elexon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1342571</xdr:colOff>
      <xdr:row>69</xdr:row>
      <xdr:rowOff>63500</xdr:rowOff>
    </xdr:from>
    <xdr:to>
      <xdr:col>5</xdr:col>
      <xdr:colOff>367879</xdr:colOff>
      <xdr:row>74</xdr:row>
      <xdr:rowOff>89692</xdr:rowOff>
    </xdr:to>
    <xdr:sp macro="" textlink="">
      <xdr:nvSpPr>
        <xdr:cNvPr id="204" name="TextBox 18">
          <a:extLst>
            <a:ext uri="{FF2B5EF4-FFF2-40B4-BE49-F238E27FC236}">
              <a16:creationId xmlns:a16="http://schemas.microsoft.com/office/drawing/2014/main" id="{4FCE98D8-9A45-47B0-A10B-7AE35357A88C}"/>
            </a:ext>
          </a:extLst>
        </xdr:cNvPr>
        <xdr:cNvSpPr txBox="1"/>
      </xdr:nvSpPr>
      <xdr:spPr>
        <a:xfrm>
          <a:off x="5279571" y="14777357"/>
          <a:ext cx="5747237" cy="93333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2i</a:t>
          </a:r>
          <a:r>
            <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Xoserve</a:t>
          </a:r>
        </a:p>
        <a:p>
          <a:pPr marL="0" indent="0"/>
          <a:endPar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Table showing calculation of the Xoserve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1351643</xdr:colOff>
      <xdr:row>75</xdr:row>
      <xdr:rowOff>9071</xdr:rowOff>
    </xdr:from>
    <xdr:to>
      <xdr:col>5</xdr:col>
      <xdr:colOff>376951</xdr:colOff>
      <xdr:row>80</xdr:row>
      <xdr:rowOff>35264</xdr:rowOff>
    </xdr:to>
    <xdr:sp macro="" textlink="">
      <xdr:nvSpPr>
        <xdr:cNvPr id="220" name="TextBox 19">
          <a:extLst>
            <a:ext uri="{FF2B5EF4-FFF2-40B4-BE49-F238E27FC236}">
              <a16:creationId xmlns:a16="http://schemas.microsoft.com/office/drawing/2014/main" id="{A7D98171-474E-4552-ABB2-C4F118A1AEF8}"/>
            </a:ext>
          </a:extLst>
        </xdr:cNvPr>
        <xdr:cNvSpPr txBox="1"/>
      </xdr:nvSpPr>
      <xdr:spPr>
        <a:xfrm>
          <a:off x="5288643" y="15811500"/>
          <a:ext cx="5747237" cy="93333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2j</a:t>
          </a:r>
          <a:r>
            <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RECCo</a:t>
          </a:r>
        </a:p>
        <a:p>
          <a:pPr marL="0" indent="0"/>
          <a:endPar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Table showing calculation of the RECCo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1367971</xdr:colOff>
      <xdr:row>80</xdr:row>
      <xdr:rowOff>97972</xdr:rowOff>
    </xdr:from>
    <xdr:to>
      <xdr:col>5</xdr:col>
      <xdr:colOff>393279</xdr:colOff>
      <xdr:row>85</xdr:row>
      <xdr:rowOff>124164</xdr:rowOff>
    </xdr:to>
    <xdr:sp macro="" textlink="">
      <xdr:nvSpPr>
        <xdr:cNvPr id="239" name="TextBox 22">
          <a:extLst>
            <a:ext uri="{FF2B5EF4-FFF2-40B4-BE49-F238E27FC236}">
              <a16:creationId xmlns:a16="http://schemas.microsoft.com/office/drawing/2014/main" id="{2D38ABF4-DE25-467B-BF8E-75A9174C7A0C}"/>
            </a:ext>
          </a:extLst>
        </xdr:cNvPr>
        <xdr:cNvSpPr txBox="1"/>
      </xdr:nvSpPr>
      <xdr:spPr>
        <a:xfrm>
          <a:off x="5304971" y="16807543"/>
          <a:ext cx="5747237" cy="93333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2k</a:t>
          </a:r>
          <a:r>
            <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DCUSA</a:t>
          </a:r>
        </a:p>
        <a:p>
          <a:pPr marL="0" indent="0"/>
          <a:endPar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Table showing calculation of the DCUSA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1366157</xdr:colOff>
      <xdr:row>86</xdr:row>
      <xdr:rowOff>50800</xdr:rowOff>
    </xdr:from>
    <xdr:to>
      <xdr:col>5</xdr:col>
      <xdr:colOff>391465</xdr:colOff>
      <xdr:row>91</xdr:row>
      <xdr:rowOff>76992</xdr:rowOff>
    </xdr:to>
    <xdr:sp macro="" textlink="">
      <xdr:nvSpPr>
        <xdr:cNvPr id="274" name="TextBox 25">
          <a:extLst>
            <a:ext uri="{FF2B5EF4-FFF2-40B4-BE49-F238E27FC236}">
              <a16:creationId xmlns:a16="http://schemas.microsoft.com/office/drawing/2014/main" id="{9E112B15-C1F4-4907-904C-63CA9582A820}"/>
            </a:ext>
          </a:extLst>
        </xdr:cNvPr>
        <xdr:cNvSpPr txBox="1"/>
      </xdr:nvSpPr>
      <xdr:spPr>
        <a:xfrm>
          <a:off x="5303157" y="17848943"/>
          <a:ext cx="5747237" cy="93333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2l</a:t>
          </a:r>
          <a:r>
            <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Demand</a:t>
          </a:r>
        </a:p>
        <a:p>
          <a:pPr marL="0" indent="0"/>
          <a:endPar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Table showing benchmark consumption values used in the calculation of Elexon charges</a:t>
          </a:r>
          <a:endPar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364069</xdr:colOff>
      <xdr:row>59</xdr:row>
      <xdr:rowOff>129647</xdr:rowOff>
    </xdr:from>
    <xdr:to>
      <xdr:col>8</xdr:col>
      <xdr:colOff>587334</xdr:colOff>
      <xdr:row>71</xdr:row>
      <xdr:rowOff>171121</xdr:rowOff>
    </xdr:to>
    <xdr:cxnSp macro="">
      <xdr:nvCxnSpPr>
        <xdr:cNvPr id="286" name="Straight Arrow Connector 59" descr="Arrow pointing left">
          <a:extLst>
            <a:ext uri="{FF2B5EF4-FFF2-40B4-BE49-F238E27FC236}">
              <a16:creationId xmlns:a16="http://schemas.microsoft.com/office/drawing/2014/main" id="{36126283-1F63-40E2-9AD5-75D9E8CB29D4}"/>
            </a:ext>
          </a:extLst>
        </xdr:cNvPr>
        <xdr:cNvCxnSpPr>
          <a:stCxn id="280" idx="1"/>
          <a:endCxn id="204" idx="3"/>
        </xdr:cNvCxnSpPr>
      </xdr:nvCxnSpPr>
      <xdr:spPr>
        <a:xfrm flipH="1">
          <a:off x="10851094" y="12493097"/>
          <a:ext cx="2052065" cy="22131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397089</xdr:colOff>
      <xdr:row>59</xdr:row>
      <xdr:rowOff>129647</xdr:rowOff>
    </xdr:from>
    <xdr:to>
      <xdr:col>8</xdr:col>
      <xdr:colOff>587334</xdr:colOff>
      <xdr:row>83</xdr:row>
      <xdr:rowOff>16544</xdr:rowOff>
    </xdr:to>
    <xdr:cxnSp macro="">
      <xdr:nvCxnSpPr>
        <xdr:cNvPr id="288" name="Straight Arrow Connector 62" descr="Arrow pointing left">
          <a:extLst>
            <a:ext uri="{FF2B5EF4-FFF2-40B4-BE49-F238E27FC236}">
              <a16:creationId xmlns:a16="http://schemas.microsoft.com/office/drawing/2014/main" id="{B94D1F7B-B2B4-4538-B190-9326592C078B}"/>
            </a:ext>
          </a:extLst>
        </xdr:cNvPr>
        <xdr:cNvCxnSpPr>
          <a:stCxn id="280" idx="1"/>
          <a:endCxn id="239" idx="3"/>
        </xdr:cNvCxnSpPr>
      </xdr:nvCxnSpPr>
      <xdr:spPr>
        <a:xfrm flipH="1">
          <a:off x="10884114" y="12493097"/>
          <a:ext cx="2019045" cy="42302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254000</xdr:colOff>
      <xdr:row>95</xdr:row>
      <xdr:rowOff>27214</xdr:rowOff>
    </xdr:from>
    <xdr:to>
      <xdr:col>2</xdr:col>
      <xdr:colOff>1335847</xdr:colOff>
      <xdr:row>101</xdr:row>
      <xdr:rowOff>63500</xdr:rowOff>
    </xdr:to>
    <xdr:sp macro="" textlink="">
      <xdr:nvSpPr>
        <xdr:cNvPr id="446" name="TextBox 66">
          <a:extLst>
            <a:ext uri="{FF2B5EF4-FFF2-40B4-BE49-F238E27FC236}">
              <a16:creationId xmlns:a16="http://schemas.microsoft.com/office/drawing/2014/main" id="{2068A644-1C83-409A-9C9C-1E850DB8AE0E}"/>
            </a:ext>
          </a:extLst>
        </xdr:cNvPr>
        <xdr:cNvSpPr txBox="1"/>
      </xdr:nvSpPr>
      <xdr:spPr>
        <a:xfrm>
          <a:off x="861786" y="19458214"/>
          <a:ext cx="2932418" cy="1124857"/>
        </a:xfrm>
        <a:prstGeom prst="rect">
          <a:avLst/>
        </a:prstGeom>
        <a:solidFill>
          <a:srgbClr val="FF7C8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Not in use</a:t>
          </a:r>
          <a:endParaRPr lang="en-GB" sz="1000">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1389074</xdr:colOff>
      <xdr:row>91</xdr:row>
      <xdr:rowOff>170543</xdr:rowOff>
    </xdr:from>
    <xdr:to>
      <xdr:col>3</xdr:col>
      <xdr:colOff>581044</xdr:colOff>
      <xdr:row>105</xdr:row>
      <xdr:rowOff>127000</xdr:rowOff>
    </xdr:to>
    <xdr:sp macro="" textlink="">
      <xdr:nvSpPr>
        <xdr:cNvPr id="326" name="Left Brace 67" descr="Left brace">
          <a:extLst>
            <a:ext uri="{FF2B5EF4-FFF2-40B4-BE49-F238E27FC236}">
              <a16:creationId xmlns:a16="http://schemas.microsoft.com/office/drawing/2014/main" id="{99113432-554C-45BF-860C-E696CBCA8F95}"/>
            </a:ext>
          </a:extLst>
        </xdr:cNvPr>
        <xdr:cNvSpPr/>
      </xdr:nvSpPr>
      <xdr:spPr>
        <a:xfrm>
          <a:off x="3847431" y="18875829"/>
          <a:ext cx="670613" cy="2496457"/>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594598</xdr:colOff>
      <xdr:row>65</xdr:row>
      <xdr:rowOff>18144</xdr:rowOff>
    </xdr:from>
    <xdr:to>
      <xdr:col>12</xdr:col>
      <xdr:colOff>166739</xdr:colOff>
      <xdr:row>67</xdr:row>
      <xdr:rowOff>146505</xdr:rowOff>
    </xdr:to>
    <xdr:sp macro="" textlink="">
      <xdr:nvSpPr>
        <xdr:cNvPr id="360" name="TextBox 71">
          <a:extLst>
            <a:ext uri="{FF2B5EF4-FFF2-40B4-BE49-F238E27FC236}">
              <a16:creationId xmlns:a16="http://schemas.microsoft.com/office/drawing/2014/main" id="{A2E44DEE-3BEC-4C4E-86CC-8D8ECA6C80C1}"/>
            </a:ext>
          </a:extLst>
        </xdr:cNvPr>
        <xdr:cNvSpPr txBox="1"/>
      </xdr:nvSpPr>
      <xdr:spPr>
        <a:xfrm>
          <a:off x="13076884" y="14006287"/>
          <a:ext cx="2003284" cy="491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Elexon Business Plans</a:t>
          </a:r>
        </a:p>
      </xdr:txBody>
    </xdr:sp>
    <xdr:clientData/>
  </xdr:twoCellAnchor>
  <xdr:twoCellAnchor>
    <xdr:from>
      <xdr:col>5</xdr:col>
      <xdr:colOff>362618</xdr:colOff>
      <xdr:row>66</xdr:row>
      <xdr:rowOff>4251</xdr:rowOff>
    </xdr:from>
    <xdr:to>
      <xdr:col>8</xdr:col>
      <xdr:colOff>590788</xdr:colOff>
      <xdr:row>66</xdr:row>
      <xdr:rowOff>83277</xdr:rowOff>
    </xdr:to>
    <xdr:cxnSp macro="">
      <xdr:nvCxnSpPr>
        <xdr:cNvPr id="337" name="Straight Arrow Connector 72" descr="Arrow pointing left">
          <a:extLst>
            <a:ext uri="{FF2B5EF4-FFF2-40B4-BE49-F238E27FC236}">
              <a16:creationId xmlns:a16="http://schemas.microsoft.com/office/drawing/2014/main" id="{D0FA0FED-85AE-4DA3-B0FC-80F6B6944A96}"/>
            </a:ext>
          </a:extLst>
        </xdr:cNvPr>
        <xdr:cNvCxnSpPr>
          <a:stCxn id="360" idx="1"/>
          <a:endCxn id="196" idx="3"/>
        </xdr:cNvCxnSpPr>
      </xdr:nvCxnSpPr>
      <xdr:spPr>
        <a:xfrm flipH="1" flipV="1">
          <a:off x="10849643" y="13634526"/>
          <a:ext cx="2056970" cy="790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580502</xdr:colOff>
      <xdr:row>70</xdr:row>
      <xdr:rowOff>172357</xdr:rowOff>
    </xdr:from>
    <xdr:to>
      <xdr:col>12</xdr:col>
      <xdr:colOff>152643</xdr:colOff>
      <xdr:row>73</xdr:row>
      <xdr:rowOff>119290</xdr:rowOff>
    </xdr:to>
    <xdr:sp macro="" textlink="">
      <xdr:nvSpPr>
        <xdr:cNvPr id="416" name="TextBox 75">
          <a:extLst>
            <a:ext uri="{FF2B5EF4-FFF2-40B4-BE49-F238E27FC236}">
              <a16:creationId xmlns:a16="http://schemas.microsoft.com/office/drawing/2014/main" id="{75451C68-34ED-4020-A17C-69444BEB223C}"/>
            </a:ext>
          </a:extLst>
        </xdr:cNvPr>
        <xdr:cNvSpPr txBox="1"/>
      </xdr:nvSpPr>
      <xdr:spPr>
        <a:xfrm>
          <a:off x="13062788" y="15067643"/>
          <a:ext cx="2003284" cy="491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CDSP Charging Statements</a:t>
          </a:r>
        </a:p>
      </xdr:txBody>
    </xdr:sp>
    <xdr:clientData/>
  </xdr:twoCellAnchor>
  <xdr:twoCellAnchor>
    <xdr:from>
      <xdr:col>5</xdr:col>
      <xdr:colOff>335642</xdr:colOff>
      <xdr:row>72</xdr:row>
      <xdr:rowOff>55109</xdr:rowOff>
    </xdr:from>
    <xdr:to>
      <xdr:col>8</xdr:col>
      <xdr:colOff>580502</xdr:colOff>
      <xdr:row>72</xdr:row>
      <xdr:rowOff>127000</xdr:rowOff>
    </xdr:to>
    <xdr:cxnSp macro="">
      <xdr:nvCxnSpPr>
        <xdr:cNvPr id="445" name="Straight Arrow Connector 76" descr="Arrow pointing left">
          <a:extLst>
            <a:ext uri="{FF2B5EF4-FFF2-40B4-BE49-F238E27FC236}">
              <a16:creationId xmlns:a16="http://schemas.microsoft.com/office/drawing/2014/main" id="{97742B34-00C7-42E5-A7C5-36AF9149FF31}"/>
            </a:ext>
          </a:extLst>
        </xdr:cNvPr>
        <xdr:cNvCxnSpPr>
          <a:stCxn id="416" idx="1"/>
        </xdr:cNvCxnSpPr>
      </xdr:nvCxnSpPr>
      <xdr:spPr>
        <a:xfrm flipH="1">
          <a:off x="10994571" y="15313252"/>
          <a:ext cx="2068217" cy="718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589575</xdr:colOff>
      <xdr:row>76</xdr:row>
      <xdr:rowOff>127000</xdr:rowOff>
    </xdr:from>
    <xdr:to>
      <xdr:col>12</xdr:col>
      <xdr:colOff>161716</xdr:colOff>
      <xdr:row>79</xdr:row>
      <xdr:rowOff>73932</xdr:rowOff>
    </xdr:to>
    <xdr:sp macro="" textlink="">
      <xdr:nvSpPr>
        <xdr:cNvPr id="448" name="TextBox 83">
          <a:extLst>
            <a:ext uri="{FF2B5EF4-FFF2-40B4-BE49-F238E27FC236}">
              <a16:creationId xmlns:a16="http://schemas.microsoft.com/office/drawing/2014/main" id="{CEA0F585-3AEC-48DC-A6DA-5270044AAE4F}"/>
            </a:ext>
          </a:extLst>
        </xdr:cNvPr>
        <xdr:cNvSpPr txBox="1"/>
      </xdr:nvSpPr>
      <xdr:spPr>
        <a:xfrm>
          <a:off x="13071861" y="16110857"/>
          <a:ext cx="2003284" cy="491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RECCo Budgets / REC Charging</a:t>
          </a:r>
          <a:r>
            <a:rPr lang="en-GB" sz="10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 Statements</a:t>
          </a:r>
          <a:endPar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375046</xdr:colOff>
      <xdr:row>77</xdr:row>
      <xdr:rowOff>113608</xdr:rowOff>
    </xdr:from>
    <xdr:to>
      <xdr:col>8</xdr:col>
      <xdr:colOff>593385</xdr:colOff>
      <xdr:row>78</xdr:row>
      <xdr:rowOff>11884</xdr:rowOff>
    </xdr:to>
    <xdr:cxnSp macro="">
      <xdr:nvCxnSpPr>
        <xdr:cNvPr id="423" name="Straight Arrow Connector 84" descr="Arrow pointing left">
          <a:extLst>
            <a:ext uri="{FF2B5EF4-FFF2-40B4-BE49-F238E27FC236}">
              <a16:creationId xmlns:a16="http://schemas.microsoft.com/office/drawing/2014/main" id="{27A1B527-5569-44A6-B04D-E8752294CAA0}"/>
            </a:ext>
          </a:extLst>
        </xdr:cNvPr>
        <xdr:cNvCxnSpPr>
          <a:stCxn id="448" idx="1"/>
          <a:endCxn id="220" idx="3"/>
        </xdr:cNvCxnSpPr>
      </xdr:nvCxnSpPr>
      <xdr:spPr>
        <a:xfrm flipH="1" flipV="1">
          <a:off x="10862071" y="15734608"/>
          <a:ext cx="2047139" cy="792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584551</xdr:colOff>
      <xdr:row>82</xdr:row>
      <xdr:rowOff>36285</xdr:rowOff>
    </xdr:from>
    <xdr:to>
      <xdr:col>12</xdr:col>
      <xdr:colOff>156692</xdr:colOff>
      <xdr:row>84</xdr:row>
      <xdr:rowOff>164646</xdr:rowOff>
    </xdr:to>
    <xdr:sp macro="" textlink="">
      <xdr:nvSpPr>
        <xdr:cNvPr id="449" name="TextBox 86">
          <a:extLst>
            <a:ext uri="{FF2B5EF4-FFF2-40B4-BE49-F238E27FC236}">
              <a16:creationId xmlns:a16="http://schemas.microsoft.com/office/drawing/2014/main" id="{E4D858DC-0E41-46AC-9C44-C6DC80A3D49E}"/>
            </a:ext>
          </a:extLst>
        </xdr:cNvPr>
        <xdr:cNvSpPr txBox="1"/>
      </xdr:nvSpPr>
      <xdr:spPr>
        <a:xfrm>
          <a:off x="13066837" y="17108714"/>
          <a:ext cx="2003284" cy="4912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DCUSA Budgets</a:t>
          </a:r>
        </a:p>
      </xdr:txBody>
    </xdr:sp>
    <xdr:clientData/>
  </xdr:twoCellAnchor>
  <xdr:twoCellAnchor>
    <xdr:from>
      <xdr:col>5</xdr:col>
      <xdr:colOff>355690</xdr:colOff>
      <xdr:row>83</xdr:row>
      <xdr:rowOff>102371</xdr:rowOff>
    </xdr:from>
    <xdr:to>
      <xdr:col>8</xdr:col>
      <xdr:colOff>588361</xdr:colOff>
      <xdr:row>83</xdr:row>
      <xdr:rowOff>143238</xdr:rowOff>
    </xdr:to>
    <xdr:cxnSp macro="">
      <xdr:nvCxnSpPr>
        <xdr:cNvPr id="444" name="Straight Arrow Connector 87" descr="Arrow pointing left">
          <a:extLst>
            <a:ext uri="{FF2B5EF4-FFF2-40B4-BE49-F238E27FC236}">
              <a16:creationId xmlns:a16="http://schemas.microsoft.com/office/drawing/2014/main" id="{08CFD172-BB2A-4810-849F-88D07CFD3818}"/>
            </a:ext>
          </a:extLst>
        </xdr:cNvPr>
        <xdr:cNvCxnSpPr>
          <a:stCxn id="449" idx="1"/>
        </xdr:cNvCxnSpPr>
      </xdr:nvCxnSpPr>
      <xdr:spPr>
        <a:xfrm flipH="1">
          <a:off x="10842715" y="16809221"/>
          <a:ext cx="2061471" cy="408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fgemcloud.sharepoint.com/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fgemcloud.sharepoint.com/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Carbon Budget clearance (Nov)"/>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Wholesale EL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3 Page 1"/>
      <sheetName val="FC Page 1"/>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GC"/>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LKP_INDEX"/>
      <sheetName val="Data for lists"/>
      <sheetName val="Data_for_lists"/>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CHGSPD19.FIN"/>
      <sheetName val="fig_XX_YY"/>
      <sheetName val="Data_for_lis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6 ten year bond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heetName val="RESULT 09"/>
      <sheetName val="Charts"/>
      <sheetName val="Scenarios"/>
      <sheetName val="Projections"/>
      <sheetName val="Calculation"/>
      <sheetName val="Latest"/>
      <sheetName val="Latest check"/>
      <sheetName val="PSF"/>
      <sheetName val="Nom. Input"/>
      <sheetName val="Profiles"/>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8.bin"/><Relationship Id="rId1" Type="http://schemas.openxmlformats.org/officeDocument/2006/relationships/hyperlink" Target="https://www.ons.gov.uk/economy/inflationandpriceindices/timeseries/l522/mm23" TargetMode="External"/><Relationship Id="rId4" Type="http://schemas.openxmlformats.org/officeDocument/2006/relationships/comments" Target="../comments10.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autoPageBreaks="0"/>
  </sheetPr>
  <dimension ref="A1:J28"/>
  <sheetViews>
    <sheetView tabSelected="1" topLeftCell="A25" workbookViewId="0">
      <selection activeCell="D33" sqref="D33"/>
    </sheetView>
  </sheetViews>
  <sheetFormatPr defaultColWidth="0" defaultRowHeight="12.4"/>
  <cols>
    <col min="1" max="1" width="15.5703125" style="137" customWidth="1"/>
    <col min="2" max="2" width="15.5703125" style="151" customWidth="1"/>
    <col min="3" max="3" width="15.5703125" style="137" customWidth="1"/>
    <col min="4" max="4" width="108" style="137" customWidth="1"/>
    <col min="5" max="5" width="9" style="137" customWidth="1"/>
    <col min="6" max="6" width="8.7109375" style="137" hidden="1" customWidth="1"/>
    <col min="7" max="10" width="0" style="137" hidden="1" customWidth="1"/>
    <col min="11" max="16384" width="9" style="137" hidden="1"/>
  </cols>
  <sheetData>
    <row r="1" spans="1:10" s="41" customFormat="1" ht="57" customHeight="1">
      <c r="A1" s="58" t="s">
        <v>0</v>
      </c>
      <c r="B1" s="136"/>
      <c r="C1" s="58"/>
      <c r="D1" s="58"/>
      <c r="E1" s="58"/>
      <c r="F1" s="58"/>
      <c r="G1" s="58"/>
      <c r="H1" s="58"/>
      <c r="I1" s="58"/>
      <c r="J1" s="58"/>
    </row>
    <row r="2" spans="1:10" ht="14.25">
      <c r="A2" s="2"/>
      <c r="B2" s="53"/>
      <c r="C2" s="2"/>
      <c r="D2" s="2"/>
      <c r="E2" s="2"/>
      <c r="F2" s="2"/>
      <c r="G2" s="2"/>
      <c r="H2" s="2"/>
      <c r="I2" s="2"/>
    </row>
    <row r="3" spans="1:10" ht="14.65">
      <c r="B3" s="54" t="s">
        <v>1</v>
      </c>
      <c r="C3" s="2"/>
      <c r="D3" s="2"/>
      <c r="E3" s="2"/>
      <c r="F3" s="2"/>
      <c r="G3" s="2"/>
      <c r="H3" s="2"/>
      <c r="I3" s="2"/>
      <c r="J3" s="2"/>
    </row>
    <row r="4" spans="1:10" ht="14.25">
      <c r="B4" s="3"/>
      <c r="C4" s="2"/>
      <c r="D4" s="3"/>
      <c r="E4" s="2"/>
      <c r="F4" s="2"/>
      <c r="G4" s="2"/>
      <c r="H4" s="2"/>
      <c r="I4" s="2"/>
      <c r="J4" s="2"/>
    </row>
    <row r="5" spans="1:10" ht="22.5" customHeight="1">
      <c r="B5" s="138" t="s">
        <v>2</v>
      </c>
      <c r="C5" s="138" t="s">
        <v>3</v>
      </c>
      <c r="D5" s="138" t="s">
        <v>4</v>
      </c>
      <c r="E5" s="2"/>
      <c r="F5" s="2"/>
      <c r="G5" s="2"/>
      <c r="H5" s="2"/>
      <c r="I5" s="2"/>
      <c r="J5" s="2"/>
    </row>
    <row r="6" spans="1:10" ht="14.25">
      <c r="B6" s="55" t="s">
        <v>5</v>
      </c>
      <c r="C6" s="139">
        <v>43349</v>
      </c>
      <c r="D6" s="140" t="s">
        <v>6</v>
      </c>
      <c r="E6" s="2"/>
      <c r="F6" s="2"/>
      <c r="G6" s="2"/>
      <c r="H6" s="2"/>
      <c r="I6" s="2"/>
      <c r="J6" s="2"/>
    </row>
    <row r="7" spans="1:10" ht="183" customHeight="1">
      <c r="B7" s="141" t="s">
        <v>7</v>
      </c>
      <c r="C7" s="142">
        <v>43410</v>
      </c>
      <c r="D7" s="143" t="s">
        <v>8</v>
      </c>
      <c r="E7" s="2"/>
      <c r="F7" s="2"/>
      <c r="G7" s="2"/>
      <c r="H7" s="2"/>
      <c r="I7" s="2"/>
      <c r="J7" s="2"/>
    </row>
    <row r="8" spans="1:10" ht="72.75" customHeight="1">
      <c r="B8" s="144" t="s">
        <v>9</v>
      </c>
      <c r="C8" s="142">
        <v>43138</v>
      </c>
      <c r="D8" s="145" t="s">
        <v>10</v>
      </c>
      <c r="E8" s="2"/>
      <c r="F8" s="2"/>
      <c r="G8" s="2"/>
      <c r="H8" s="2"/>
      <c r="I8" s="2"/>
      <c r="J8" s="2"/>
    </row>
    <row r="9" spans="1:10" ht="177" customHeight="1">
      <c r="B9" s="144" t="s">
        <v>11</v>
      </c>
      <c r="C9" s="142">
        <v>43684</v>
      </c>
      <c r="D9" s="146" t="s">
        <v>12</v>
      </c>
      <c r="E9" s="2"/>
      <c r="F9" s="2"/>
      <c r="G9" s="2"/>
      <c r="H9" s="2"/>
      <c r="I9" s="2"/>
      <c r="J9" s="2"/>
    </row>
    <row r="10" spans="1:10" ht="57">
      <c r="B10" s="144" t="s">
        <v>13</v>
      </c>
      <c r="C10" s="142">
        <v>43868</v>
      </c>
      <c r="D10" s="146" t="s">
        <v>14</v>
      </c>
      <c r="E10" s="2"/>
      <c r="F10" s="2"/>
      <c r="G10" s="2"/>
      <c r="H10" s="2"/>
      <c r="I10" s="2"/>
      <c r="J10" s="2"/>
    </row>
    <row r="11" spans="1:10" ht="85.5">
      <c r="B11" s="144" t="s">
        <v>15</v>
      </c>
      <c r="C11" s="142">
        <v>44048</v>
      </c>
      <c r="D11" s="50" t="s">
        <v>16</v>
      </c>
      <c r="E11" s="2"/>
      <c r="F11" s="2"/>
      <c r="G11" s="2"/>
      <c r="H11" s="2"/>
      <c r="I11" s="2"/>
      <c r="J11" s="2"/>
    </row>
    <row r="12" spans="1:10" ht="213.75" customHeight="1">
      <c r="B12" s="144" t="s">
        <v>17</v>
      </c>
      <c r="C12" s="142">
        <v>44050</v>
      </c>
      <c r="D12" s="50" t="s">
        <v>18</v>
      </c>
      <c r="E12" s="2"/>
      <c r="F12" s="2"/>
      <c r="G12" s="2"/>
      <c r="H12" s="2"/>
      <c r="I12" s="2"/>
      <c r="J12" s="2"/>
    </row>
    <row r="13" spans="1:10" ht="27" customHeight="1">
      <c r="B13" s="144" t="s">
        <v>19</v>
      </c>
      <c r="C13" s="142">
        <v>44232</v>
      </c>
      <c r="D13" s="50" t="s">
        <v>20</v>
      </c>
    </row>
    <row r="14" spans="1:10" ht="24.75">
      <c r="B14" s="147" t="s">
        <v>21</v>
      </c>
      <c r="C14" s="142">
        <v>44315</v>
      </c>
      <c r="D14" s="148" t="s">
        <v>22</v>
      </c>
    </row>
    <row r="15" spans="1:10" ht="29.25" customHeight="1">
      <c r="B15" s="147" t="s">
        <v>23</v>
      </c>
      <c r="C15" s="142">
        <v>44413</v>
      </c>
      <c r="D15" s="148" t="s">
        <v>24</v>
      </c>
    </row>
    <row r="16" spans="1:10" ht="88.5" customHeight="1">
      <c r="B16" s="147" t="s">
        <v>25</v>
      </c>
      <c r="C16" s="142">
        <v>44414</v>
      </c>
      <c r="D16" s="148" t="s">
        <v>26</v>
      </c>
    </row>
    <row r="17" spans="2:4" ht="52.5" customHeight="1">
      <c r="B17" s="147" t="s">
        <v>27</v>
      </c>
      <c r="C17" s="142">
        <v>44596</v>
      </c>
      <c r="D17" s="148" t="s">
        <v>28</v>
      </c>
    </row>
    <row r="18" spans="2:4" ht="52.5" customHeight="1">
      <c r="B18" s="147" t="s">
        <v>29</v>
      </c>
      <c r="C18" s="149">
        <v>44799</v>
      </c>
      <c r="D18" s="150" t="s">
        <v>30</v>
      </c>
    </row>
    <row r="19" spans="2:4" ht="28.5" customHeight="1">
      <c r="B19" s="147" t="s">
        <v>31</v>
      </c>
      <c r="C19" s="158">
        <v>44984</v>
      </c>
      <c r="D19" s="150" t="s">
        <v>32</v>
      </c>
    </row>
    <row r="20" spans="2:4" ht="57">
      <c r="B20" s="165" t="s">
        <v>33</v>
      </c>
      <c r="C20" s="158">
        <v>45009</v>
      </c>
      <c r="D20" s="164" t="s">
        <v>34</v>
      </c>
    </row>
    <row r="21" spans="2:4" ht="42.75">
      <c r="B21" s="165" t="s">
        <v>35</v>
      </c>
      <c r="C21" s="149">
        <v>45163</v>
      </c>
      <c r="D21" s="167" t="s">
        <v>36</v>
      </c>
    </row>
    <row r="22" spans="2:4" ht="14.25">
      <c r="B22" s="165" t="s">
        <v>37</v>
      </c>
      <c r="C22" s="149">
        <v>45335</v>
      </c>
      <c r="D22" s="167" t="s">
        <v>38</v>
      </c>
    </row>
    <row r="23" spans="2:4" ht="14.25">
      <c r="B23" s="165" t="s">
        <v>39</v>
      </c>
      <c r="C23" s="149">
        <v>45527</v>
      </c>
      <c r="D23" s="167" t="s">
        <v>40</v>
      </c>
    </row>
    <row r="24" spans="2:4" ht="28.5">
      <c r="B24" s="165" t="s">
        <v>41</v>
      </c>
      <c r="C24" s="149">
        <v>45713</v>
      </c>
      <c r="D24" s="167" t="s">
        <v>42</v>
      </c>
    </row>
    <row r="25" spans="2:4" ht="409.5" customHeight="1">
      <c r="B25" s="208" t="s">
        <v>43</v>
      </c>
      <c r="C25" s="209">
        <v>45800</v>
      </c>
      <c r="D25" s="210" t="s">
        <v>44</v>
      </c>
    </row>
    <row r="26" spans="2:4" ht="113.65" customHeight="1">
      <c r="B26" s="208"/>
      <c r="C26" s="209"/>
      <c r="D26" s="210"/>
    </row>
    <row r="27" spans="2:4" ht="28.5">
      <c r="B27" s="165" t="s">
        <v>45</v>
      </c>
      <c r="C27" s="149">
        <v>45896</v>
      </c>
      <c r="D27" s="167" t="s">
        <v>46</v>
      </c>
    </row>
    <row r="28" spans="2:4" ht="28.5">
      <c r="B28" s="165" t="s">
        <v>47</v>
      </c>
      <c r="C28" s="149">
        <v>46078</v>
      </c>
      <c r="D28" s="167" t="s">
        <v>48</v>
      </c>
    </row>
  </sheetData>
  <mergeCells count="3">
    <mergeCell ref="B25:B26"/>
    <mergeCell ref="C25:C26"/>
    <mergeCell ref="D25:D26"/>
  </mergeCells>
  <phoneticPr fontId="35" type="noConversion"/>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7" tint="0.79998168889431442"/>
    <pageSetUpPr autoPageBreaks="0"/>
  </sheetPr>
  <dimension ref="A1:S10"/>
  <sheetViews>
    <sheetView zoomScaleNormal="100" workbookViewId="0"/>
  </sheetViews>
  <sheetFormatPr defaultColWidth="0" defaultRowHeight="14.25" zeroHeight="1"/>
  <cols>
    <col min="1" max="1" width="9" customWidth="1"/>
    <col min="2" max="2" width="20.7109375" customWidth="1"/>
    <col min="3" max="3" width="20.7109375" style="185" customWidth="1"/>
    <col min="4" max="6" width="20.7109375" customWidth="1"/>
    <col min="7" max="7" width="9" customWidth="1"/>
    <col min="8" max="16384" width="9" hidden="1"/>
  </cols>
  <sheetData>
    <row r="1" spans="1:19">
      <c r="A1" s="1"/>
      <c r="B1" s="1"/>
      <c r="C1" s="184"/>
      <c r="D1" s="1"/>
      <c r="E1" s="1"/>
      <c r="F1" s="1"/>
      <c r="G1" s="1"/>
    </row>
    <row r="2" spans="1:19" s="1" customFormat="1" ht="17.649999999999999">
      <c r="B2" s="9" t="s">
        <v>235</v>
      </c>
      <c r="C2" s="184"/>
    </row>
    <row r="3" spans="1:19" s="1" customFormat="1">
      <c r="B3" s="292" t="s">
        <v>350</v>
      </c>
      <c r="C3" s="293"/>
      <c r="D3" s="293"/>
      <c r="E3" s="293"/>
      <c r="F3" s="293"/>
      <c r="G3" s="293"/>
      <c r="H3" s="293"/>
      <c r="I3" s="293"/>
      <c r="J3" s="293"/>
      <c r="K3" s="293"/>
      <c r="L3" s="293"/>
      <c r="M3" s="293"/>
      <c r="N3" s="293"/>
      <c r="O3" s="293"/>
      <c r="P3" s="293"/>
      <c r="Q3" s="293"/>
      <c r="R3" s="293"/>
      <c r="S3" s="293"/>
    </row>
    <row r="4" spans="1:19">
      <c r="A4" s="6"/>
      <c r="B4" s="6"/>
      <c r="C4" s="183"/>
      <c r="D4" s="6"/>
      <c r="E4" s="6"/>
      <c r="F4" s="6"/>
      <c r="G4" s="6"/>
    </row>
    <row r="5" spans="1:19">
      <c r="A5" s="6"/>
      <c r="B5" s="6"/>
      <c r="C5" s="183"/>
      <c r="D5" s="6"/>
      <c r="E5" s="217" t="s">
        <v>351</v>
      </c>
      <c r="F5" s="219"/>
      <c r="G5" s="6"/>
    </row>
    <row r="6" spans="1:19">
      <c r="A6" s="6"/>
      <c r="B6" s="119" t="s">
        <v>49</v>
      </c>
      <c r="C6" s="188" t="s">
        <v>259</v>
      </c>
      <c r="D6" s="119" t="s">
        <v>104</v>
      </c>
      <c r="E6" s="75" t="s">
        <v>213</v>
      </c>
      <c r="F6" s="75" t="s">
        <v>223</v>
      </c>
      <c r="G6" s="6"/>
    </row>
    <row r="7" spans="1:19" ht="37.15">
      <c r="A7" s="6"/>
      <c r="B7" s="120" t="s">
        <v>352</v>
      </c>
      <c r="C7" s="189" t="s">
        <v>353</v>
      </c>
      <c r="D7" s="120" t="s">
        <v>274</v>
      </c>
      <c r="E7" s="294">
        <v>0.69</v>
      </c>
      <c r="F7" s="295"/>
      <c r="G7" s="6"/>
    </row>
    <row r="8" spans="1:19" ht="49.5">
      <c r="A8" s="6"/>
      <c r="B8" s="120" t="s">
        <v>354</v>
      </c>
      <c r="C8" s="189" t="s">
        <v>355</v>
      </c>
      <c r="D8" s="120" t="s">
        <v>274</v>
      </c>
      <c r="E8" s="121">
        <v>0.50680772769089244</v>
      </c>
      <c r="F8" s="121">
        <v>0.72806021382904662</v>
      </c>
      <c r="G8" s="6"/>
    </row>
    <row r="9" spans="1:19">
      <c r="A9" s="6"/>
      <c r="B9" s="6"/>
      <c r="C9" s="183"/>
      <c r="D9" s="6"/>
      <c r="E9" s="6"/>
      <c r="F9" s="6"/>
      <c r="G9" s="6"/>
    </row>
    <row r="10" spans="1:19">
      <c r="A10" s="6"/>
      <c r="B10" s="6"/>
      <c r="C10" s="6"/>
      <c r="D10" s="6"/>
      <c r="E10" s="6"/>
      <c r="F10" s="6"/>
      <c r="G10" s="6"/>
    </row>
  </sheetData>
  <mergeCells count="3">
    <mergeCell ref="B3:S3"/>
    <mergeCell ref="E5:F5"/>
    <mergeCell ref="E7:F7"/>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DA68-5C86-438E-95FC-CE10A205440C}">
  <sheetPr>
    <tabColor theme="7" tint="0.79998168889431442"/>
    <pageSetUpPr autoPageBreaks="0"/>
  </sheetPr>
  <dimension ref="A1:AX31"/>
  <sheetViews>
    <sheetView topLeftCell="U1" zoomScaleNormal="100" workbookViewId="0">
      <selection activeCell="AE18" sqref="AE18"/>
    </sheetView>
  </sheetViews>
  <sheetFormatPr defaultColWidth="0" defaultRowHeight="12.4" zeroHeight="1"/>
  <cols>
    <col min="1" max="1" width="9" style="29" customWidth="1"/>
    <col min="2" max="2" width="55.7109375" style="29" customWidth="1"/>
    <col min="3" max="3" width="41.28515625" style="29" customWidth="1"/>
    <col min="4" max="4" width="13.42578125" style="29" bestFit="1" customWidth="1"/>
    <col min="5" max="5" width="26.42578125" style="29" customWidth="1"/>
    <col min="6" max="9" width="17.5703125" style="29" customWidth="1"/>
    <col min="10" max="10" width="1.28515625" style="29" customWidth="1"/>
    <col min="11" max="18" width="17.5703125" style="29" customWidth="1"/>
    <col min="19" max="19" width="17.28515625" style="29" customWidth="1"/>
    <col min="20" max="20" width="14.7109375" style="29" bestFit="1" customWidth="1"/>
    <col min="21" max="49" width="17.5703125" style="29" customWidth="1"/>
    <col min="50" max="50" width="9" style="29" customWidth="1"/>
    <col min="51" max="16384" width="9" style="29" hidden="1"/>
  </cols>
  <sheetData>
    <row r="1" spans="1:50" s="24" customFormat="1" ht="12.75"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row>
    <row r="2" spans="1:50" s="24" customFormat="1" ht="18.75" customHeight="1">
      <c r="A2" s="67"/>
      <c r="B2" s="4" t="s">
        <v>356</v>
      </c>
      <c r="C2" s="28"/>
      <c r="D2" s="28"/>
      <c r="E2" s="28"/>
      <c r="F2" s="28"/>
      <c r="G2" s="28"/>
      <c r="H2" s="28"/>
      <c r="I2" s="28"/>
      <c r="J2" s="28"/>
      <c r="K2" s="28"/>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row>
    <row r="3" spans="1:50" s="24" customFormat="1" ht="14.25" customHeight="1">
      <c r="A3" s="67"/>
      <c r="B3" s="235" t="s">
        <v>357</v>
      </c>
      <c r="C3" s="235"/>
      <c r="D3" s="235"/>
      <c r="E3" s="235"/>
      <c r="F3" s="109"/>
      <c r="G3" s="109"/>
      <c r="H3" s="109"/>
      <c r="I3" s="109"/>
      <c r="J3" s="109"/>
      <c r="K3" s="109"/>
      <c r="L3" s="109"/>
      <c r="M3" s="109"/>
      <c r="N3" s="67"/>
      <c r="O3" s="67"/>
      <c r="P3" s="67"/>
      <c r="Q3" s="67"/>
      <c r="R3" s="67"/>
      <c r="S3" s="67"/>
      <c r="T3" s="67"/>
      <c r="U3" s="67"/>
      <c r="V3" s="67"/>
      <c r="W3" s="67"/>
      <c r="X3" s="68"/>
      <c r="Y3" s="68"/>
      <c r="Z3" s="68"/>
      <c r="AA3" s="68"/>
      <c r="AB3" s="68"/>
      <c r="AC3" s="67"/>
      <c r="AD3" s="67"/>
      <c r="AE3" s="67"/>
      <c r="AF3" s="67"/>
      <c r="AG3" s="67"/>
      <c r="AH3" s="67"/>
      <c r="AI3" s="67"/>
      <c r="AJ3" s="67"/>
      <c r="AK3" s="67"/>
      <c r="AL3" s="67"/>
      <c r="AM3" s="67"/>
      <c r="AN3" s="67"/>
      <c r="AO3" s="67"/>
      <c r="AP3" s="67"/>
      <c r="AQ3" s="67"/>
      <c r="AR3" s="67"/>
      <c r="AS3" s="67"/>
      <c r="AT3" s="67"/>
      <c r="AU3" s="67"/>
      <c r="AV3" s="67"/>
      <c r="AW3" s="67"/>
      <c r="AX3" s="67"/>
    </row>
    <row r="4" spans="1:50" s="24" customFormat="1" ht="12.75"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row>
    <row r="5" spans="1:50">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row>
    <row r="6" spans="1:50" s="25" customFormat="1" ht="12" customHeight="1">
      <c r="A6" s="58"/>
      <c r="B6" s="274" t="s">
        <v>49</v>
      </c>
      <c r="C6" s="274" t="s">
        <v>259</v>
      </c>
      <c r="D6" s="274" t="s">
        <v>104</v>
      </c>
      <c r="E6" s="278"/>
      <c r="F6" s="236" t="s">
        <v>105</v>
      </c>
      <c r="G6" s="237"/>
      <c r="H6" s="237"/>
      <c r="I6" s="238"/>
      <c r="J6" s="160"/>
      <c r="K6" s="282" t="s">
        <v>106</v>
      </c>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4"/>
      <c r="AX6" s="58"/>
    </row>
    <row r="7" spans="1:50" s="25" customFormat="1" ht="30" customHeight="1">
      <c r="A7" s="58"/>
      <c r="B7" s="277"/>
      <c r="C7" s="277"/>
      <c r="D7" s="277"/>
      <c r="E7" s="278"/>
      <c r="F7" s="296" t="s">
        <v>260</v>
      </c>
      <c r="G7" s="297"/>
      <c r="H7" s="297"/>
      <c r="I7" s="298"/>
      <c r="J7" s="26"/>
      <c r="K7" s="285" t="s">
        <v>108</v>
      </c>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7"/>
      <c r="AX7" s="58"/>
    </row>
    <row r="8" spans="1:50" s="25" customFormat="1" ht="37.15">
      <c r="A8" s="58"/>
      <c r="B8" s="277"/>
      <c r="C8" s="277"/>
      <c r="D8" s="277"/>
      <c r="E8" s="90" t="s">
        <v>261</v>
      </c>
      <c r="F8" s="70" t="s">
        <v>110</v>
      </c>
      <c r="G8" s="70" t="s">
        <v>111</v>
      </c>
      <c r="H8" s="70" t="s">
        <v>112</v>
      </c>
      <c r="I8" s="70" t="s">
        <v>113</v>
      </c>
      <c r="J8" s="26"/>
      <c r="K8" s="70" t="s">
        <v>114</v>
      </c>
      <c r="L8" s="70" t="s">
        <v>115</v>
      </c>
      <c r="M8" s="70" t="s">
        <v>116</v>
      </c>
      <c r="N8" s="70" t="s">
        <v>117</v>
      </c>
      <c r="O8" s="70" t="s">
        <v>118</v>
      </c>
      <c r="P8" s="70" t="s">
        <v>119</v>
      </c>
      <c r="Q8" s="70" t="s">
        <v>120</v>
      </c>
      <c r="R8" s="70" t="s">
        <v>121</v>
      </c>
      <c r="S8" s="70" t="s">
        <v>122</v>
      </c>
      <c r="T8" s="70" t="s">
        <v>123</v>
      </c>
      <c r="U8" s="70" t="s">
        <v>124</v>
      </c>
      <c r="V8" s="70" t="s">
        <v>125</v>
      </c>
      <c r="W8" s="70" t="s">
        <v>126</v>
      </c>
      <c r="X8" s="70" t="s">
        <v>127</v>
      </c>
      <c r="Y8" s="70" t="s">
        <v>128</v>
      </c>
      <c r="Z8" s="70" t="s">
        <v>129</v>
      </c>
      <c r="AA8" s="70" t="s">
        <v>130</v>
      </c>
      <c r="AB8" s="70" t="s">
        <v>131</v>
      </c>
      <c r="AC8" s="70" t="s">
        <v>132</v>
      </c>
      <c r="AD8" s="70" t="s">
        <v>133</v>
      </c>
      <c r="AE8" s="70" t="s">
        <v>134</v>
      </c>
      <c r="AF8" s="70" t="s">
        <v>135</v>
      </c>
      <c r="AG8" s="70" t="s">
        <v>136</v>
      </c>
      <c r="AH8" s="70" t="s">
        <v>137</v>
      </c>
      <c r="AI8" s="70" t="s">
        <v>138</v>
      </c>
      <c r="AJ8" s="70" t="s">
        <v>139</v>
      </c>
      <c r="AK8" s="70" t="s">
        <v>140</v>
      </c>
      <c r="AL8" s="70" t="s">
        <v>141</v>
      </c>
      <c r="AM8" s="70" t="s">
        <v>142</v>
      </c>
      <c r="AN8" s="70" t="s">
        <v>143</v>
      </c>
      <c r="AO8" s="70" t="s">
        <v>144</v>
      </c>
      <c r="AP8" s="70" t="s">
        <v>145</v>
      </c>
      <c r="AQ8" s="70" t="s">
        <v>146</v>
      </c>
      <c r="AR8" s="70" t="s">
        <v>147</v>
      </c>
      <c r="AS8" s="70" t="s">
        <v>148</v>
      </c>
      <c r="AT8" s="70" t="s">
        <v>149</v>
      </c>
      <c r="AU8" s="70" t="s">
        <v>150</v>
      </c>
      <c r="AV8" s="70" t="s">
        <v>151</v>
      </c>
      <c r="AW8" s="70" t="s">
        <v>152</v>
      </c>
      <c r="AX8" s="58"/>
    </row>
    <row r="9" spans="1:50" s="25" customFormat="1">
      <c r="A9" s="58"/>
      <c r="B9" s="277"/>
      <c r="C9" s="277"/>
      <c r="D9" s="277"/>
      <c r="E9" s="91" t="s">
        <v>153</v>
      </c>
      <c r="F9" s="72" t="s">
        <v>154</v>
      </c>
      <c r="G9" s="72" t="s">
        <v>155</v>
      </c>
      <c r="H9" s="72" t="s">
        <v>156</v>
      </c>
      <c r="I9" s="73" t="s">
        <v>157</v>
      </c>
      <c r="J9" s="26"/>
      <c r="K9" s="74" t="s">
        <v>158</v>
      </c>
      <c r="L9" s="72" t="s">
        <v>159</v>
      </c>
      <c r="M9" s="72" t="s">
        <v>160</v>
      </c>
      <c r="N9" s="72" t="s">
        <v>161</v>
      </c>
      <c r="O9" s="72" t="s">
        <v>162</v>
      </c>
      <c r="P9" s="72" t="s">
        <v>163</v>
      </c>
      <c r="Q9" s="72" t="s">
        <v>164</v>
      </c>
      <c r="R9" s="72" t="s">
        <v>165</v>
      </c>
      <c r="S9" s="72" t="s">
        <v>166</v>
      </c>
      <c r="T9" s="72" t="s">
        <v>167</v>
      </c>
      <c r="U9" s="72" t="s">
        <v>168</v>
      </c>
      <c r="V9" s="72" t="s">
        <v>169</v>
      </c>
      <c r="W9" s="72" t="s">
        <v>170</v>
      </c>
      <c r="X9" s="72" t="s">
        <v>171</v>
      </c>
      <c r="Y9" s="72" t="s">
        <v>172</v>
      </c>
      <c r="Z9" s="72" t="s">
        <v>173</v>
      </c>
      <c r="AA9" s="72" t="s">
        <v>174</v>
      </c>
      <c r="AB9" s="72" t="s">
        <v>175</v>
      </c>
      <c r="AC9" s="72" t="s">
        <v>176</v>
      </c>
      <c r="AD9" s="72" t="s">
        <v>177</v>
      </c>
      <c r="AE9" s="72" t="s">
        <v>178</v>
      </c>
      <c r="AF9" s="72" t="s">
        <v>179</v>
      </c>
      <c r="AG9" s="72" t="s">
        <v>180</v>
      </c>
      <c r="AH9" s="72" t="s">
        <v>181</v>
      </c>
      <c r="AI9" s="72" t="s">
        <v>182</v>
      </c>
      <c r="AJ9" s="72" t="s">
        <v>183</v>
      </c>
      <c r="AK9" s="72" t="s">
        <v>184</v>
      </c>
      <c r="AL9" s="72" t="s">
        <v>185</v>
      </c>
      <c r="AM9" s="72" t="s">
        <v>186</v>
      </c>
      <c r="AN9" s="72" t="s">
        <v>187</v>
      </c>
      <c r="AO9" s="72" t="s">
        <v>188</v>
      </c>
      <c r="AP9" s="72" t="s">
        <v>189</v>
      </c>
      <c r="AQ9" s="72" t="s">
        <v>190</v>
      </c>
      <c r="AR9" s="72" t="s">
        <v>191</v>
      </c>
      <c r="AS9" s="72" t="s">
        <v>192</v>
      </c>
      <c r="AT9" s="72" t="s">
        <v>193</v>
      </c>
      <c r="AU9" s="72" t="s">
        <v>194</v>
      </c>
      <c r="AV9" s="72" t="s">
        <v>195</v>
      </c>
      <c r="AW9" s="72" t="s">
        <v>196</v>
      </c>
      <c r="AX9" s="58"/>
    </row>
    <row r="10" spans="1:50" s="25" customFormat="1">
      <c r="A10" s="58"/>
      <c r="B10" s="275"/>
      <c r="C10" s="275"/>
      <c r="D10" s="275"/>
      <c r="E10" s="91" t="s">
        <v>197</v>
      </c>
      <c r="F10" s="75" t="s">
        <v>198</v>
      </c>
      <c r="G10" s="72" t="s">
        <v>198</v>
      </c>
      <c r="H10" s="72" t="s">
        <v>199</v>
      </c>
      <c r="I10" s="72" t="s">
        <v>199</v>
      </c>
      <c r="J10" s="26"/>
      <c r="K10" s="125" t="s">
        <v>200</v>
      </c>
      <c r="L10" s="125" t="s">
        <v>201</v>
      </c>
      <c r="M10" s="125" t="s">
        <v>201</v>
      </c>
      <c r="N10" s="125" t="s">
        <v>202</v>
      </c>
      <c r="O10" s="125" t="s">
        <v>202</v>
      </c>
      <c r="P10" s="125" t="s">
        <v>203</v>
      </c>
      <c r="Q10" s="125" t="s">
        <v>203</v>
      </c>
      <c r="R10" s="125" t="s">
        <v>204</v>
      </c>
      <c r="S10" s="125" t="s">
        <v>204</v>
      </c>
      <c r="T10" s="125" t="s">
        <v>205</v>
      </c>
      <c r="U10" s="125" t="s">
        <v>205</v>
      </c>
      <c r="V10" s="125" t="s">
        <v>205</v>
      </c>
      <c r="W10" s="125" t="s">
        <v>206</v>
      </c>
      <c r="X10" s="125" t="s">
        <v>206</v>
      </c>
      <c r="Y10" s="125" t="s">
        <v>206</v>
      </c>
      <c r="Z10" s="125" t="s">
        <v>206</v>
      </c>
      <c r="AA10" s="125" t="s">
        <v>207</v>
      </c>
      <c r="AB10" s="125" t="s">
        <v>207</v>
      </c>
      <c r="AC10" s="125" t="s">
        <v>207</v>
      </c>
      <c r="AD10" s="125" t="s">
        <v>207</v>
      </c>
      <c r="AE10" s="125" t="s">
        <v>208</v>
      </c>
      <c r="AF10" s="125" t="s">
        <v>208</v>
      </c>
      <c r="AG10" s="125" t="s">
        <v>208</v>
      </c>
      <c r="AH10" s="125" t="s">
        <v>208</v>
      </c>
      <c r="AI10" s="125" t="s">
        <v>209</v>
      </c>
      <c r="AJ10" s="125" t="s">
        <v>209</v>
      </c>
      <c r="AK10" s="125" t="s">
        <v>209</v>
      </c>
      <c r="AL10" s="125" t="s">
        <v>209</v>
      </c>
      <c r="AM10" s="125" t="s">
        <v>210</v>
      </c>
      <c r="AN10" s="125" t="s">
        <v>210</v>
      </c>
      <c r="AO10" s="125" t="s">
        <v>210</v>
      </c>
      <c r="AP10" s="125" t="s">
        <v>210</v>
      </c>
      <c r="AQ10" s="125" t="s">
        <v>211</v>
      </c>
      <c r="AR10" s="125" t="s">
        <v>211</v>
      </c>
      <c r="AS10" s="125" t="s">
        <v>211</v>
      </c>
      <c r="AT10" s="125" t="s">
        <v>211</v>
      </c>
      <c r="AU10" s="125" t="s">
        <v>212</v>
      </c>
      <c r="AV10" s="125" t="s">
        <v>212</v>
      </c>
      <c r="AW10" s="125" t="s">
        <v>212</v>
      </c>
      <c r="AX10" s="58"/>
    </row>
    <row r="11" spans="1:50" s="25" customFormat="1" ht="12.75" customHeight="1">
      <c r="A11" s="58"/>
      <c r="B11" s="279" t="s">
        <v>262</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1"/>
      <c r="AX11" s="58"/>
    </row>
    <row r="12" spans="1:50" s="25" customFormat="1">
      <c r="A12" s="58"/>
      <c r="B12" s="52" t="s">
        <v>358</v>
      </c>
      <c r="C12" s="52" t="s">
        <v>359</v>
      </c>
      <c r="D12" s="52" t="s">
        <v>216</v>
      </c>
      <c r="E12" s="58"/>
      <c r="F12" s="58"/>
      <c r="G12" s="58"/>
      <c r="H12" s="58"/>
      <c r="I12" s="58"/>
      <c r="J12" s="26"/>
      <c r="K12" s="58"/>
      <c r="L12" s="58"/>
      <c r="M12" s="58"/>
      <c r="N12" s="58"/>
      <c r="O12" s="58"/>
      <c r="P12" s="58"/>
      <c r="Q12" s="58"/>
      <c r="R12" s="58"/>
      <c r="S12" s="58"/>
      <c r="T12" s="58"/>
      <c r="U12" s="58"/>
      <c r="V12" s="58"/>
      <c r="W12" s="58"/>
      <c r="X12" s="58"/>
      <c r="Y12" s="58"/>
      <c r="Z12" s="58"/>
      <c r="AA12" s="58"/>
      <c r="AB12" s="205">
        <v>0.85199999999999998</v>
      </c>
      <c r="AC12" s="174">
        <v>0.85199999999999998</v>
      </c>
      <c r="AD12" s="174">
        <v>0.85199999999999998</v>
      </c>
      <c r="AE12" s="174">
        <v>1.1200000000000001</v>
      </c>
      <c r="AF12" s="174"/>
      <c r="AG12" s="174"/>
      <c r="AH12" s="174"/>
      <c r="AI12" s="174"/>
      <c r="AJ12" s="174"/>
      <c r="AK12" s="174"/>
      <c r="AL12" s="174"/>
      <c r="AM12" s="174"/>
      <c r="AN12" s="174"/>
      <c r="AO12" s="174"/>
      <c r="AP12" s="174"/>
      <c r="AQ12" s="174"/>
      <c r="AR12" s="174"/>
      <c r="AS12" s="174"/>
      <c r="AT12" s="174"/>
      <c r="AU12" s="174"/>
      <c r="AV12" s="174"/>
      <c r="AW12" s="174"/>
      <c r="AX12" s="58"/>
    </row>
    <row r="13" spans="1:50" s="25" customFormat="1">
      <c r="A13" s="58"/>
      <c r="B13" s="52" t="s">
        <v>360</v>
      </c>
      <c r="C13" s="52" t="s">
        <v>359</v>
      </c>
      <c r="D13" s="52" t="s">
        <v>216</v>
      </c>
      <c r="E13" s="58"/>
      <c r="F13" s="58"/>
      <c r="G13" s="58"/>
      <c r="H13" s="58"/>
      <c r="I13" s="58"/>
      <c r="J13" s="26"/>
      <c r="K13" s="58"/>
      <c r="L13" s="58"/>
      <c r="M13" s="58"/>
      <c r="N13" s="58"/>
      <c r="O13" s="58"/>
      <c r="P13" s="58"/>
      <c r="Q13" s="58"/>
      <c r="R13" s="58"/>
      <c r="S13" s="58"/>
      <c r="T13" s="58"/>
      <c r="U13" s="58"/>
      <c r="V13" s="58"/>
      <c r="W13" s="58"/>
      <c r="X13" s="58"/>
      <c r="Y13" s="58"/>
      <c r="Z13" s="58"/>
      <c r="AA13" s="58"/>
      <c r="AB13" s="205">
        <v>0.03</v>
      </c>
      <c r="AC13" s="174">
        <v>0.03</v>
      </c>
      <c r="AD13" s="174">
        <v>0.03</v>
      </c>
      <c r="AE13" s="174">
        <v>1.9E-2</v>
      </c>
      <c r="AF13" s="174"/>
      <c r="AG13" s="174"/>
      <c r="AH13" s="174"/>
      <c r="AI13" s="174"/>
      <c r="AJ13" s="174"/>
      <c r="AK13" s="174"/>
      <c r="AL13" s="174"/>
      <c r="AM13" s="174"/>
      <c r="AN13" s="174"/>
      <c r="AO13" s="174"/>
      <c r="AP13" s="174"/>
      <c r="AQ13" s="174"/>
      <c r="AR13" s="174"/>
      <c r="AS13" s="174"/>
      <c r="AT13" s="174"/>
      <c r="AU13" s="174"/>
      <c r="AV13" s="174"/>
      <c r="AW13" s="174"/>
      <c r="AX13" s="58"/>
    </row>
    <row r="14" spans="1:50" s="25" customFormat="1">
      <c r="A14" s="58"/>
      <c r="B14" s="279" t="s">
        <v>361</v>
      </c>
      <c r="C14" s="280"/>
      <c r="D14" s="280"/>
      <c r="E14" s="280"/>
      <c r="F14" s="280"/>
      <c r="G14" s="280"/>
      <c r="H14" s="280"/>
      <c r="I14" s="280"/>
      <c r="J14" s="280"/>
      <c r="K14" s="280"/>
      <c r="L14" s="280"/>
      <c r="M14" s="280"/>
      <c r="N14" s="280"/>
      <c r="O14" s="280"/>
      <c r="P14" s="280"/>
      <c r="Q14" s="280"/>
      <c r="R14" s="280"/>
      <c r="S14" s="280"/>
      <c r="T14" s="280"/>
      <c r="U14" s="281"/>
      <c r="V14" s="280"/>
      <c r="W14" s="280"/>
      <c r="X14" s="280"/>
      <c r="Y14" s="280"/>
      <c r="Z14" s="280"/>
      <c r="AA14" s="280"/>
      <c r="AB14" s="280"/>
      <c r="AC14" s="280"/>
      <c r="AD14" s="280"/>
      <c r="AE14" s="280"/>
      <c r="AF14" s="280"/>
      <c r="AG14" s="280"/>
      <c r="AH14" s="280"/>
      <c r="AI14" s="280"/>
      <c r="AJ14" s="280"/>
      <c r="AK14" s="280"/>
      <c r="AL14" s="280"/>
      <c r="AM14" s="280"/>
      <c r="AN14" s="280"/>
      <c r="AO14" s="281"/>
      <c r="AP14" s="280"/>
      <c r="AQ14" s="280"/>
      <c r="AR14" s="280"/>
      <c r="AS14" s="280"/>
      <c r="AT14" s="280"/>
      <c r="AU14" s="280"/>
      <c r="AV14" s="280"/>
      <c r="AW14" s="281"/>
      <c r="AX14" s="58"/>
    </row>
    <row r="15" spans="1:50" s="25" customFormat="1">
      <c r="A15" s="58"/>
      <c r="B15" s="52" t="s">
        <v>362</v>
      </c>
      <c r="C15" s="52"/>
      <c r="D15" s="52" t="s">
        <v>216</v>
      </c>
      <c r="E15" s="58"/>
      <c r="F15" s="58"/>
      <c r="G15" s="58"/>
      <c r="H15" s="58"/>
      <c r="I15" s="58"/>
      <c r="J15" s="161"/>
      <c r="K15" s="58"/>
      <c r="L15" s="58"/>
      <c r="M15" s="58"/>
      <c r="N15" s="58"/>
      <c r="O15" s="58"/>
      <c r="P15" s="58"/>
      <c r="Q15" s="58"/>
      <c r="R15" s="58"/>
      <c r="S15" s="58"/>
      <c r="T15" s="58"/>
      <c r="U15" s="58"/>
      <c r="V15" s="58"/>
      <c r="W15" s="58"/>
      <c r="X15" s="58"/>
      <c r="Y15" s="58"/>
      <c r="Z15" s="58"/>
      <c r="AA15" s="58"/>
      <c r="AB15" s="173">
        <f t="shared" ref="AB15:AW15" si="0">IFERROR(AB12+AB13, "-")</f>
        <v>0.88200000000000001</v>
      </c>
      <c r="AC15" s="173">
        <f t="shared" si="0"/>
        <v>0.88200000000000001</v>
      </c>
      <c r="AD15" s="173">
        <f t="shared" si="0"/>
        <v>0.88200000000000001</v>
      </c>
      <c r="AE15" s="173">
        <f t="shared" si="0"/>
        <v>1.139</v>
      </c>
      <c r="AF15" s="173">
        <f t="shared" si="0"/>
        <v>0</v>
      </c>
      <c r="AG15" s="173">
        <f t="shared" si="0"/>
        <v>0</v>
      </c>
      <c r="AH15" s="173">
        <f t="shared" si="0"/>
        <v>0</v>
      </c>
      <c r="AI15" s="173">
        <f t="shared" si="0"/>
        <v>0</v>
      </c>
      <c r="AJ15" s="173">
        <f t="shared" si="0"/>
        <v>0</v>
      </c>
      <c r="AK15" s="173">
        <f t="shared" si="0"/>
        <v>0</v>
      </c>
      <c r="AL15" s="173">
        <f t="shared" si="0"/>
        <v>0</v>
      </c>
      <c r="AM15" s="173">
        <f t="shared" si="0"/>
        <v>0</v>
      </c>
      <c r="AN15" s="173">
        <f t="shared" si="0"/>
        <v>0</v>
      </c>
      <c r="AO15" s="173">
        <f t="shared" si="0"/>
        <v>0</v>
      </c>
      <c r="AP15" s="173">
        <f t="shared" si="0"/>
        <v>0</v>
      </c>
      <c r="AQ15" s="173">
        <f t="shared" si="0"/>
        <v>0</v>
      </c>
      <c r="AR15" s="173">
        <f t="shared" si="0"/>
        <v>0</v>
      </c>
      <c r="AS15" s="173">
        <f t="shared" si="0"/>
        <v>0</v>
      </c>
      <c r="AT15" s="173">
        <f t="shared" si="0"/>
        <v>0</v>
      </c>
      <c r="AU15" s="173">
        <f t="shared" si="0"/>
        <v>0</v>
      </c>
      <c r="AV15" s="173">
        <f t="shared" si="0"/>
        <v>0</v>
      </c>
      <c r="AW15" s="173">
        <f t="shared" si="0"/>
        <v>0</v>
      </c>
      <c r="AX15" s="58"/>
    </row>
    <row r="16" spans="1:50">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row>
    <row r="17" spans="1:50">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row>
    <row r="18" spans="1:50">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row>
    <row r="19" spans="1:50">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row>
    <row r="20" spans="1:50">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row>
    <row r="21" spans="1:50">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row>
    <row r="22" spans="1:50">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row>
    <row r="23" spans="1:50">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row>
    <row r="24" spans="1:50" hidden="1">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row>
    <row r="25" spans="1:50" hidden="1">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row>
    <row r="26" spans="1:50" hidden="1">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row>
    <row r="27" spans="1:50" hidden="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row>
    <row r="28" spans="1:50" hidden="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row>
    <row r="29" spans="1:50" hidden="1">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row>
    <row r="30" spans="1:50" hidden="1">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row>
    <row r="31" spans="1:50" hidden="1">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row>
  </sheetData>
  <mergeCells count="13">
    <mergeCell ref="K6:AW6"/>
    <mergeCell ref="F7:I7"/>
    <mergeCell ref="K7:AW7"/>
    <mergeCell ref="B11:AW11"/>
    <mergeCell ref="B14:U14"/>
    <mergeCell ref="V14:AO14"/>
    <mergeCell ref="AP14:AW14"/>
    <mergeCell ref="F6:I6"/>
    <mergeCell ref="B3:E3"/>
    <mergeCell ref="B6:B10"/>
    <mergeCell ref="C6:C10"/>
    <mergeCell ref="D6:D10"/>
    <mergeCell ref="E6:E7"/>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6C38D-5642-4C8B-8E64-3FB891AA2D87}">
  <sheetPr>
    <tabColor theme="7" tint="0.79998168889431442"/>
    <pageSetUpPr autoPageBreaks="0"/>
  </sheetPr>
  <dimension ref="A1:AX32"/>
  <sheetViews>
    <sheetView topLeftCell="Y1" zoomScaleNormal="100" workbookViewId="0">
      <selection activeCell="V16" sqref="V16:AO16"/>
    </sheetView>
  </sheetViews>
  <sheetFormatPr defaultColWidth="0" defaultRowHeight="12.75" customHeight="1" zeroHeight="1"/>
  <cols>
    <col min="1" max="1" width="9" style="29" customWidth="1"/>
    <col min="2" max="2" width="74.28515625" style="29" customWidth="1"/>
    <col min="3" max="3" width="43.42578125" style="29" bestFit="1" customWidth="1"/>
    <col min="4" max="4" width="13.42578125" style="29" bestFit="1" customWidth="1"/>
    <col min="5" max="5" width="26.42578125" style="29" customWidth="1"/>
    <col min="6" max="9" width="17.5703125" style="29" customWidth="1"/>
    <col min="10" max="10" width="1.28515625" style="29" customWidth="1"/>
    <col min="11" max="18" width="17.5703125" style="29" customWidth="1"/>
    <col min="19" max="19" width="17.28515625" style="29" customWidth="1"/>
    <col min="20" max="20" width="14.7109375" style="29" bestFit="1" customWidth="1"/>
    <col min="21" max="49" width="17.5703125" style="29" customWidth="1"/>
    <col min="50" max="50" width="9" style="29" customWidth="1"/>
    <col min="51" max="16384" width="9" style="29" hidden="1"/>
  </cols>
  <sheetData>
    <row r="1" spans="1:50" s="24" customFormat="1" ht="12.75"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row>
    <row r="2" spans="1:50" s="24" customFormat="1" ht="18.75" customHeight="1">
      <c r="A2" s="67"/>
      <c r="B2" s="4" t="s">
        <v>363</v>
      </c>
      <c r="C2" s="28"/>
      <c r="D2" s="28"/>
      <c r="E2" s="28"/>
      <c r="F2" s="28"/>
      <c r="G2" s="28"/>
      <c r="H2" s="28"/>
      <c r="I2" s="28"/>
      <c r="J2" s="28"/>
      <c r="K2" s="28"/>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row>
    <row r="3" spans="1:50" s="24" customFormat="1" ht="14.25" customHeight="1">
      <c r="A3" s="67"/>
      <c r="B3" s="235" t="s">
        <v>364</v>
      </c>
      <c r="C3" s="235"/>
      <c r="D3" s="235"/>
      <c r="E3" s="235"/>
      <c r="F3" s="109"/>
      <c r="G3" s="109"/>
      <c r="H3" s="109"/>
      <c r="I3" s="109"/>
      <c r="J3" s="109"/>
      <c r="K3" s="109"/>
      <c r="L3" s="109"/>
      <c r="M3" s="109"/>
      <c r="N3" s="67"/>
      <c r="O3" s="67"/>
      <c r="P3" s="67"/>
      <c r="Q3" s="67"/>
      <c r="R3" s="67"/>
      <c r="S3" s="67"/>
      <c r="T3" s="67"/>
      <c r="U3" s="67"/>
      <c r="V3" s="67"/>
      <c r="W3" s="67"/>
      <c r="X3" s="68"/>
      <c r="Y3" s="68"/>
      <c r="Z3" s="68"/>
      <c r="AA3" s="68"/>
      <c r="AB3" s="68"/>
      <c r="AC3" s="67"/>
      <c r="AD3" s="67"/>
      <c r="AE3" s="67"/>
      <c r="AF3" s="67"/>
      <c r="AG3" s="67"/>
      <c r="AH3" s="67"/>
      <c r="AI3" s="67"/>
      <c r="AJ3" s="67"/>
      <c r="AK3" s="67"/>
      <c r="AL3" s="67"/>
      <c r="AM3" s="67"/>
      <c r="AN3" s="67"/>
      <c r="AO3" s="67"/>
      <c r="AP3" s="67"/>
      <c r="AQ3" s="67"/>
      <c r="AR3" s="67"/>
      <c r="AS3" s="67"/>
      <c r="AT3" s="67"/>
      <c r="AU3" s="67"/>
      <c r="AV3" s="67"/>
      <c r="AW3" s="67"/>
      <c r="AX3" s="67"/>
    </row>
    <row r="4" spans="1:50" s="24" customFormat="1" ht="12.75"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row>
    <row r="5" spans="1:50" ht="12.4">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row>
    <row r="6" spans="1:50" s="25" customFormat="1" ht="12" customHeight="1">
      <c r="A6" s="58"/>
      <c r="B6" s="274" t="s">
        <v>49</v>
      </c>
      <c r="C6" s="274" t="s">
        <v>259</v>
      </c>
      <c r="D6" s="274" t="s">
        <v>104</v>
      </c>
      <c r="E6" s="278"/>
      <c r="F6" s="236" t="s">
        <v>105</v>
      </c>
      <c r="G6" s="237"/>
      <c r="H6" s="237"/>
      <c r="I6" s="238"/>
      <c r="J6" s="160"/>
      <c r="K6" s="282" t="s">
        <v>106</v>
      </c>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4"/>
      <c r="AX6" s="58"/>
    </row>
    <row r="7" spans="1:50" s="25" customFormat="1" ht="30" customHeight="1">
      <c r="A7" s="58"/>
      <c r="B7" s="277"/>
      <c r="C7" s="277"/>
      <c r="D7" s="277"/>
      <c r="E7" s="278"/>
      <c r="F7" s="296" t="s">
        <v>260</v>
      </c>
      <c r="G7" s="297"/>
      <c r="H7" s="297"/>
      <c r="I7" s="298"/>
      <c r="J7" s="26"/>
      <c r="K7" s="285" t="s">
        <v>108</v>
      </c>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7"/>
      <c r="AX7" s="58"/>
    </row>
    <row r="8" spans="1:50" s="25" customFormat="1" ht="37.15">
      <c r="A8" s="58"/>
      <c r="B8" s="277"/>
      <c r="C8" s="277"/>
      <c r="D8" s="277"/>
      <c r="E8" s="90" t="s">
        <v>261</v>
      </c>
      <c r="F8" s="70" t="s">
        <v>110</v>
      </c>
      <c r="G8" s="70" t="s">
        <v>111</v>
      </c>
      <c r="H8" s="70" t="s">
        <v>112</v>
      </c>
      <c r="I8" s="70" t="s">
        <v>113</v>
      </c>
      <c r="J8" s="26"/>
      <c r="K8" s="70" t="s">
        <v>114</v>
      </c>
      <c r="L8" s="70" t="s">
        <v>115</v>
      </c>
      <c r="M8" s="70" t="s">
        <v>116</v>
      </c>
      <c r="N8" s="70" t="s">
        <v>117</v>
      </c>
      <c r="O8" s="70" t="s">
        <v>118</v>
      </c>
      <c r="P8" s="70" t="s">
        <v>119</v>
      </c>
      <c r="Q8" s="70" t="s">
        <v>120</v>
      </c>
      <c r="R8" s="70" t="s">
        <v>121</v>
      </c>
      <c r="S8" s="70" t="s">
        <v>122</v>
      </c>
      <c r="T8" s="70" t="s">
        <v>123</v>
      </c>
      <c r="U8" s="70" t="s">
        <v>124</v>
      </c>
      <c r="V8" s="70" t="s">
        <v>125</v>
      </c>
      <c r="W8" s="70" t="s">
        <v>126</v>
      </c>
      <c r="X8" s="70" t="s">
        <v>127</v>
      </c>
      <c r="Y8" s="70" t="s">
        <v>128</v>
      </c>
      <c r="Z8" s="70" t="s">
        <v>129</v>
      </c>
      <c r="AA8" s="70" t="s">
        <v>130</v>
      </c>
      <c r="AB8" s="70" t="s">
        <v>131</v>
      </c>
      <c r="AC8" s="70" t="s">
        <v>132</v>
      </c>
      <c r="AD8" s="70" t="s">
        <v>133</v>
      </c>
      <c r="AE8" s="70" t="s">
        <v>134</v>
      </c>
      <c r="AF8" s="70" t="s">
        <v>135</v>
      </c>
      <c r="AG8" s="70" t="s">
        <v>136</v>
      </c>
      <c r="AH8" s="70" t="s">
        <v>137</v>
      </c>
      <c r="AI8" s="70" t="s">
        <v>138</v>
      </c>
      <c r="AJ8" s="70" t="s">
        <v>139</v>
      </c>
      <c r="AK8" s="70" t="s">
        <v>140</v>
      </c>
      <c r="AL8" s="70" t="s">
        <v>141</v>
      </c>
      <c r="AM8" s="70" t="s">
        <v>142</v>
      </c>
      <c r="AN8" s="70" t="s">
        <v>143</v>
      </c>
      <c r="AO8" s="70" t="s">
        <v>144</v>
      </c>
      <c r="AP8" s="70" t="s">
        <v>145</v>
      </c>
      <c r="AQ8" s="70" t="s">
        <v>146</v>
      </c>
      <c r="AR8" s="70" t="s">
        <v>147</v>
      </c>
      <c r="AS8" s="70" t="s">
        <v>148</v>
      </c>
      <c r="AT8" s="70" t="s">
        <v>149</v>
      </c>
      <c r="AU8" s="70" t="s">
        <v>150</v>
      </c>
      <c r="AV8" s="70" t="s">
        <v>151</v>
      </c>
      <c r="AW8" s="70" t="s">
        <v>152</v>
      </c>
      <c r="AX8" s="58"/>
    </row>
    <row r="9" spans="1:50" s="25" customFormat="1" ht="12.4">
      <c r="A9" s="58"/>
      <c r="B9" s="277"/>
      <c r="C9" s="277"/>
      <c r="D9" s="277"/>
      <c r="E9" s="91" t="s">
        <v>153</v>
      </c>
      <c r="F9" s="72" t="s">
        <v>154</v>
      </c>
      <c r="G9" s="72" t="s">
        <v>155</v>
      </c>
      <c r="H9" s="72" t="s">
        <v>156</v>
      </c>
      <c r="I9" s="73" t="s">
        <v>157</v>
      </c>
      <c r="J9" s="26"/>
      <c r="K9" s="74" t="s">
        <v>158</v>
      </c>
      <c r="L9" s="72" t="s">
        <v>159</v>
      </c>
      <c r="M9" s="72" t="s">
        <v>160</v>
      </c>
      <c r="N9" s="72" t="s">
        <v>161</v>
      </c>
      <c r="O9" s="72" t="s">
        <v>162</v>
      </c>
      <c r="P9" s="72" t="s">
        <v>163</v>
      </c>
      <c r="Q9" s="72" t="s">
        <v>164</v>
      </c>
      <c r="R9" s="72" t="s">
        <v>165</v>
      </c>
      <c r="S9" s="72" t="s">
        <v>166</v>
      </c>
      <c r="T9" s="72" t="s">
        <v>167</v>
      </c>
      <c r="U9" s="72" t="s">
        <v>168</v>
      </c>
      <c r="V9" s="72" t="s">
        <v>169</v>
      </c>
      <c r="W9" s="72" t="s">
        <v>170</v>
      </c>
      <c r="X9" s="72" t="s">
        <v>171</v>
      </c>
      <c r="Y9" s="72" t="s">
        <v>172</v>
      </c>
      <c r="Z9" s="72" t="s">
        <v>173</v>
      </c>
      <c r="AA9" s="72" t="s">
        <v>174</v>
      </c>
      <c r="AB9" s="72" t="s">
        <v>175</v>
      </c>
      <c r="AC9" s="72" t="s">
        <v>176</v>
      </c>
      <c r="AD9" s="72" t="s">
        <v>177</v>
      </c>
      <c r="AE9" s="72" t="s">
        <v>178</v>
      </c>
      <c r="AF9" s="72" t="s">
        <v>179</v>
      </c>
      <c r="AG9" s="72" t="s">
        <v>180</v>
      </c>
      <c r="AH9" s="72" t="s">
        <v>181</v>
      </c>
      <c r="AI9" s="72" t="s">
        <v>182</v>
      </c>
      <c r="AJ9" s="72" t="s">
        <v>183</v>
      </c>
      <c r="AK9" s="72" t="s">
        <v>184</v>
      </c>
      <c r="AL9" s="72" t="s">
        <v>185</v>
      </c>
      <c r="AM9" s="72" t="s">
        <v>186</v>
      </c>
      <c r="AN9" s="72" t="s">
        <v>187</v>
      </c>
      <c r="AO9" s="72" t="s">
        <v>188</v>
      </c>
      <c r="AP9" s="72" t="s">
        <v>189</v>
      </c>
      <c r="AQ9" s="72" t="s">
        <v>190</v>
      </c>
      <c r="AR9" s="72" t="s">
        <v>191</v>
      </c>
      <c r="AS9" s="72" t="s">
        <v>192</v>
      </c>
      <c r="AT9" s="72" t="s">
        <v>193</v>
      </c>
      <c r="AU9" s="72" t="s">
        <v>194</v>
      </c>
      <c r="AV9" s="72" t="s">
        <v>195</v>
      </c>
      <c r="AW9" s="72" t="s">
        <v>196</v>
      </c>
      <c r="AX9" s="58"/>
    </row>
    <row r="10" spans="1:50" s="25" customFormat="1" ht="12.4">
      <c r="A10" s="58"/>
      <c r="B10" s="275"/>
      <c r="C10" s="275"/>
      <c r="D10" s="275"/>
      <c r="E10" s="91" t="s">
        <v>197</v>
      </c>
      <c r="F10" s="75" t="s">
        <v>198</v>
      </c>
      <c r="G10" s="72" t="s">
        <v>198</v>
      </c>
      <c r="H10" s="72" t="s">
        <v>199</v>
      </c>
      <c r="I10" s="72" t="s">
        <v>199</v>
      </c>
      <c r="J10" s="26"/>
      <c r="K10" s="125" t="s">
        <v>200</v>
      </c>
      <c r="L10" s="125" t="s">
        <v>201</v>
      </c>
      <c r="M10" s="125" t="s">
        <v>201</v>
      </c>
      <c r="N10" s="125" t="s">
        <v>202</v>
      </c>
      <c r="O10" s="125" t="s">
        <v>202</v>
      </c>
      <c r="P10" s="125" t="s">
        <v>203</v>
      </c>
      <c r="Q10" s="125" t="s">
        <v>203</v>
      </c>
      <c r="R10" s="125" t="s">
        <v>204</v>
      </c>
      <c r="S10" s="125" t="s">
        <v>204</v>
      </c>
      <c r="T10" s="125" t="s">
        <v>205</v>
      </c>
      <c r="U10" s="125" t="s">
        <v>205</v>
      </c>
      <c r="V10" s="125" t="s">
        <v>205</v>
      </c>
      <c r="W10" s="125" t="s">
        <v>206</v>
      </c>
      <c r="X10" s="125" t="s">
        <v>206</v>
      </c>
      <c r="Y10" s="125" t="s">
        <v>206</v>
      </c>
      <c r="Z10" s="125" t="s">
        <v>206</v>
      </c>
      <c r="AA10" s="125" t="s">
        <v>207</v>
      </c>
      <c r="AB10" s="125" t="s">
        <v>207</v>
      </c>
      <c r="AC10" s="125" t="s">
        <v>207</v>
      </c>
      <c r="AD10" s="125" t="s">
        <v>207</v>
      </c>
      <c r="AE10" s="125" t="s">
        <v>208</v>
      </c>
      <c r="AF10" s="125" t="s">
        <v>208</v>
      </c>
      <c r="AG10" s="125" t="s">
        <v>208</v>
      </c>
      <c r="AH10" s="125" t="s">
        <v>208</v>
      </c>
      <c r="AI10" s="125" t="s">
        <v>209</v>
      </c>
      <c r="AJ10" s="125" t="s">
        <v>209</v>
      </c>
      <c r="AK10" s="125" t="s">
        <v>209</v>
      </c>
      <c r="AL10" s="125" t="s">
        <v>209</v>
      </c>
      <c r="AM10" s="125" t="s">
        <v>210</v>
      </c>
      <c r="AN10" s="125" t="s">
        <v>210</v>
      </c>
      <c r="AO10" s="125" t="s">
        <v>210</v>
      </c>
      <c r="AP10" s="125" t="s">
        <v>210</v>
      </c>
      <c r="AQ10" s="125" t="s">
        <v>211</v>
      </c>
      <c r="AR10" s="125" t="s">
        <v>211</v>
      </c>
      <c r="AS10" s="125" t="s">
        <v>211</v>
      </c>
      <c r="AT10" s="125" t="s">
        <v>211</v>
      </c>
      <c r="AU10" s="125" t="s">
        <v>212</v>
      </c>
      <c r="AV10" s="125" t="s">
        <v>212</v>
      </c>
      <c r="AW10" s="125" t="s">
        <v>212</v>
      </c>
      <c r="AX10" s="58"/>
    </row>
    <row r="11" spans="1:50" s="25" customFormat="1" ht="12.75" customHeight="1">
      <c r="A11" s="58"/>
      <c r="B11" s="279" t="s">
        <v>262</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1"/>
      <c r="AX11" s="58"/>
    </row>
    <row r="12" spans="1:50" s="25" customFormat="1" ht="12.4">
      <c r="A12" s="58"/>
      <c r="B12" s="52" t="s">
        <v>365</v>
      </c>
      <c r="C12" s="52" t="s">
        <v>366</v>
      </c>
      <c r="D12" s="52" t="s">
        <v>367</v>
      </c>
      <c r="E12" s="58"/>
      <c r="F12" s="58"/>
      <c r="G12" s="58"/>
      <c r="H12" s="58"/>
      <c r="I12" s="58"/>
      <c r="J12" s="26"/>
      <c r="K12" s="58"/>
      <c r="L12" s="58"/>
      <c r="M12" s="58"/>
      <c r="N12" s="58"/>
      <c r="O12" s="58"/>
      <c r="P12" s="58"/>
      <c r="Q12" s="58"/>
      <c r="R12" s="58"/>
      <c r="S12" s="58"/>
      <c r="T12" s="58"/>
      <c r="U12" s="58"/>
      <c r="V12" s="58"/>
      <c r="W12" s="58"/>
      <c r="X12" s="58"/>
      <c r="Y12" s="58"/>
      <c r="Z12" s="58"/>
      <c r="AA12" s="58"/>
      <c r="AB12" s="111">
        <v>118.9</v>
      </c>
      <c r="AC12" s="111">
        <v>128.6</v>
      </c>
      <c r="AD12" s="111">
        <v>128.6</v>
      </c>
      <c r="AE12" s="111">
        <v>143.69999999999999</v>
      </c>
      <c r="AF12" s="111"/>
      <c r="AG12" s="111"/>
      <c r="AH12" s="111"/>
      <c r="AI12" s="111"/>
      <c r="AJ12" s="111"/>
      <c r="AK12" s="111"/>
      <c r="AL12" s="111"/>
      <c r="AM12" s="111"/>
      <c r="AN12" s="111"/>
      <c r="AO12" s="111"/>
      <c r="AP12" s="111"/>
      <c r="AQ12" s="111"/>
      <c r="AR12" s="111"/>
      <c r="AS12" s="111"/>
      <c r="AT12" s="111"/>
      <c r="AU12" s="111"/>
      <c r="AV12" s="111"/>
      <c r="AW12" s="111"/>
      <c r="AX12" s="58"/>
    </row>
    <row r="13" spans="1:50" s="25" customFormat="1" ht="12.4">
      <c r="A13" s="58"/>
      <c r="B13" s="52" t="s">
        <v>368</v>
      </c>
      <c r="C13" s="52" t="s">
        <v>366</v>
      </c>
      <c r="D13" s="52" t="s">
        <v>367</v>
      </c>
      <c r="E13" s="58"/>
      <c r="F13" s="58"/>
      <c r="G13" s="58"/>
      <c r="H13" s="58"/>
      <c r="I13" s="58"/>
      <c r="J13" s="26"/>
      <c r="K13" s="58"/>
      <c r="L13" s="58"/>
      <c r="M13" s="58"/>
      <c r="N13" s="58"/>
      <c r="O13" s="58"/>
      <c r="P13" s="58"/>
      <c r="Q13" s="58"/>
      <c r="R13" s="58"/>
      <c r="S13" s="58"/>
      <c r="T13" s="58"/>
      <c r="U13" s="58"/>
      <c r="V13" s="58"/>
      <c r="W13" s="58"/>
      <c r="X13" s="58"/>
      <c r="Y13" s="58"/>
      <c r="Z13" s="58"/>
      <c r="AA13" s="58"/>
      <c r="AB13" s="111">
        <v>23.6</v>
      </c>
      <c r="AC13" s="111">
        <v>23.6</v>
      </c>
      <c r="AD13" s="111">
        <v>23.6</v>
      </c>
      <c r="AE13" s="111">
        <v>16.3</v>
      </c>
      <c r="AF13" s="111"/>
      <c r="AG13" s="111"/>
      <c r="AH13" s="111"/>
      <c r="AI13" s="111"/>
      <c r="AJ13" s="111"/>
      <c r="AK13" s="111"/>
      <c r="AL13" s="111"/>
      <c r="AM13" s="111"/>
      <c r="AN13" s="111"/>
      <c r="AO13" s="111"/>
      <c r="AP13" s="111"/>
      <c r="AQ13" s="111"/>
      <c r="AR13" s="111"/>
      <c r="AS13" s="111"/>
      <c r="AT13" s="111"/>
      <c r="AU13" s="111"/>
      <c r="AV13" s="111"/>
      <c r="AW13" s="111"/>
      <c r="AX13" s="58"/>
    </row>
    <row r="14" spans="1:50" s="25" customFormat="1" ht="12.4">
      <c r="A14" s="58"/>
      <c r="B14" s="52" t="s">
        <v>369</v>
      </c>
      <c r="C14" s="52" t="s">
        <v>370</v>
      </c>
      <c r="D14" s="52" t="s">
        <v>371</v>
      </c>
      <c r="E14" s="58"/>
      <c r="F14" s="58"/>
      <c r="G14" s="58"/>
      <c r="H14" s="58"/>
      <c r="I14" s="58"/>
      <c r="J14" s="26"/>
      <c r="K14" s="58"/>
      <c r="L14" s="58"/>
      <c r="M14" s="58"/>
      <c r="N14" s="58"/>
      <c r="O14" s="58"/>
      <c r="P14" s="58"/>
      <c r="Q14" s="58"/>
      <c r="R14" s="58"/>
      <c r="S14" s="58"/>
      <c r="T14" s="58"/>
      <c r="U14" s="58"/>
      <c r="V14" s="58"/>
      <c r="W14" s="58"/>
      <c r="X14" s="58"/>
      <c r="Y14" s="58"/>
      <c r="Z14" s="58"/>
      <c r="AA14" s="58"/>
      <c r="AB14" s="111">
        <v>214</v>
      </c>
      <c r="AC14" s="111">
        <v>214</v>
      </c>
      <c r="AD14" s="111">
        <v>214</v>
      </c>
      <c r="AE14" s="111">
        <v>231</v>
      </c>
      <c r="AF14" s="111"/>
      <c r="AG14" s="111"/>
      <c r="AH14" s="111"/>
      <c r="AI14" s="111"/>
      <c r="AJ14" s="111"/>
      <c r="AK14" s="111"/>
      <c r="AL14" s="111"/>
      <c r="AM14" s="111"/>
      <c r="AN14" s="111"/>
      <c r="AO14" s="111"/>
      <c r="AP14" s="111"/>
      <c r="AQ14" s="111"/>
      <c r="AR14" s="111"/>
      <c r="AS14" s="111"/>
      <c r="AT14" s="111"/>
      <c r="AU14" s="111"/>
      <c r="AV14" s="111"/>
      <c r="AW14" s="111"/>
      <c r="AX14" s="58"/>
    </row>
    <row r="15" spans="1:50" s="25" customFormat="1" ht="12.4">
      <c r="A15" s="58"/>
      <c r="B15" s="52" t="s">
        <v>372</v>
      </c>
      <c r="C15" s="52" t="s">
        <v>370</v>
      </c>
      <c r="D15" s="52" t="s">
        <v>371</v>
      </c>
      <c r="E15" s="58"/>
      <c r="F15" s="58"/>
      <c r="G15" s="58"/>
      <c r="H15" s="58"/>
      <c r="I15" s="58"/>
      <c r="J15" s="26"/>
      <c r="K15" s="58"/>
      <c r="L15" s="58"/>
      <c r="M15" s="58"/>
      <c r="N15" s="58"/>
      <c r="O15" s="58"/>
      <c r="P15" s="58"/>
      <c r="Q15" s="58"/>
      <c r="R15" s="58"/>
      <c r="S15" s="58"/>
      <c r="T15" s="58"/>
      <c r="U15" s="58"/>
      <c r="V15" s="58"/>
      <c r="W15" s="58"/>
      <c r="X15" s="58"/>
      <c r="Y15" s="58"/>
      <c r="Z15" s="58"/>
      <c r="AA15" s="58"/>
      <c r="AB15" s="111">
        <v>214</v>
      </c>
      <c r="AC15" s="111">
        <v>214</v>
      </c>
      <c r="AD15" s="111">
        <v>214</v>
      </c>
      <c r="AE15" s="111">
        <v>231</v>
      </c>
      <c r="AF15" s="111"/>
      <c r="AG15" s="111"/>
      <c r="AH15" s="111"/>
      <c r="AI15" s="111"/>
      <c r="AJ15" s="111"/>
      <c r="AK15" s="111"/>
      <c r="AL15" s="111"/>
      <c r="AM15" s="111"/>
      <c r="AN15" s="111"/>
      <c r="AO15" s="111"/>
      <c r="AP15" s="111"/>
      <c r="AQ15" s="111"/>
      <c r="AR15" s="111"/>
      <c r="AS15" s="111"/>
      <c r="AT15" s="111"/>
      <c r="AU15" s="111"/>
      <c r="AV15" s="111"/>
      <c r="AW15" s="111"/>
      <c r="AX15" s="58"/>
    </row>
    <row r="16" spans="1:50" s="25" customFormat="1" ht="12.4">
      <c r="A16" s="58"/>
      <c r="B16" s="279" t="s">
        <v>276</v>
      </c>
      <c r="C16" s="280"/>
      <c r="D16" s="280"/>
      <c r="E16" s="280"/>
      <c r="F16" s="280"/>
      <c r="G16" s="280"/>
      <c r="H16" s="280"/>
      <c r="I16" s="280"/>
      <c r="J16" s="280"/>
      <c r="K16" s="280"/>
      <c r="L16" s="280"/>
      <c r="M16" s="280"/>
      <c r="N16" s="280"/>
      <c r="O16" s="280"/>
      <c r="P16" s="280"/>
      <c r="Q16" s="280"/>
      <c r="R16" s="280"/>
      <c r="S16" s="280"/>
      <c r="T16" s="280"/>
      <c r="U16" s="281"/>
      <c r="V16" s="280"/>
      <c r="W16" s="280"/>
      <c r="X16" s="280"/>
      <c r="Y16" s="280"/>
      <c r="Z16" s="280"/>
      <c r="AA16" s="280"/>
      <c r="AB16" s="280"/>
      <c r="AC16" s="280"/>
      <c r="AD16" s="280"/>
      <c r="AE16" s="280"/>
      <c r="AF16" s="280"/>
      <c r="AG16" s="280"/>
      <c r="AH16" s="280"/>
      <c r="AI16" s="280"/>
      <c r="AJ16" s="280"/>
      <c r="AK16" s="280"/>
      <c r="AL16" s="280"/>
      <c r="AM16" s="280"/>
      <c r="AN16" s="280"/>
      <c r="AO16" s="281"/>
      <c r="AP16" s="280"/>
      <c r="AQ16" s="280"/>
      <c r="AR16" s="280"/>
      <c r="AS16" s="280"/>
      <c r="AT16" s="280"/>
      <c r="AU16" s="280"/>
      <c r="AV16" s="280"/>
      <c r="AW16" s="281"/>
      <c r="AX16" s="58"/>
    </row>
    <row r="17" spans="1:50" s="25" customFormat="1" ht="12.4">
      <c r="A17" s="58"/>
      <c r="B17" s="52" t="s">
        <v>373</v>
      </c>
      <c r="C17" s="233"/>
      <c r="D17" s="52" t="s">
        <v>374</v>
      </c>
      <c r="E17" s="58"/>
      <c r="F17" s="58"/>
      <c r="G17" s="58"/>
      <c r="H17" s="58"/>
      <c r="I17" s="58"/>
      <c r="J17" s="26"/>
      <c r="K17" s="58"/>
      <c r="L17" s="58"/>
      <c r="M17" s="58"/>
      <c r="N17" s="58"/>
      <c r="O17" s="58"/>
      <c r="P17" s="58"/>
      <c r="Q17" s="58"/>
      <c r="R17" s="58"/>
      <c r="S17" s="58"/>
      <c r="T17" s="58"/>
      <c r="U17" s="58"/>
      <c r="V17" s="58"/>
      <c r="W17" s="58"/>
      <c r="X17" s="58"/>
      <c r="Y17" s="58"/>
      <c r="Z17" s="58"/>
      <c r="AA17" s="58"/>
      <c r="AB17" s="186">
        <f t="shared" ref="AB17:AW17" si="0">IFERROR((AB12-AB13)/(AB14+AB15), "-")</f>
        <v>0.22266355140186919</v>
      </c>
      <c r="AC17" s="186">
        <f t="shared" si="0"/>
        <v>0.24532710280373832</v>
      </c>
      <c r="AD17" s="186">
        <f t="shared" si="0"/>
        <v>0.24532710280373832</v>
      </c>
      <c r="AE17" s="186">
        <f t="shared" si="0"/>
        <v>0.27575757575757576</v>
      </c>
      <c r="AF17" s="186" t="str">
        <f t="shared" si="0"/>
        <v>-</v>
      </c>
      <c r="AG17" s="186" t="str">
        <f t="shared" si="0"/>
        <v>-</v>
      </c>
      <c r="AH17" s="186" t="str">
        <f t="shared" si="0"/>
        <v>-</v>
      </c>
      <c r="AI17" s="186" t="str">
        <f t="shared" si="0"/>
        <v>-</v>
      </c>
      <c r="AJ17" s="186" t="str">
        <f t="shared" si="0"/>
        <v>-</v>
      </c>
      <c r="AK17" s="186" t="str">
        <f t="shared" si="0"/>
        <v>-</v>
      </c>
      <c r="AL17" s="186" t="str">
        <f t="shared" si="0"/>
        <v>-</v>
      </c>
      <c r="AM17" s="186" t="str">
        <f t="shared" si="0"/>
        <v>-</v>
      </c>
      <c r="AN17" s="186" t="str">
        <f t="shared" si="0"/>
        <v>-</v>
      </c>
      <c r="AO17" s="186" t="str">
        <f t="shared" si="0"/>
        <v>-</v>
      </c>
      <c r="AP17" s="186" t="str">
        <f t="shared" si="0"/>
        <v>-</v>
      </c>
      <c r="AQ17" s="186" t="str">
        <f t="shared" si="0"/>
        <v>-</v>
      </c>
      <c r="AR17" s="186" t="str">
        <f t="shared" si="0"/>
        <v>-</v>
      </c>
      <c r="AS17" s="186" t="str">
        <f t="shared" si="0"/>
        <v>-</v>
      </c>
      <c r="AT17" s="186" t="str">
        <f t="shared" si="0"/>
        <v>-</v>
      </c>
      <c r="AU17" s="186" t="str">
        <f t="shared" si="0"/>
        <v>-</v>
      </c>
      <c r="AV17" s="186" t="str">
        <f t="shared" si="0"/>
        <v>-</v>
      </c>
      <c r="AW17" s="186" t="str">
        <f t="shared" si="0"/>
        <v>-</v>
      </c>
      <c r="AX17" s="58"/>
    </row>
    <row r="18" spans="1:50" s="25" customFormat="1" ht="12.4">
      <c r="A18" s="58"/>
      <c r="B18" s="52" t="s">
        <v>375</v>
      </c>
      <c r="C18" s="258"/>
      <c r="D18" s="52" t="s">
        <v>374</v>
      </c>
      <c r="E18" s="58"/>
      <c r="F18" s="58"/>
      <c r="G18" s="58"/>
      <c r="H18" s="58"/>
      <c r="I18" s="58"/>
      <c r="J18" s="26"/>
      <c r="K18" s="58"/>
      <c r="L18" s="58"/>
      <c r="M18" s="58"/>
      <c r="N18" s="58"/>
      <c r="O18" s="58"/>
      <c r="P18" s="58"/>
      <c r="Q18" s="58"/>
      <c r="R18" s="58"/>
      <c r="S18" s="58"/>
      <c r="T18" s="58"/>
      <c r="U18" s="58"/>
      <c r="V18" s="58"/>
      <c r="W18" s="58"/>
      <c r="X18" s="58"/>
      <c r="Y18" s="58"/>
      <c r="Z18" s="58"/>
      <c r="AA18" s="58"/>
      <c r="AB18" s="186">
        <f t="shared" ref="AB18:AW18" si="1">IFERROR(AB13/AB14, "-")</f>
        <v>0.1102803738317757</v>
      </c>
      <c r="AC18" s="186">
        <f t="shared" si="1"/>
        <v>0.1102803738317757</v>
      </c>
      <c r="AD18" s="186">
        <f t="shared" si="1"/>
        <v>0.1102803738317757</v>
      </c>
      <c r="AE18" s="186">
        <f t="shared" si="1"/>
        <v>7.0562770562770563E-2</v>
      </c>
      <c r="AF18" s="186" t="str">
        <f t="shared" si="1"/>
        <v>-</v>
      </c>
      <c r="AG18" s="186" t="str">
        <f t="shared" si="1"/>
        <v>-</v>
      </c>
      <c r="AH18" s="186" t="str">
        <f t="shared" si="1"/>
        <v>-</v>
      </c>
      <c r="AI18" s="186" t="str">
        <f t="shared" si="1"/>
        <v>-</v>
      </c>
      <c r="AJ18" s="186" t="str">
        <f t="shared" si="1"/>
        <v>-</v>
      </c>
      <c r="AK18" s="186" t="str">
        <f t="shared" si="1"/>
        <v>-</v>
      </c>
      <c r="AL18" s="186" t="str">
        <f t="shared" si="1"/>
        <v>-</v>
      </c>
      <c r="AM18" s="186" t="str">
        <f t="shared" si="1"/>
        <v>-</v>
      </c>
      <c r="AN18" s="186" t="str">
        <f t="shared" si="1"/>
        <v>-</v>
      </c>
      <c r="AO18" s="186" t="str">
        <f t="shared" si="1"/>
        <v>-</v>
      </c>
      <c r="AP18" s="186" t="str">
        <f t="shared" si="1"/>
        <v>-</v>
      </c>
      <c r="AQ18" s="186" t="str">
        <f t="shared" si="1"/>
        <v>-</v>
      </c>
      <c r="AR18" s="186" t="str">
        <f t="shared" si="1"/>
        <v>-</v>
      </c>
      <c r="AS18" s="186" t="str">
        <f t="shared" si="1"/>
        <v>-</v>
      </c>
      <c r="AT18" s="186" t="str">
        <f t="shared" si="1"/>
        <v>-</v>
      </c>
      <c r="AU18" s="186" t="str">
        <f t="shared" si="1"/>
        <v>-</v>
      </c>
      <c r="AV18" s="186" t="str">
        <f t="shared" si="1"/>
        <v>-</v>
      </c>
      <c r="AW18" s="186" t="str">
        <f t="shared" si="1"/>
        <v>-</v>
      </c>
      <c r="AX18" s="58"/>
    </row>
    <row r="19" spans="1:50" s="25" customFormat="1" ht="12.4">
      <c r="A19" s="58"/>
      <c r="B19" s="279" t="s">
        <v>292</v>
      </c>
      <c r="C19" s="280"/>
      <c r="D19" s="280"/>
      <c r="E19" s="280"/>
      <c r="F19" s="280"/>
      <c r="G19" s="280"/>
      <c r="H19" s="280"/>
      <c r="I19" s="280"/>
      <c r="J19" s="280"/>
      <c r="K19" s="280"/>
      <c r="L19" s="280"/>
      <c r="M19" s="280"/>
      <c r="N19" s="280"/>
      <c r="O19" s="280"/>
      <c r="P19" s="280"/>
      <c r="Q19" s="280"/>
      <c r="R19" s="280"/>
      <c r="S19" s="280"/>
      <c r="T19" s="280"/>
      <c r="U19" s="281"/>
      <c r="V19" s="280"/>
      <c r="W19" s="280"/>
      <c r="X19" s="280"/>
      <c r="Y19" s="280"/>
      <c r="Z19" s="280"/>
      <c r="AA19" s="280"/>
      <c r="AB19" s="280"/>
      <c r="AC19" s="280"/>
      <c r="AD19" s="280"/>
      <c r="AE19" s="280"/>
      <c r="AF19" s="280"/>
      <c r="AG19" s="280"/>
      <c r="AH19" s="280"/>
      <c r="AI19" s="280"/>
      <c r="AJ19" s="280"/>
      <c r="AK19" s="280"/>
      <c r="AL19" s="280"/>
      <c r="AM19" s="280"/>
      <c r="AN19" s="280"/>
      <c r="AO19" s="281"/>
      <c r="AP19" s="280"/>
      <c r="AQ19" s="280"/>
      <c r="AR19" s="280"/>
      <c r="AS19" s="280"/>
      <c r="AT19" s="280"/>
      <c r="AU19" s="280"/>
      <c r="AV19" s="280"/>
      <c r="AW19" s="281"/>
      <c r="AX19" s="58"/>
    </row>
    <row r="20" spans="1:50" s="25" customFormat="1" ht="12.4">
      <c r="A20" s="58"/>
      <c r="B20" s="52" t="s">
        <v>376</v>
      </c>
      <c r="C20" s="52"/>
      <c r="D20" s="52" t="s">
        <v>216</v>
      </c>
      <c r="E20" s="58"/>
      <c r="F20" s="58"/>
      <c r="G20" s="58"/>
      <c r="H20" s="58"/>
      <c r="I20" s="58"/>
      <c r="J20" s="161"/>
      <c r="K20" s="58"/>
      <c r="L20" s="58"/>
      <c r="M20" s="58"/>
      <c r="N20" s="58"/>
      <c r="O20" s="58"/>
      <c r="P20" s="58"/>
      <c r="Q20" s="58"/>
      <c r="R20" s="58"/>
      <c r="S20" s="58"/>
      <c r="T20" s="58"/>
      <c r="U20" s="58"/>
      <c r="V20" s="58"/>
      <c r="W20" s="58"/>
      <c r="X20" s="58"/>
      <c r="Y20" s="58"/>
      <c r="Z20" s="58"/>
      <c r="AA20" s="58"/>
      <c r="AB20" s="173">
        <f>IFERROR((AB17+AB18)*'2l Demand'!$C$9, "-")</f>
        <v>1.0321261682242993</v>
      </c>
      <c r="AC20" s="173">
        <f>IFERROR((AC17+AC18)*'2l Demand'!$C$9, "-")</f>
        <v>1.1023831775700934</v>
      </c>
      <c r="AD20" s="173">
        <f>IFERROR((AD17+AD18)*'2l Demand'!$C$9, "-")</f>
        <v>1.1023831775700934</v>
      </c>
      <c r="AE20" s="173">
        <f>IFERROR((AE17+AE18)*'2l Demand'!$C$9, "-")</f>
        <v>1.0735930735930737</v>
      </c>
      <c r="AF20" s="173" t="str">
        <f>IFERROR((AF17+AF18)*'2l Demand'!$C$9, "-")</f>
        <v>-</v>
      </c>
      <c r="AG20" s="173" t="str">
        <f>IFERROR((AG17+AG18)*'2l Demand'!$C$9, "-")</f>
        <v>-</v>
      </c>
      <c r="AH20" s="173" t="str">
        <f>IFERROR((AH17+AH18)*'2l Demand'!$C$9, "-")</f>
        <v>-</v>
      </c>
      <c r="AI20" s="173" t="str">
        <f>IFERROR((AI17+AI18)*'2l Demand'!$C$9, "-")</f>
        <v>-</v>
      </c>
      <c r="AJ20" s="173" t="str">
        <f>IFERROR((AJ17+AJ18)*'2l Demand'!$C$9, "-")</f>
        <v>-</v>
      </c>
      <c r="AK20" s="173" t="str">
        <f>IFERROR((AK17+AK18)*'2l Demand'!$C$9, "-")</f>
        <v>-</v>
      </c>
      <c r="AL20" s="173" t="str">
        <f>IFERROR((AL17+AL18)*'2l Demand'!$C$9, "-")</f>
        <v>-</v>
      </c>
      <c r="AM20" s="173" t="str">
        <f>IFERROR((AM17+AM18)*'2l Demand'!$C$9, "-")</f>
        <v>-</v>
      </c>
      <c r="AN20" s="173" t="str">
        <f>IFERROR((AN17+AN18)*'2l Demand'!$C$9, "-")</f>
        <v>-</v>
      </c>
      <c r="AO20" s="173" t="str">
        <f>IFERROR((AO17+AO18)*'2l Demand'!$C$9, "-")</f>
        <v>-</v>
      </c>
      <c r="AP20" s="173" t="str">
        <f>IFERROR((AP17+AP18)*'2l Demand'!$C$9, "-")</f>
        <v>-</v>
      </c>
      <c r="AQ20" s="173" t="str">
        <f>IFERROR((AQ17+AQ18)*'2l Demand'!$C$9, "-")</f>
        <v>-</v>
      </c>
      <c r="AR20" s="173" t="str">
        <f>IFERROR((AR17+AR18)*'2l Demand'!$C$9, "-")</f>
        <v>-</v>
      </c>
      <c r="AS20" s="173" t="str">
        <f>IFERROR((AS17+AS18)*'2l Demand'!$C$9, "-")</f>
        <v>-</v>
      </c>
      <c r="AT20" s="173" t="str">
        <f>IFERROR((AT17+AT18)*'2l Demand'!$C$9, "-")</f>
        <v>-</v>
      </c>
      <c r="AU20" s="173" t="str">
        <f>IFERROR((AU17+AU18)*'2l Demand'!$C$9, "-")</f>
        <v>-</v>
      </c>
      <c r="AV20" s="173" t="str">
        <f>IFERROR((AV17+AV18)*'2l Demand'!$C$9, "-")</f>
        <v>-</v>
      </c>
      <c r="AW20" s="173" t="str">
        <f>IFERROR((AW17+AW18)*'2l Demand'!$C$9, "-")</f>
        <v>-</v>
      </c>
      <c r="AX20" s="58"/>
    </row>
    <row r="21" spans="1:50" s="25" customFormat="1" ht="12.4">
      <c r="A21" s="58"/>
      <c r="B21" s="52" t="s">
        <v>377</v>
      </c>
      <c r="C21" s="52"/>
      <c r="D21" s="52" t="s">
        <v>216</v>
      </c>
      <c r="E21" s="58"/>
      <c r="F21" s="58"/>
      <c r="G21" s="58"/>
      <c r="H21" s="58"/>
      <c r="I21" s="58"/>
      <c r="J21" s="161"/>
      <c r="K21" s="58"/>
      <c r="L21" s="58"/>
      <c r="M21" s="58"/>
      <c r="N21" s="58"/>
      <c r="O21" s="58"/>
      <c r="P21" s="58"/>
      <c r="Q21" s="58"/>
      <c r="R21" s="58"/>
      <c r="S21" s="58"/>
      <c r="T21" s="58"/>
      <c r="U21" s="58"/>
      <c r="V21" s="58"/>
      <c r="W21" s="58"/>
      <c r="X21" s="58"/>
      <c r="Y21" s="58"/>
      <c r="Z21" s="58"/>
      <c r="AA21" s="58"/>
      <c r="AB21" s="173">
        <f>IFERROR((AB17+AB18)*'2l Demand'!$C$10, "-")</f>
        <v>1.3983644859813087</v>
      </c>
      <c r="AC21" s="173">
        <f>IFERROR((AC17+AC18)*'2l Demand'!$C$10, "-")</f>
        <v>1.4935514018691589</v>
      </c>
      <c r="AD21" s="173">
        <f>IFERROR((AD17+AD18)*'2l Demand'!$C$10, "-")</f>
        <v>1.4935514018691589</v>
      </c>
      <c r="AE21" s="173">
        <f>IFERROR((AE17+AE18)*'2l Demand'!$C$10, "-")</f>
        <v>1.4545454545454546</v>
      </c>
      <c r="AF21" s="173" t="str">
        <f>IFERROR((AF17+AF18)*'2l Demand'!$C$10, "-")</f>
        <v>-</v>
      </c>
      <c r="AG21" s="173" t="str">
        <f>IFERROR((AG17+AG18)*'2l Demand'!$C$10, "-")</f>
        <v>-</v>
      </c>
      <c r="AH21" s="173" t="str">
        <f>IFERROR((AH17+AH18)*'2l Demand'!$C$10, "-")</f>
        <v>-</v>
      </c>
      <c r="AI21" s="173" t="str">
        <f>IFERROR((AI17+AI18)*'2l Demand'!$C$10, "-")</f>
        <v>-</v>
      </c>
      <c r="AJ21" s="173" t="str">
        <f>IFERROR((AJ17+AJ18)*'2l Demand'!$C$10, "-")</f>
        <v>-</v>
      </c>
      <c r="AK21" s="173" t="str">
        <f>IFERROR((AK17+AK18)*'2l Demand'!$C$10, "-")</f>
        <v>-</v>
      </c>
      <c r="AL21" s="173" t="str">
        <f>IFERROR((AL17+AL18)*'2l Demand'!$C$10, "-")</f>
        <v>-</v>
      </c>
      <c r="AM21" s="173" t="str">
        <f>IFERROR((AM17+AM18)*'2l Demand'!$C$10, "-")</f>
        <v>-</v>
      </c>
      <c r="AN21" s="173" t="str">
        <f>IFERROR((AN17+AN18)*'2l Demand'!$C$10, "-")</f>
        <v>-</v>
      </c>
      <c r="AO21" s="173" t="str">
        <f>IFERROR((AO17+AO18)*'2l Demand'!$C$10, "-")</f>
        <v>-</v>
      </c>
      <c r="AP21" s="173" t="str">
        <f>IFERROR((AP17+AP18)*'2l Demand'!$C$10, "-")</f>
        <v>-</v>
      </c>
      <c r="AQ21" s="173" t="str">
        <f>IFERROR((AQ17+AQ18)*'2l Demand'!$C$10, "-")</f>
        <v>-</v>
      </c>
      <c r="AR21" s="173" t="str">
        <f>IFERROR((AR17+AR18)*'2l Demand'!$C$10, "-")</f>
        <v>-</v>
      </c>
      <c r="AS21" s="173" t="str">
        <f>IFERROR((AS17+AS18)*'2l Demand'!$C$10, "-")</f>
        <v>-</v>
      </c>
      <c r="AT21" s="173" t="str">
        <f>IFERROR((AT17+AT18)*'2l Demand'!$C$10, "-")</f>
        <v>-</v>
      </c>
      <c r="AU21" s="173" t="str">
        <f>IFERROR((AU17+AU18)*'2l Demand'!$C$10, "-")</f>
        <v>-</v>
      </c>
      <c r="AV21" s="173" t="str">
        <f>IFERROR((AV17+AV18)*'2l Demand'!$C$10, "-")</f>
        <v>-</v>
      </c>
      <c r="AW21" s="173" t="str">
        <f>IFERROR((AW17+AW18)*'2l Demand'!$C$10, "-")</f>
        <v>-</v>
      </c>
      <c r="AX21" s="58"/>
    </row>
    <row r="22" spans="1:50" ht="12.4">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row>
    <row r="23" spans="1:50" ht="12.4">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row>
    <row r="24" spans="1:50" ht="12.4" hidden="1">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row>
    <row r="25" spans="1:50" ht="12.4" hidden="1">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row>
    <row r="26" spans="1:50" ht="65.25" hidden="1" customHeight="1">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row>
    <row r="27" spans="1:50" ht="31.5" hidden="1" customHeight="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row>
    <row r="28" spans="1:50" ht="17.25" hidden="1" customHeight="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row>
    <row r="29" spans="1:50" ht="54" hidden="1" customHeight="1">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row>
    <row r="30" spans="1:50" ht="12.4" hidden="1">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row>
    <row r="31" spans="1:50" ht="12.4" hidden="1">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row>
    <row r="32" spans="1:50" ht="12.75" hidden="1" customHeight="1">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row>
  </sheetData>
  <mergeCells count="17">
    <mergeCell ref="B3:E3"/>
    <mergeCell ref="B6:B10"/>
    <mergeCell ref="C6:C10"/>
    <mergeCell ref="D6:D10"/>
    <mergeCell ref="E6:E7"/>
    <mergeCell ref="C17:C18"/>
    <mergeCell ref="B19:U19"/>
    <mergeCell ref="V19:AO19"/>
    <mergeCell ref="AP19:AW19"/>
    <mergeCell ref="K6:AW6"/>
    <mergeCell ref="F7:I7"/>
    <mergeCell ref="K7:AW7"/>
    <mergeCell ref="B11:AW11"/>
    <mergeCell ref="B16:U16"/>
    <mergeCell ref="V16:AO16"/>
    <mergeCell ref="AP16:AW16"/>
    <mergeCell ref="F6:I6"/>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32609-1AFF-4F34-8D59-0DA2E7C58CD7}">
  <sheetPr>
    <tabColor theme="7" tint="0.79998168889431442"/>
    <pageSetUpPr autoPageBreaks="0"/>
  </sheetPr>
  <dimension ref="A1:AX31"/>
  <sheetViews>
    <sheetView topLeftCell="V1" zoomScaleNormal="100" workbookViewId="0">
      <selection activeCell="AE13" sqref="AE13"/>
    </sheetView>
  </sheetViews>
  <sheetFormatPr defaultColWidth="0" defaultRowHeight="12.4" zeroHeight="1"/>
  <cols>
    <col min="1" max="1" width="9" style="29" customWidth="1"/>
    <col min="2" max="2" width="70.28515625" style="29" bestFit="1" customWidth="1"/>
    <col min="3" max="3" width="47.42578125" style="29" customWidth="1"/>
    <col min="4" max="4" width="13.42578125" style="29" bestFit="1" customWidth="1"/>
    <col min="5" max="5" width="26.42578125" style="29" customWidth="1"/>
    <col min="6" max="9" width="17.5703125" style="29" customWidth="1"/>
    <col min="10" max="10" width="1.28515625" style="29" customWidth="1"/>
    <col min="11" max="18" width="17.5703125" style="29" customWidth="1"/>
    <col min="19" max="19" width="17.28515625" style="29" customWidth="1"/>
    <col min="20" max="20" width="14.7109375" style="29" bestFit="1" customWidth="1"/>
    <col min="21" max="49" width="17.5703125" style="29" customWidth="1"/>
    <col min="50" max="50" width="9" style="29" customWidth="1"/>
    <col min="51" max="16384" width="9" style="29" hidden="1"/>
  </cols>
  <sheetData>
    <row r="1" spans="1:50" s="24" customFormat="1" ht="12.75"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row>
    <row r="2" spans="1:50" s="24" customFormat="1" ht="18.75" customHeight="1">
      <c r="A2" s="67"/>
      <c r="B2" s="4" t="s">
        <v>378</v>
      </c>
      <c r="C2" s="28"/>
      <c r="D2" s="28"/>
      <c r="E2" s="28"/>
      <c r="F2" s="28"/>
      <c r="G2" s="28"/>
      <c r="H2" s="28"/>
      <c r="I2" s="28"/>
      <c r="J2" s="28"/>
      <c r="K2" s="28"/>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row>
    <row r="3" spans="1:50" s="24" customFormat="1" ht="14.25" customHeight="1">
      <c r="A3" s="67"/>
      <c r="B3" s="235" t="s">
        <v>379</v>
      </c>
      <c r="C3" s="235"/>
      <c r="D3" s="235"/>
      <c r="E3" s="235"/>
      <c r="F3" s="109"/>
      <c r="G3" s="109"/>
      <c r="H3" s="109"/>
      <c r="I3" s="109"/>
      <c r="J3" s="109"/>
      <c r="K3" s="109"/>
      <c r="L3" s="109"/>
      <c r="M3" s="109"/>
      <c r="N3" s="67"/>
      <c r="O3" s="67"/>
      <c r="P3" s="67"/>
      <c r="Q3" s="67"/>
      <c r="R3" s="67"/>
      <c r="S3" s="67"/>
      <c r="T3" s="67"/>
      <c r="U3" s="67"/>
      <c r="V3" s="67"/>
      <c r="W3" s="67"/>
      <c r="X3" s="68"/>
      <c r="Y3" s="68"/>
      <c r="Z3" s="68"/>
      <c r="AA3" s="68"/>
      <c r="AB3" s="68"/>
      <c r="AC3" s="67"/>
      <c r="AD3" s="67"/>
      <c r="AE3" s="67"/>
      <c r="AF3" s="67"/>
      <c r="AG3" s="67"/>
      <c r="AH3" s="67"/>
      <c r="AI3" s="67"/>
      <c r="AJ3" s="67"/>
      <c r="AK3" s="67"/>
      <c r="AL3" s="67"/>
      <c r="AM3" s="67"/>
      <c r="AN3" s="67"/>
      <c r="AO3" s="67"/>
      <c r="AP3" s="67"/>
      <c r="AQ3" s="67"/>
      <c r="AR3" s="67"/>
      <c r="AS3" s="67"/>
      <c r="AT3" s="67"/>
      <c r="AU3" s="67"/>
      <c r="AV3" s="67"/>
      <c r="AW3" s="67"/>
      <c r="AX3" s="67"/>
    </row>
    <row r="4" spans="1:50" s="24" customFormat="1" ht="12.75"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row>
    <row r="5" spans="1:50">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row>
    <row r="6" spans="1:50" s="25" customFormat="1" ht="12" customHeight="1">
      <c r="A6" s="58"/>
      <c r="B6" s="274" t="s">
        <v>49</v>
      </c>
      <c r="C6" s="274" t="s">
        <v>259</v>
      </c>
      <c r="D6" s="274" t="s">
        <v>104</v>
      </c>
      <c r="E6" s="278"/>
      <c r="F6" s="236" t="s">
        <v>105</v>
      </c>
      <c r="G6" s="237"/>
      <c r="H6" s="237"/>
      <c r="I6" s="238"/>
      <c r="J6" s="160"/>
      <c r="K6" s="282" t="s">
        <v>106</v>
      </c>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4"/>
      <c r="AX6" s="58"/>
    </row>
    <row r="7" spans="1:50" s="25" customFormat="1" ht="30" customHeight="1">
      <c r="A7" s="58"/>
      <c r="B7" s="277"/>
      <c r="C7" s="277"/>
      <c r="D7" s="277"/>
      <c r="E7" s="278"/>
      <c r="F7" s="296" t="s">
        <v>260</v>
      </c>
      <c r="G7" s="297"/>
      <c r="H7" s="297"/>
      <c r="I7" s="298"/>
      <c r="J7" s="26"/>
      <c r="K7" s="285" t="s">
        <v>108</v>
      </c>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7"/>
      <c r="AX7" s="58"/>
    </row>
    <row r="8" spans="1:50" s="25" customFormat="1" ht="37.15">
      <c r="A8" s="58"/>
      <c r="B8" s="277"/>
      <c r="C8" s="277"/>
      <c r="D8" s="277"/>
      <c r="E8" s="90" t="s">
        <v>261</v>
      </c>
      <c r="F8" s="70" t="s">
        <v>110</v>
      </c>
      <c r="G8" s="70" t="s">
        <v>111</v>
      </c>
      <c r="H8" s="70" t="s">
        <v>112</v>
      </c>
      <c r="I8" s="70" t="s">
        <v>113</v>
      </c>
      <c r="J8" s="26"/>
      <c r="K8" s="70" t="s">
        <v>114</v>
      </c>
      <c r="L8" s="70" t="s">
        <v>115</v>
      </c>
      <c r="M8" s="70" t="s">
        <v>116</v>
      </c>
      <c r="N8" s="70" t="s">
        <v>117</v>
      </c>
      <c r="O8" s="70" t="s">
        <v>118</v>
      </c>
      <c r="P8" s="70" t="s">
        <v>119</v>
      </c>
      <c r="Q8" s="70" t="s">
        <v>120</v>
      </c>
      <c r="R8" s="70" t="s">
        <v>121</v>
      </c>
      <c r="S8" s="70" t="s">
        <v>122</v>
      </c>
      <c r="T8" s="70" t="s">
        <v>123</v>
      </c>
      <c r="U8" s="70" t="s">
        <v>124</v>
      </c>
      <c r="V8" s="70" t="s">
        <v>125</v>
      </c>
      <c r="W8" s="70" t="s">
        <v>126</v>
      </c>
      <c r="X8" s="70" t="s">
        <v>127</v>
      </c>
      <c r="Y8" s="70" t="s">
        <v>128</v>
      </c>
      <c r="Z8" s="70" t="s">
        <v>129</v>
      </c>
      <c r="AA8" s="70" t="s">
        <v>130</v>
      </c>
      <c r="AB8" s="70" t="s">
        <v>131</v>
      </c>
      <c r="AC8" s="70" t="s">
        <v>132</v>
      </c>
      <c r="AD8" s="70" t="s">
        <v>133</v>
      </c>
      <c r="AE8" s="70" t="s">
        <v>134</v>
      </c>
      <c r="AF8" s="70" t="s">
        <v>135</v>
      </c>
      <c r="AG8" s="70" t="s">
        <v>136</v>
      </c>
      <c r="AH8" s="70" t="s">
        <v>137</v>
      </c>
      <c r="AI8" s="70" t="s">
        <v>138</v>
      </c>
      <c r="AJ8" s="70" t="s">
        <v>139</v>
      </c>
      <c r="AK8" s="70" t="s">
        <v>140</v>
      </c>
      <c r="AL8" s="70" t="s">
        <v>141</v>
      </c>
      <c r="AM8" s="70" t="s">
        <v>142</v>
      </c>
      <c r="AN8" s="70" t="s">
        <v>143</v>
      </c>
      <c r="AO8" s="70" t="s">
        <v>144</v>
      </c>
      <c r="AP8" s="70" t="s">
        <v>145</v>
      </c>
      <c r="AQ8" s="70" t="s">
        <v>146</v>
      </c>
      <c r="AR8" s="70" t="s">
        <v>147</v>
      </c>
      <c r="AS8" s="70" t="s">
        <v>148</v>
      </c>
      <c r="AT8" s="70" t="s">
        <v>149</v>
      </c>
      <c r="AU8" s="70" t="s">
        <v>150</v>
      </c>
      <c r="AV8" s="70" t="s">
        <v>151</v>
      </c>
      <c r="AW8" s="70" t="s">
        <v>152</v>
      </c>
      <c r="AX8" s="58"/>
    </row>
    <row r="9" spans="1:50" s="25" customFormat="1">
      <c r="A9" s="58"/>
      <c r="B9" s="277"/>
      <c r="C9" s="277"/>
      <c r="D9" s="277"/>
      <c r="E9" s="91" t="s">
        <v>153</v>
      </c>
      <c r="F9" s="72" t="s">
        <v>154</v>
      </c>
      <c r="G9" s="72" t="s">
        <v>155</v>
      </c>
      <c r="H9" s="72" t="s">
        <v>156</v>
      </c>
      <c r="I9" s="73" t="s">
        <v>157</v>
      </c>
      <c r="J9" s="26"/>
      <c r="K9" s="74" t="s">
        <v>158</v>
      </c>
      <c r="L9" s="72" t="s">
        <v>159</v>
      </c>
      <c r="M9" s="72" t="s">
        <v>160</v>
      </c>
      <c r="N9" s="72" t="s">
        <v>161</v>
      </c>
      <c r="O9" s="72" t="s">
        <v>162</v>
      </c>
      <c r="P9" s="72" t="s">
        <v>163</v>
      </c>
      <c r="Q9" s="72" t="s">
        <v>164</v>
      </c>
      <c r="R9" s="72" t="s">
        <v>165</v>
      </c>
      <c r="S9" s="72" t="s">
        <v>166</v>
      </c>
      <c r="T9" s="72" t="s">
        <v>167</v>
      </c>
      <c r="U9" s="72" t="s">
        <v>168</v>
      </c>
      <c r="V9" s="72" t="s">
        <v>169</v>
      </c>
      <c r="W9" s="72" t="s">
        <v>170</v>
      </c>
      <c r="X9" s="72" t="s">
        <v>171</v>
      </c>
      <c r="Y9" s="72" t="s">
        <v>172</v>
      </c>
      <c r="Z9" s="72" t="s">
        <v>173</v>
      </c>
      <c r="AA9" s="72" t="s">
        <v>174</v>
      </c>
      <c r="AB9" s="72" t="s">
        <v>175</v>
      </c>
      <c r="AC9" s="72" t="s">
        <v>176</v>
      </c>
      <c r="AD9" s="72" t="s">
        <v>177</v>
      </c>
      <c r="AE9" s="72" t="s">
        <v>178</v>
      </c>
      <c r="AF9" s="72" t="s">
        <v>179</v>
      </c>
      <c r="AG9" s="72" t="s">
        <v>180</v>
      </c>
      <c r="AH9" s="72" t="s">
        <v>181</v>
      </c>
      <c r="AI9" s="72" t="s">
        <v>182</v>
      </c>
      <c r="AJ9" s="72" t="s">
        <v>183</v>
      </c>
      <c r="AK9" s="72" t="s">
        <v>184</v>
      </c>
      <c r="AL9" s="72" t="s">
        <v>185</v>
      </c>
      <c r="AM9" s="72" t="s">
        <v>186</v>
      </c>
      <c r="AN9" s="72" t="s">
        <v>187</v>
      </c>
      <c r="AO9" s="72" t="s">
        <v>188</v>
      </c>
      <c r="AP9" s="72" t="s">
        <v>189</v>
      </c>
      <c r="AQ9" s="72" t="s">
        <v>190</v>
      </c>
      <c r="AR9" s="72" t="s">
        <v>191</v>
      </c>
      <c r="AS9" s="72" t="s">
        <v>192</v>
      </c>
      <c r="AT9" s="72" t="s">
        <v>193</v>
      </c>
      <c r="AU9" s="72" t="s">
        <v>194</v>
      </c>
      <c r="AV9" s="72" t="s">
        <v>195</v>
      </c>
      <c r="AW9" s="72" t="s">
        <v>196</v>
      </c>
      <c r="AX9" s="58"/>
    </row>
    <row r="10" spans="1:50" s="25" customFormat="1">
      <c r="A10" s="58"/>
      <c r="B10" s="275"/>
      <c r="C10" s="275"/>
      <c r="D10" s="275"/>
      <c r="E10" s="91" t="s">
        <v>197</v>
      </c>
      <c r="F10" s="75" t="s">
        <v>198</v>
      </c>
      <c r="G10" s="72" t="s">
        <v>198</v>
      </c>
      <c r="H10" s="72" t="s">
        <v>199</v>
      </c>
      <c r="I10" s="72" t="s">
        <v>199</v>
      </c>
      <c r="J10" s="26"/>
      <c r="K10" s="125" t="s">
        <v>200</v>
      </c>
      <c r="L10" s="125" t="s">
        <v>201</v>
      </c>
      <c r="M10" s="125" t="s">
        <v>201</v>
      </c>
      <c r="N10" s="125" t="s">
        <v>202</v>
      </c>
      <c r="O10" s="125" t="s">
        <v>202</v>
      </c>
      <c r="P10" s="125" t="s">
        <v>203</v>
      </c>
      <c r="Q10" s="125" t="s">
        <v>203</v>
      </c>
      <c r="R10" s="125" t="s">
        <v>204</v>
      </c>
      <c r="S10" s="125" t="s">
        <v>204</v>
      </c>
      <c r="T10" s="125" t="s">
        <v>205</v>
      </c>
      <c r="U10" s="125" t="s">
        <v>205</v>
      </c>
      <c r="V10" s="125" t="s">
        <v>205</v>
      </c>
      <c r="W10" s="125" t="s">
        <v>206</v>
      </c>
      <c r="X10" s="125" t="s">
        <v>206</v>
      </c>
      <c r="Y10" s="125" t="s">
        <v>206</v>
      </c>
      <c r="Z10" s="125" t="s">
        <v>206</v>
      </c>
      <c r="AA10" s="125" t="s">
        <v>207</v>
      </c>
      <c r="AB10" s="125" t="s">
        <v>207</v>
      </c>
      <c r="AC10" s="125" t="s">
        <v>207</v>
      </c>
      <c r="AD10" s="125" t="s">
        <v>207</v>
      </c>
      <c r="AE10" s="125" t="s">
        <v>208</v>
      </c>
      <c r="AF10" s="125" t="s">
        <v>208</v>
      </c>
      <c r="AG10" s="125" t="s">
        <v>208</v>
      </c>
      <c r="AH10" s="125" t="s">
        <v>208</v>
      </c>
      <c r="AI10" s="125" t="s">
        <v>209</v>
      </c>
      <c r="AJ10" s="125" t="s">
        <v>209</v>
      </c>
      <c r="AK10" s="125" t="s">
        <v>209</v>
      </c>
      <c r="AL10" s="125" t="s">
        <v>209</v>
      </c>
      <c r="AM10" s="125" t="s">
        <v>210</v>
      </c>
      <c r="AN10" s="125" t="s">
        <v>210</v>
      </c>
      <c r="AO10" s="125" t="s">
        <v>210</v>
      </c>
      <c r="AP10" s="125" t="s">
        <v>210</v>
      </c>
      <c r="AQ10" s="125" t="s">
        <v>211</v>
      </c>
      <c r="AR10" s="125" t="s">
        <v>211</v>
      </c>
      <c r="AS10" s="125" t="s">
        <v>211</v>
      </c>
      <c r="AT10" s="125" t="s">
        <v>211</v>
      </c>
      <c r="AU10" s="125" t="s">
        <v>212</v>
      </c>
      <c r="AV10" s="125" t="s">
        <v>212</v>
      </c>
      <c r="AW10" s="125" t="s">
        <v>212</v>
      </c>
      <c r="AX10" s="58"/>
    </row>
    <row r="11" spans="1:50" s="25" customFormat="1" ht="12.75" customHeight="1">
      <c r="A11" s="58"/>
      <c r="B11" s="279" t="s">
        <v>262</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1"/>
      <c r="AX11" s="58"/>
    </row>
    <row r="12" spans="1:50" s="25" customFormat="1">
      <c r="A12" s="58"/>
      <c r="B12" s="52" t="s">
        <v>380</v>
      </c>
      <c r="C12" s="52" t="s">
        <v>381</v>
      </c>
      <c r="D12" s="52" t="s">
        <v>382</v>
      </c>
      <c r="E12" s="58"/>
      <c r="F12" s="58"/>
      <c r="G12" s="58"/>
      <c r="H12" s="58"/>
      <c r="I12" s="58"/>
      <c r="J12" s="26"/>
      <c r="K12" s="58"/>
      <c r="L12" s="58"/>
      <c r="M12" s="58"/>
      <c r="N12" s="58"/>
      <c r="O12" s="58"/>
      <c r="P12" s="58"/>
      <c r="Q12" s="58"/>
      <c r="R12" s="58"/>
      <c r="S12" s="58"/>
      <c r="T12" s="58"/>
      <c r="U12" s="58"/>
      <c r="V12" s="58"/>
      <c r="W12" s="58"/>
      <c r="X12" s="58"/>
      <c r="Y12" s="58"/>
      <c r="Z12" s="58"/>
      <c r="AA12" s="58"/>
      <c r="AB12" s="172">
        <v>37246</v>
      </c>
      <c r="AC12" s="172">
        <v>37246</v>
      </c>
      <c r="AD12" s="172">
        <v>37246</v>
      </c>
      <c r="AE12" s="172">
        <v>49042</v>
      </c>
      <c r="AF12" s="111"/>
      <c r="AG12" s="111"/>
      <c r="AH12" s="111"/>
      <c r="AI12" s="111"/>
      <c r="AJ12" s="111"/>
      <c r="AK12" s="111"/>
      <c r="AL12" s="111"/>
      <c r="AM12" s="111"/>
      <c r="AN12" s="111"/>
      <c r="AO12" s="111"/>
      <c r="AP12" s="111"/>
      <c r="AQ12" s="111"/>
      <c r="AR12" s="111"/>
      <c r="AS12" s="111"/>
      <c r="AT12" s="111"/>
      <c r="AU12" s="111"/>
      <c r="AV12" s="111"/>
      <c r="AW12" s="111"/>
      <c r="AX12" s="58"/>
    </row>
    <row r="13" spans="1:50" s="25" customFormat="1">
      <c r="A13" s="58"/>
      <c r="B13" s="52" t="s">
        <v>383</v>
      </c>
      <c r="C13" s="52" t="s">
        <v>269</v>
      </c>
      <c r="D13" s="52" t="s">
        <v>270</v>
      </c>
      <c r="E13" s="58"/>
      <c r="F13" s="58"/>
      <c r="G13" s="58"/>
      <c r="H13" s="58"/>
      <c r="I13" s="58"/>
      <c r="J13" s="26"/>
      <c r="K13" s="58"/>
      <c r="L13" s="58"/>
      <c r="M13" s="58"/>
      <c r="N13" s="58"/>
      <c r="O13" s="58"/>
      <c r="P13" s="58"/>
      <c r="Q13" s="58"/>
      <c r="R13" s="58"/>
      <c r="S13" s="58"/>
      <c r="T13" s="58"/>
      <c r="U13" s="58"/>
      <c r="V13" s="58"/>
      <c r="W13" s="58"/>
      <c r="X13" s="58"/>
      <c r="Y13" s="58"/>
      <c r="Z13" s="58"/>
      <c r="AA13" s="58"/>
      <c r="AB13" s="172">
        <v>24848541</v>
      </c>
      <c r="AC13" s="172">
        <v>24848541</v>
      </c>
      <c r="AD13" s="172">
        <v>24848541</v>
      </c>
      <c r="AE13" s="172">
        <v>24935937</v>
      </c>
      <c r="AF13" s="111"/>
      <c r="AG13" s="111"/>
      <c r="AH13" s="111"/>
      <c r="AI13" s="111"/>
      <c r="AJ13" s="111"/>
      <c r="AK13" s="111"/>
      <c r="AL13" s="111"/>
      <c r="AM13" s="111"/>
      <c r="AN13" s="111"/>
      <c r="AO13" s="111"/>
      <c r="AP13" s="111"/>
      <c r="AQ13" s="111"/>
      <c r="AR13" s="111"/>
      <c r="AS13" s="111"/>
      <c r="AT13" s="111"/>
      <c r="AU13" s="111"/>
      <c r="AV13" s="111"/>
      <c r="AW13" s="111"/>
      <c r="AX13" s="58"/>
    </row>
    <row r="14" spans="1:50" s="25" customFormat="1">
      <c r="A14" s="58"/>
      <c r="B14" s="279" t="s">
        <v>361</v>
      </c>
      <c r="C14" s="280"/>
      <c r="D14" s="280"/>
      <c r="E14" s="280"/>
      <c r="F14" s="280"/>
      <c r="G14" s="280"/>
      <c r="H14" s="280"/>
      <c r="I14" s="280"/>
      <c r="J14" s="280"/>
      <c r="K14" s="280"/>
      <c r="L14" s="280"/>
      <c r="M14" s="280"/>
      <c r="N14" s="280"/>
      <c r="O14" s="280"/>
      <c r="P14" s="280"/>
      <c r="Q14" s="280"/>
      <c r="R14" s="280"/>
      <c r="S14" s="280"/>
      <c r="T14" s="280"/>
      <c r="U14" s="281"/>
      <c r="V14" s="280"/>
      <c r="W14" s="280"/>
      <c r="X14" s="280"/>
      <c r="Y14" s="280"/>
      <c r="Z14" s="280"/>
      <c r="AA14" s="280"/>
      <c r="AB14" s="280"/>
      <c r="AC14" s="280"/>
      <c r="AD14" s="280"/>
      <c r="AE14" s="280"/>
      <c r="AF14" s="280"/>
      <c r="AG14" s="280"/>
      <c r="AH14" s="280"/>
      <c r="AI14" s="280"/>
      <c r="AJ14" s="280"/>
      <c r="AK14" s="280"/>
      <c r="AL14" s="280"/>
      <c r="AM14" s="280"/>
      <c r="AN14" s="280"/>
      <c r="AO14" s="281"/>
      <c r="AP14" s="280"/>
      <c r="AQ14" s="280"/>
      <c r="AR14" s="280"/>
      <c r="AS14" s="280"/>
      <c r="AT14" s="280"/>
      <c r="AU14" s="280"/>
      <c r="AV14" s="280"/>
      <c r="AW14" s="281"/>
      <c r="AX14" s="58"/>
    </row>
    <row r="15" spans="1:50" s="25" customFormat="1">
      <c r="A15" s="58"/>
      <c r="B15" s="52" t="s">
        <v>384</v>
      </c>
      <c r="C15" s="52"/>
      <c r="D15" s="52" t="s">
        <v>216</v>
      </c>
      <c r="E15" s="58"/>
      <c r="F15" s="58"/>
      <c r="G15" s="58"/>
      <c r="H15" s="58"/>
      <c r="I15" s="58"/>
      <c r="J15" s="161"/>
      <c r="K15" s="58"/>
      <c r="L15" s="58"/>
      <c r="M15" s="58"/>
      <c r="N15" s="58"/>
      <c r="O15" s="58"/>
      <c r="P15" s="58"/>
      <c r="Q15" s="58"/>
      <c r="R15" s="58"/>
      <c r="S15" s="58"/>
      <c r="T15" s="58"/>
      <c r="U15" s="58"/>
      <c r="V15" s="58"/>
      <c r="W15" s="58"/>
      <c r="X15" s="58"/>
      <c r="Y15" s="58"/>
      <c r="Z15" s="58"/>
      <c r="AA15" s="58"/>
      <c r="AB15" s="173">
        <f>IFERROR((AB12*1000)/AB13, "-")</f>
        <v>1.498921003048026</v>
      </c>
      <c r="AC15" s="173">
        <f t="shared" ref="AC15:AW15" si="0">IFERROR((AC12*1000)/AC13, "-")</f>
        <v>1.498921003048026</v>
      </c>
      <c r="AD15" s="173">
        <f t="shared" si="0"/>
        <v>1.498921003048026</v>
      </c>
      <c r="AE15" s="173">
        <f t="shared" si="0"/>
        <v>1.9667197587161052</v>
      </c>
      <c r="AF15" s="173" t="str">
        <f t="shared" si="0"/>
        <v>-</v>
      </c>
      <c r="AG15" s="173" t="str">
        <f t="shared" si="0"/>
        <v>-</v>
      </c>
      <c r="AH15" s="173" t="str">
        <f t="shared" si="0"/>
        <v>-</v>
      </c>
      <c r="AI15" s="173" t="str">
        <f t="shared" si="0"/>
        <v>-</v>
      </c>
      <c r="AJ15" s="173" t="str">
        <f t="shared" si="0"/>
        <v>-</v>
      </c>
      <c r="AK15" s="173" t="str">
        <f t="shared" si="0"/>
        <v>-</v>
      </c>
      <c r="AL15" s="173" t="str">
        <f t="shared" si="0"/>
        <v>-</v>
      </c>
      <c r="AM15" s="173" t="str">
        <f t="shared" si="0"/>
        <v>-</v>
      </c>
      <c r="AN15" s="173" t="str">
        <f t="shared" si="0"/>
        <v>-</v>
      </c>
      <c r="AO15" s="173" t="str">
        <f t="shared" si="0"/>
        <v>-</v>
      </c>
      <c r="AP15" s="173" t="str">
        <f t="shared" si="0"/>
        <v>-</v>
      </c>
      <c r="AQ15" s="173" t="str">
        <f t="shared" si="0"/>
        <v>-</v>
      </c>
      <c r="AR15" s="173" t="str">
        <f t="shared" si="0"/>
        <v>-</v>
      </c>
      <c r="AS15" s="173" t="str">
        <f t="shared" si="0"/>
        <v>-</v>
      </c>
      <c r="AT15" s="173" t="str">
        <f t="shared" si="0"/>
        <v>-</v>
      </c>
      <c r="AU15" s="173" t="str">
        <f t="shared" si="0"/>
        <v>-</v>
      </c>
      <c r="AV15" s="173" t="str">
        <f t="shared" si="0"/>
        <v>-</v>
      </c>
      <c r="AW15" s="173" t="str">
        <f t="shared" si="0"/>
        <v>-</v>
      </c>
      <c r="AX15" s="58"/>
    </row>
    <row r="16" spans="1:50">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row>
    <row r="17" spans="1:50">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row>
    <row r="18" spans="1:50">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row>
    <row r="19" spans="1:50">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row>
    <row r="20" spans="1:50">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row>
    <row r="21" spans="1:50" ht="31.5" hidden="1" customHeight="1">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row>
    <row r="22" spans="1:50" ht="17.25" hidden="1" customHeight="1">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row>
    <row r="23" spans="1:50" ht="54" hidden="1" customHeight="1">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row>
    <row r="24" spans="1:50" hidden="1">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row>
    <row r="25" spans="1:50" hidden="1">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row>
    <row r="26" spans="1:50" hidden="1">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row>
    <row r="27" spans="1:50" hidden="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row>
    <row r="28" spans="1:50" hidden="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row>
    <row r="29" spans="1:50" hidden="1">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row>
    <row r="30" spans="1:50" hidden="1">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row>
    <row r="31" spans="1:50" hidden="1">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row>
  </sheetData>
  <mergeCells count="13">
    <mergeCell ref="B3:E3"/>
    <mergeCell ref="B6:B10"/>
    <mergeCell ref="C6:C10"/>
    <mergeCell ref="D6:D10"/>
    <mergeCell ref="E6:E7"/>
    <mergeCell ref="B14:U14"/>
    <mergeCell ref="V14:AO14"/>
    <mergeCell ref="AP14:AW14"/>
    <mergeCell ref="K6:AW6"/>
    <mergeCell ref="F7:I7"/>
    <mergeCell ref="K7:AW7"/>
    <mergeCell ref="B11:AW11"/>
    <mergeCell ref="F6:I6"/>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10CE-AC79-4B7A-BE40-44E481F6CD89}">
  <sheetPr>
    <tabColor theme="7" tint="0.79998168889431442"/>
    <pageSetUpPr autoPageBreaks="0"/>
  </sheetPr>
  <dimension ref="A1:AX32"/>
  <sheetViews>
    <sheetView topLeftCell="X1" zoomScaleNormal="100" workbookViewId="0">
      <selection activeCell="AE13" sqref="AE13"/>
    </sheetView>
  </sheetViews>
  <sheetFormatPr defaultColWidth="0" defaultRowHeight="12.75" customHeight="1" zeroHeight="1"/>
  <cols>
    <col min="1" max="1" width="9" style="29" customWidth="1"/>
    <col min="2" max="2" width="67.28515625" style="29" customWidth="1"/>
    <col min="3" max="3" width="27.28515625" style="29" customWidth="1"/>
    <col min="4" max="4" width="13.42578125" style="29" bestFit="1" customWidth="1"/>
    <col min="5" max="5" width="26.42578125" style="29" customWidth="1"/>
    <col min="6" max="9" width="17.5703125" style="29" customWidth="1"/>
    <col min="10" max="10" width="1.28515625" style="29" customWidth="1"/>
    <col min="11" max="18" width="17.5703125" style="29" customWidth="1"/>
    <col min="19" max="19" width="17.28515625" style="29" customWidth="1"/>
    <col min="20" max="20" width="14.7109375" style="29" bestFit="1" customWidth="1"/>
    <col min="21" max="49" width="17.5703125" style="29" customWidth="1"/>
    <col min="50" max="50" width="9" style="29" customWidth="1"/>
    <col min="51" max="16384" width="9" style="29" hidden="1"/>
  </cols>
  <sheetData>
    <row r="1" spans="1:50" s="24" customFormat="1" ht="12.75"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row>
    <row r="2" spans="1:50" s="24" customFormat="1" ht="18.75" customHeight="1">
      <c r="A2" s="67"/>
      <c r="B2" s="4" t="s">
        <v>385</v>
      </c>
      <c r="C2" s="28"/>
      <c r="D2" s="28"/>
      <c r="E2" s="28"/>
      <c r="F2" s="28"/>
      <c r="G2" s="28"/>
      <c r="H2" s="28"/>
      <c r="I2" s="28"/>
      <c r="J2" s="28"/>
      <c r="K2" s="28"/>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row>
    <row r="3" spans="1:50" s="24" customFormat="1" ht="14.25" customHeight="1">
      <c r="A3" s="67"/>
      <c r="B3" s="235" t="s">
        <v>386</v>
      </c>
      <c r="C3" s="235"/>
      <c r="D3" s="235"/>
      <c r="E3" s="235"/>
      <c r="F3" s="109"/>
      <c r="G3" s="109"/>
      <c r="H3" s="109"/>
      <c r="I3" s="109"/>
      <c r="J3" s="109"/>
      <c r="K3" s="109"/>
      <c r="L3" s="109"/>
      <c r="M3" s="109"/>
      <c r="N3" s="67"/>
      <c r="O3" s="67"/>
      <c r="P3" s="67"/>
      <c r="Q3" s="67"/>
      <c r="R3" s="67"/>
      <c r="S3" s="67"/>
      <c r="T3" s="67"/>
      <c r="U3" s="67"/>
      <c r="V3" s="67"/>
      <c r="W3" s="67"/>
      <c r="X3" s="68"/>
      <c r="Y3" s="68"/>
      <c r="Z3" s="68"/>
      <c r="AA3" s="68"/>
      <c r="AB3" s="68"/>
      <c r="AC3" s="67"/>
      <c r="AD3" s="67"/>
      <c r="AE3" s="67"/>
      <c r="AF3" s="67"/>
      <c r="AG3" s="67"/>
      <c r="AH3" s="67"/>
      <c r="AI3" s="67"/>
      <c r="AJ3" s="67"/>
      <c r="AK3" s="67"/>
      <c r="AL3" s="67"/>
      <c r="AM3" s="67"/>
      <c r="AN3" s="67"/>
      <c r="AO3" s="67"/>
      <c r="AP3" s="67"/>
      <c r="AQ3" s="67"/>
      <c r="AR3" s="67"/>
      <c r="AS3" s="67"/>
      <c r="AT3" s="67"/>
      <c r="AU3" s="67"/>
      <c r="AV3" s="67"/>
      <c r="AW3" s="67"/>
      <c r="AX3" s="67"/>
    </row>
    <row r="4" spans="1:50" s="24" customFormat="1" ht="12.75"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row>
    <row r="5" spans="1:50" ht="12.4">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row>
    <row r="6" spans="1:50" s="25" customFormat="1" ht="12" customHeight="1">
      <c r="A6" s="58"/>
      <c r="B6" s="274" t="s">
        <v>49</v>
      </c>
      <c r="C6" s="274" t="s">
        <v>259</v>
      </c>
      <c r="D6" s="274" t="s">
        <v>104</v>
      </c>
      <c r="E6" s="278"/>
      <c r="F6" s="236" t="s">
        <v>105</v>
      </c>
      <c r="G6" s="237"/>
      <c r="H6" s="237"/>
      <c r="I6" s="238"/>
      <c r="J6" s="160"/>
      <c r="K6" s="282" t="s">
        <v>106</v>
      </c>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4"/>
      <c r="AX6" s="58"/>
    </row>
    <row r="7" spans="1:50" s="25" customFormat="1" ht="30" customHeight="1">
      <c r="A7" s="58"/>
      <c r="B7" s="277"/>
      <c r="C7" s="277"/>
      <c r="D7" s="277"/>
      <c r="E7" s="278"/>
      <c r="F7" s="296" t="s">
        <v>260</v>
      </c>
      <c r="G7" s="297"/>
      <c r="H7" s="297"/>
      <c r="I7" s="298"/>
      <c r="J7" s="26"/>
      <c r="K7" s="285" t="s">
        <v>108</v>
      </c>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7"/>
      <c r="AX7" s="58"/>
    </row>
    <row r="8" spans="1:50" s="25" customFormat="1" ht="37.15">
      <c r="A8" s="58"/>
      <c r="B8" s="277"/>
      <c r="C8" s="277"/>
      <c r="D8" s="277"/>
      <c r="E8" s="90" t="s">
        <v>261</v>
      </c>
      <c r="F8" s="70" t="s">
        <v>110</v>
      </c>
      <c r="G8" s="70" t="s">
        <v>111</v>
      </c>
      <c r="H8" s="70" t="s">
        <v>112</v>
      </c>
      <c r="I8" s="70" t="s">
        <v>113</v>
      </c>
      <c r="J8" s="26"/>
      <c r="K8" s="70" t="s">
        <v>114</v>
      </c>
      <c r="L8" s="70" t="s">
        <v>115</v>
      </c>
      <c r="M8" s="70" t="s">
        <v>116</v>
      </c>
      <c r="N8" s="70" t="s">
        <v>117</v>
      </c>
      <c r="O8" s="70" t="s">
        <v>118</v>
      </c>
      <c r="P8" s="70" t="s">
        <v>119</v>
      </c>
      <c r="Q8" s="70" t="s">
        <v>120</v>
      </c>
      <c r="R8" s="70" t="s">
        <v>121</v>
      </c>
      <c r="S8" s="70" t="s">
        <v>122</v>
      </c>
      <c r="T8" s="70" t="s">
        <v>123</v>
      </c>
      <c r="U8" s="70" t="s">
        <v>124</v>
      </c>
      <c r="V8" s="70" t="s">
        <v>125</v>
      </c>
      <c r="W8" s="70" t="s">
        <v>126</v>
      </c>
      <c r="X8" s="70" t="s">
        <v>127</v>
      </c>
      <c r="Y8" s="70" t="s">
        <v>128</v>
      </c>
      <c r="Z8" s="70" t="s">
        <v>129</v>
      </c>
      <c r="AA8" s="70" t="s">
        <v>130</v>
      </c>
      <c r="AB8" s="70" t="s">
        <v>131</v>
      </c>
      <c r="AC8" s="70" t="s">
        <v>132</v>
      </c>
      <c r="AD8" s="70" t="s">
        <v>133</v>
      </c>
      <c r="AE8" s="70" t="s">
        <v>134</v>
      </c>
      <c r="AF8" s="70" t="s">
        <v>135</v>
      </c>
      <c r="AG8" s="70" t="s">
        <v>136</v>
      </c>
      <c r="AH8" s="70" t="s">
        <v>137</v>
      </c>
      <c r="AI8" s="70" t="s">
        <v>138</v>
      </c>
      <c r="AJ8" s="70" t="s">
        <v>139</v>
      </c>
      <c r="AK8" s="70" t="s">
        <v>140</v>
      </c>
      <c r="AL8" s="70" t="s">
        <v>141</v>
      </c>
      <c r="AM8" s="70" t="s">
        <v>142</v>
      </c>
      <c r="AN8" s="70" t="s">
        <v>143</v>
      </c>
      <c r="AO8" s="70" t="s">
        <v>144</v>
      </c>
      <c r="AP8" s="70" t="s">
        <v>145</v>
      </c>
      <c r="AQ8" s="70" t="s">
        <v>146</v>
      </c>
      <c r="AR8" s="70" t="s">
        <v>147</v>
      </c>
      <c r="AS8" s="70" t="s">
        <v>148</v>
      </c>
      <c r="AT8" s="70" t="s">
        <v>149</v>
      </c>
      <c r="AU8" s="70" t="s">
        <v>150</v>
      </c>
      <c r="AV8" s="70" t="s">
        <v>151</v>
      </c>
      <c r="AW8" s="70" t="s">
        <v>152</v>
      </c>
      <c r="AX8" s="58"/>
    </row>
    <row r="9" spans="1:50" s="25" customFormat="1" ht="12.4">
      <c r="A9" s="58"/>
      <c r="B9" s="277"/>
      <c r="C9" s="277"/>
      <c r="D9" s="277"/>
      <c r="E9" s="91" t="s">
        <v>153</v>
      </c>
      <c r="F9" s="72" t="s">
        <v>154</v>
      </c>
      <c r="G9" s="72" t="s">
        <v>155</v>
      </c>
      <c r="H9" s="72" t="s">
        <v>156</v>
      </c>
      <c r="I9" s="73" t="s">
        <v>157</v>
      </c>
      <c r="J9" s="26"/>
      <c r="K9" s="74" t="s">
        <v>158</v>
      </c>
      <c r="L9" s="72" t="s">
        <v>159</v>
      </c>
      <c r="M9" s="72" t="s">
        <v>160</v>
      </c>
      <c r="N9" s="72" t="s">
        <v>161</v>
      </c>
      <c r="O9" s="72" t="s">
        <v>162</v>
      </c>
      <c r="P9" s="72" t="s">
        <v>163</v>
      </c>
      <c r="Q9" s="72" t="s">
        <v>164</v>
      </c>
      <c r="R9" s="72" t="s">
        <v>165</v>
      </c>
      <c r="S9" s="72" t="s">
        <v>166</v>
      </c>
      <c r="T9" s="72" t="s">
        <v>167</v>
      </c>
      <c r="U9" s="72" t="s">
        <v>168</v>
      </c>
      <c r="V9" s="72" t="s">
        <v>169</v>
      </c>
      <c r="W9" s="72" t="s">
        <v>170</v>
      </c>
      <c r="X9" s="72" t="s">
        <v>171</v>
      </c>
      <c r="Y9" s="72" t="s">
        <v>172</v>
      </c>
      <c r="Z9" s="72" t="s">
        <v>173</v>
      </c>
      <c r="AA9" s="72" t="s">
        <v>174</v>
      </c>
      <c r="AB9" s="72" t="s">
        <v>175</v>
      </c>
      <c r="AC9" s="72" t="s">
        <v>176</v>
      </c>
      <c r="AD9" s="72" t="s">
        <v>177</v>
      </c>
      <c r="AE9" s="72" t="s">
        <v>178</v>
      </c>
      <c r="AF9" s="72" t="s">
        <v>179</v>
      </c>
      <c r="AG9" s="72" t="s">
        <v>180</v>
      </c>
      <c r="AH9" s="72" t="s">
        <v>181</v>
      </c>
      <c r="AI9" s="72" t="s">
        <v>182</v>
      </c>
      <c r="AJ9" s="72" t="s">
        <v>183</v>
      </c>
      <c r="AK9" s="72" t="s">
        <v>184</v>
      </c>
      <c r="AL9" s="72" t="s">
        <v>185</v>
      </c>
      <c r="AM9" s="72" t="s">
        <v>186</v>
      </c>
      <c r="AN9" s="72" t="s">
        <v>187</v>
      </c>
      <c r="AO9" s="72" t="s">
        <v>188</v>
      </c>
      <c r="AP9" s="72" t="s">
        <v>189</v>
      </c>
      <c r="AQ9" s="72" t="s">
        <v>190</v>
      </c>
      <c r="AR9" s="72" t="s">
        <v>191</v>
      </c>
      <c r="AS9" s="72" t="s">
        <v>192</v>
      </c>
      <c r="AT9" s="72" t="s">
        <v>193</v>
      </c>
      <c r="AU9" s="72" t="s">
        <v>194</v>
      </c>
      <c r="AV9" s="72" t="s">
        <v>195</v>
      </c>
      <c r="AW9" s="72" t="s">
        <v>196</v>
      </c>
      <c r="AX9" s="58"/>
    </row>
    <row r="10" spans="1:50" s="25" customFormat="1" ht="12.4">
      <c r="A10" s="58"/>
      <c r="B10" s="275"/>
      <c r="C10" s="275"/>
      <c r="D10" s="275"/>
      <c r="E10" s="91" t="s">
        <v>197</v>
      </c>
      <c r="F10" s="75" t="s">
        <v>198</v>
      </c>
      <c r="G10" s="72" t="s">
        <v>198</v>
      </c>
      <c r="H10" s="72" t="s">
        <v>199</v>
      </c>
      <c r="I10" s="72" t="s">
        <v>199</v>
      </c>
      <c r="J10" s="26"/>
      <c r="K10" s="125" t="s">
        <v>200</v>
      </c>
      <c r="L10" s="125" t="s">
        <v>201</v>
      </c>
      <c r="M10" s="125" t="s">
        <v>201</v>
      </c>
      <c r="N10" s="125" t="s">
        <v>202</v>
      </c>
      <c r="O10" s="125" t="s">
        <v>202</v>
      </c>
      <c r="P10" s="125" t="s">
        <v>203</v>
      </c>
      <c r="Q10" s="125" t="s">
        <v>203</v>
      </c>
      <c r="R10" s="125" t="s">
        <v>204</v>
      </c>
      <c r="S10" s="125" t="s">
        <v>204</v>
      </c>
      <c r="T10" s="125" t="s">
        <v>205</v>
      </c>
      <c r="U10" s="125" t="s">
        <v>205</v>
      </c>
      <c r="V10" s="125" t="s">
        <v>205</v>
      </c>
      <c r="W10" s="125" t="s">
        <v>206</v>
      </c>
      <c r="X10" s="125" t="s">
        <v>206</v>
      </c>
      <c r="Y10" s="125" t="s">
        <v>206</v>
      </c>
      <c r="Z10" s="125" t="s">
        <v>206</v>
      </c>
      <c r="AA10" s="125" t="s">
        <v>207</v>
      </c>
      <c r="AB10" s="125" t="s">
        <v>207</v>
      </c>
      <c r="AC10" s="125" t="s">
        <v>207</v>
      </c>
      <c r="AD10" s="125" t="s">
        <v>207</v>
      </c>
      <c r="AE10" s="125" t="s">
        <v>208</v>
      </c>
      <c r="AF10" s="125" t="s">
        <v>208</v>
      </c>
      <c r="AG10" s="125" t="s">
        <v>208</v>
      </c>
      <c r="AH10" s="125" t="s">
        <v>208</v>
      </c>
      <c r="AI10" s="125" t="s">
        <v>209</v>
      </c>
      <c r="AJ10" s="125" t="s">
        <v>209</v>
      </c>
      <c r="AK10" s="125" t="s">
        <v>209</v>
      </c>
      <c r="AL10" s="125" t="s">
        <v>209</v>
      </c>
      <c r="AM10" s="125" t="s">
        <v>210</v>
      </c>
      <c r="AN10" s="125" t="s">
        <v>210</v>
      </c>
      <c r="AO10" s="125" t="s">
        <v>210</v>
      </c>
      <c r="AP10" s="125" t="s">
        <v>210</v>
      </c>
      <c r="AQ10" s="125" t="s">
        <v>211</v>
      </c>
      <c r="AR10" s="125" t="s">
        <v>211</v>
      </c>
      <c r="AS10" s="125" t="s">
        <v>211</v>
      </c>
      <c r="AT10" s="125" t="s">
        <v>211</v>
      </c>
      <c r="AU10" s="125" t="s">
        <v>212</v>
      </c>
      <c r="AV10" s="125" t="s">
        <v>212</v>
      </c>
      <c r="AW10" s="125" t="s">
        <v>212</v>
      </c>
      <c r="AX10" s="58"/>
    </row>
    <row r="11" spans="1:50" s="25" customFormat="1" ht="12.75" customHeight="1">
      <c r="A11" s="58"/>
      <c r="B11" s="279" t="s">
        <v>262</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1"/>
      <c r="AX11" s="58"/>
    </row>
    <row r="12" spans="1:50" s="25" customFormat="1" ht="12.4">
      <c r="A12" s="58"/>
      <c r="B12" s="52" t="s">
        <v>387</v>
      </c>
      <c r="C12" s="52" t="s">
        <v>388</v>
      </c>
      <c r="D12" s="52" t="s">
        <v>265</v>
      </c>
      <c r="E12" s="58"/>
      <c r="F12" s="58"/>
      <c r="G12" s="58"/>
      <c r="H12" s="58"/>
      <c r="I12" s="58"/>
      <c r="J12" s="26"/>
      <c r="K12" s="58"/>
      <c r="L12" s="58"/>
      <c r="M12" s="58"/>
      <c r="N12" s="58"/>
      <c r="O12" s="58"/>
      <c r="P12" s="58"/>
      <c r="Q12" s="58"/>
      <c r="R12" s="58"/>
      <c r="S12" s="58"/>
      <c r="T12" s="58"/>
      <c r="U12" s="58"/>
      <c r="V12" s="58"/>
      <c r="W12" s="58"/>
      <c r="X12" s="58"/>
      <c r="Y12" s="58"/>
      <c r="Z12" s="58"/>
      <c r="AA12" s="58"/>
      <c r="AB12" s="172">
        <v>1214407</v>
      </c>
      <c r="AC12" s="172">
        <v>1214407</v>
      </c>
      <c r="AD12" s="172">
        <v>1214407</v>
      </c>
      <c r="AE12" s="172">
        <v>1604481</v>
      </c>
      <c r="AF12" s="172"/>
      <c r="AG12" s="172"/>
      <c r="AH12" s="172"/>
      <c r="AI12" s="172"/>
      <c r="AJ12" s="172"/>
      <c r="AK12" s="172"/>
      <c r="AL12" s="172"/>
      <c r="AM12" s="172"/>
      <c r="AN12" s="172"/>
      <c r="AO12" s="172"/>
      <c r="AP12" s="172"/>
      <c r="AQ12" s="172"/>
      <c r="AR12" s="172"/>
      <c r="AS12" s="172"/>
      <c r="AT12" s="172"/>
      <c r="AU12" s="172"/>
      <c r="AV12" s="172"/>
      <c r="AW12" s="172"/>
      <c r="AX12" s="58"/>
    </row>
    <row r="13" spans="1:50" s="25" customFormat="1" ht="12.4">
      <c r="A13" s="58"/>
      <c r="B13" s="52" t="s">
        <v>389</v>
      </c>
      <c r="C13" s="52" t="s">
        <v>269</v>
      </c>
      <c r="D13" s="52" t="s">
        <v>270</v>
      </c>
      <c r="E13" s="58"/>
      <c r="F13" s="58"/>
      <c r="G13" s="58"/>
      <c r="H13" s="58"/>
      <c r="I13" s="58"/>
      <c r="J13" s="26"/>
      <c r="K13" s="58"/>
      <c r="L13" s="58"/>
      <c r="M13" s="58"/>
      <c r="N13" s="58"/>
      <c r="O13" s="58"/>
      <c r="P13" s="58"/>
      <c r="Q13" s="58"/>
      <c r="R13" s="58"/>
      <c r="S13" s="58"/>
      <c r="T13" s="58"/>
      <c r="U13" s="58"/>
      <c r="V13" s="58"/>
      <c r="W13" s="58"/>
      <c r="X13" s="58"/>
      <c r="Y13" s="58"/>
      <c r="Z13" s="58"/>
      <c r="AA13" s="58"/>
      <c r="AB13" s="172">
        <v>31681628</v>
      </c>
      <c r="AC13" s="172">
        <v>31681628</v>
      </c>
      <c r="AD13" s="172">
        <v>31681628</v>
      </c>
      <c r="AE13" s="172">
        <v>31810780</v>
      </c>
      <c r="AF13" s="172"/>
      <c r="AG13" s="172"/>
      <c r="AH13" s="172"/>
      <c r="AI13" s="172"/>
      <c r="AJ13" s="172"/>
      <c r="AK13" s="172"/>
      <c r="AL13" s="172"/>
      <c r="AM13" s="172"/>
      <c r="AN13" s="172"/>
      <c r="AO13" s="172"/>
      <c r="AP13" s="172"/>
      <c r="AQ13" s="172"/>
      <c r="AR13" s="172"/>
      <c r="AS13" s="172"/>
      <c r="AT13" s="172"/>
      <c r="AU13" s="172"/>
      <c r="AV13" s="172"/>
      <c r="AW13" s="172"/>
      <c r="AX13" s="58"/>
    </row>
    <row r="14" spans="1:50" s="25" customFormat="1" ht="12.4">
      <c r="A14" s="58"/>
      <c r="B14" s="279" t="s">
        <v>361</v>
      </c>
      <c r="C14" s="280"/>
      <c r="D14" s="280"/>
      <c r="E14" s="280"/>
      <c r="F14" s="280"/>
      <c r="G14" s="280"/>
      <c r="H14" s="280"/>
      <c r="I14" s="280"/>
      <c r="J14" s="280"/>
      <c r="K14" s="280"/>
      <c r="L14" s="280"/>
      <c r="M14" s="280"/>
      <c r="N14" s="280"/>
      <c r="O14" s="280"/>
      <c r="P14" s="280"/>
      <c r="Q14" s="280"/>
      <c r="R14" s="280"/>
      <c r="S14" s="280"/>
      <c r="T14" s="280"/>
      <c r="U14" s="281"/>
      <c r="V14" s="280"/>
      <c r="W14" s="280"/>
      <c r="X14" s="280"/>
      <c r="Y14" s="280"/>
      <c r="Z14" s="280"/>
      <c r="AA14" s="280"/>
      <c r="AB14" s="280"/>
      <c r="AC14" s="280"/>
      <c r="AD14" s="280"/>
      <c r="AE14" s="280"/>
      <c r="AF14" s="280"/>
      <c r="AG14" s="280"/>
      <c r="AH14" s="280"/>
      <c r="AI14" s="280"/>
      <c r="AJ14" s="280"/>
      <c r="AK14" s="280"/>
      <c r="AL14" s="280"/>
      <c r="AM14" s="280"/>
      <c r="AN14" s="280"/>
      <c r="AO14" s="281"/>
      <c r="AP14" s="299"/>
      <c r="AQ14" s="300"/>
      <c r="AR14" s="300"/>
      <c r="AS14" s="300"/>
      <c r="AT14" s="300"/>
      <c r="AU14" s="300"/>
      <c r="AV14" s="300"/>
      <c r="AW14" s="301"/>
      <c r="AX14" s="58"/>
    </row>
    <row r="15" spans="1:50" s="25" customFormat="1" ht="12.4">
      <c r="A15" s="58"/>
      <c r="B15" s="52" t="s">
        <v>390</v>
      </c>
      <c r="C15" s="52"/>
      <c r="D15" s="52" t="s">
        <v>216</v>
      </c>
      <c r="E15" s="58"/>
      <c r="F15" s="58"/>
      <c r="G15" s="58"/>
      <c r="H15" s="58"/>
      <c r="I15" s="58"/>
      <c r="J15" s="161"/>
      <c r="K15" s="58"/>
      <c r="L15" s="58"/>
      <c r="M15" s="58"/>
      <c r="N15" s="58"/>
      <c r="O15" s="58"/>
      <c r="P15" s="58"/>
      <c r="Q15" s="58"/>
      <c r="R15" s="58"/>
      <c r="S15" s="58"/>
      <c r="T15" s="58"/>
      <c r="U15" s="58"/>
      <c r="V15" s="58"/>
      <c r="W15" s="58"/>
      <c r="X15" s="58"/>
      <c r="Y15" s="58"/>
      <c r="Z15" s="58"/>
      <c r="AA15" s="58"/>
      <c r="AB15" s="173">
        <f t="shared" ref="AB15:AW15" si="0">IFERROR(AB12/AB13, "-")</f>
        <v>3.8331584475393754E-2</v>
      </c>
      <c r="AC15" s="173">
        <f t="shared" si="0"/>
        <v>3.8331584475393754E-2</v>
      </c>
      <c r="AD15" s="173">
        <f t="shared" si="0"/>
        <v>3.8331584475393754E-2</v>
      </c>
      <c r="AE15" s="173">
        <f t="shared" si="0"/>
        <v>5.0438279099097851E-2</v>
      </c>
      <c r="AF15" s="173" t="str">
        <f t="shared" si="0"/>
        <v>-</v>
      </c>
      <c r="AG15" s="173" t="str">
        <f t="shared" si="0"/>
        <v>-</v>
      </c>
      <c r="AH15" s="173" t="str">
        <f t="shared" si="0"/>
        <v>-</v>
      </c>
      <c r="AI15" s="173" t="str">
        <f t="shared" si="0"/>
        <v>-</v>
      </c>
      <c r="AJ15" s="173" t="str">
        <f t="shared" si="0"/>
        <v>-</v>
      </c>
      <c r="AK15" s="173" t="str">
        <f t="shared" si="0"/>
        <v>-</v>
      </c>
      <c r="AL15" s="173" t="str">
        <f t="shared" si="0"/>
        <v>-</v>
      </c>
      <c r="AM15" s="173" t="str">
        <f t="shared" si="0"/>
        <v>-</v>
      </c>
      <c r="AN15" s="173" t="str">
        <f t="shared" si="0"/>
        <v>-</v>
      </c>
      <c r="AO15" s="173" t="str">
        <f t="shared" si="0"/>
        <v>-</v>
      </c>
      <c r="AP15" s="173" t="str">
        <f t="shared" si="0"/>
        <v>-</v>
      </c>
      <c r="AQ15" s="173" t="str">
        <f t="shared" si="0"/>
        <v>-</v>
      </c>
      <c r="AR15" s="173" t="str">
        <f t="shared" si="0"/>
        <v>-</v>
      </c>
      <c r="AS15" s="173" t="str">
        <f t="shared" si="0"/>
        <v>-</v>
      </c>
      <c r="AT15" s="173" t="str">
        <f t="shared" si="0"/>
        <v>-</v>
      </c>
      <c r="AU15" s="173" t="str">
        <f t="shared" si="0"/>
        <v>-</v>
      </c>
      <c r="AV15" s="173" t="str">
        <f t="shared" si="0"/>
        <v>-</v>
      </c>
      <c r="AW15" s="173" t="str">
        <f t="shared" si="0"/>
        <v>-</v>
      </c>
      <c r="AX15" s="58"/>
    </row>
    <row r="16" spans="1:50" ht="12.4">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row>
    <row r="17" spans="1:50" ht="12.4">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row>
    <row r="18" spans="1:50" ht="12.4">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row>
    <row r="19" spans="1:50" ht="12.4">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row>
    <row r="20" spans="1:50" ht="12.4">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row>
    <row r="21" spans="1:50" ht="65.25" hidden="1" customHeight="1">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row>
    <row r="22" spans="1:50" ht="31.5" hidden="1" customHeight="1">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row>
    <row r="23" spans="1:50" ht="17.25" hidden="1" customHeight="1">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row>
    <row r="24" spans="1:50" ht="54" hidden="1" customHeight="1">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row>
    <row r="25" spans="1:50" ht="12.4" hidden="1">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row>
    <row r="26" spans="1:50" ht="12.4" hidden="1">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row>
    <row r="27" spans="1:50" ht="12.4" hidden="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row>
    <row r="28" spans="1:50" ht="12.4" hidden="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row>
    <row r="29" spans="1:50" ht="12.4" hidden="1">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row>
    <row r="30" spans="1:50" ht="12.4" hidden="1">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row>
    <row r="31" spans="1:50" ht="12.4" hidden="1">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row>
    <row r="32" spans="1:50" ht="12.4" hidden="1">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row>
  </sheetData>
  <mergeCells count="13">
    <mergeCell ref="K6:AW6"/>
    <mergeCell ref="F7:I7"/>
    <mergeCell ref="K7:AW7"/>
    <mergeCell ref="B11:AW11"/>
    <mergeCell ref="B14:U14"/>
    <mergeCell ref="V14:AO14"/>
    <mergeCell ref="AP14:AW14"/>
    <mergeCell ref="F6:I6"/>
    <mergeCell ref="B3:E3"/>
    <mergeCell ref="B6:B10"/>
    <mergeCell ref="C6:C10"/>
    <mergeCell ref="D6:D10"/>
    <mergeCell ref="E6:E7"/>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D8D1-CD47-40C7-8122-B23CD6FFB3F9}">
  <sheetPr>
    <tabColor theme="7" tint="0.79998168889431442"/>
    <pageSetUpPr autoPageBreaks="0"/>
  </sheetPr>
  <dimension ref="A1:AB23"/>
  <sheetViews>
    <sheetView zoomScaleNormal="100" workbookViewId="0"/>
  </sheetViews>
  <sheetFormatPr defaultColWidth="0" defaultRowHeight="11.25" customHeight="1" zeroHeight="1"/>
  <cols>
    <col min="1" max="1" width="9" style="178" customWidth="1"/>
    <col min="2" max="2" width="48.28515625" style="182" customWidth="1"/>
    <col min="3" max="3" width="26.42578125" style="182" customWidth="1"/>
    <col min="4" max="4" width="13.7109375" style="182" customWidth="1"/>
    <col min="5" max="5" width="10.28515625" style="178" customWidth="1"/>
    <col min="6" max="28" width="0" style="182" hidden="1" customWidth="1"/>
    <col min="29" max="16384" width="10.28515625" style="182" hidden="1"/>
  </cols>
  <sheetData>
    <row r="1" spans="2:4" s="175" customFormat="1" ht="12.75" customHeight="1">
      <c r="D1" s="176"/>
    </row>
    <row r="2" spans="2:4" s="175" customFormat="1" ht="18.75" customHeight="1">
      <c r="B2" s="177" t="s">
        <v>391</v>
      </c>
      <c r="D2" s="176"/>
    </row>
    <row r="3" spans="2:4" s="175" customFormat="1" ht="26.25" customHeight="1">
      <c r="B3" s="302" t="s">
        <v>392</v>
      </c>
      <c r="C3" s="302"/>
      <c r="D3" s="302"/>
    </row>
    <row r="4" spans="2:4" s="175" customFormat="1" ht="12.75" customHeight="1">
      <c r="D4" s="176"/>
    </row>
    <row r="5" spans="2:4" s="178" customFormat="1"/>
    <row r="6" spans="2:4" s="178" customFormat="1" ht="12.4">
      <c r="B6" s="199" t="s">
        <v>393</v>
      </c>
      <c r="C6" s="200"/>
    </row>
    <row r="7" spans="2:4" s="178" customFormat="1" ht="12.4">
      <c r="B7" s="200"/>
      <c r="C7" s="200"/>
    </row>
    <row r="8" spans="2:4" s="178" customFormat="1" ht="12.4">
      <c r="B8" s="201" t="s">
        <v>394</v>
      </c>
      <c r="C8" s="202" t="s">
        <v>395</v>
      </c>
      <c r="D8" s="181"/>
    </row>
    <row r="9" spans="2:4" s="178" customFormat="1" ht="12.4">
      <c r="B9" s="203" t="s">
        <v>243</v>
      </c>
      <c r="C9" s="204">
        <v>3.1</v>
      </c>
      <c r="D9" s="181"/>
    </row>
    <row r="10" spans="2:4" s="178" customFormat="1" ht="12.4">
      <c r="B10" s="203" t="s">
        <v>396</v>
      </c>
      <c r="C10" s="204">
        <v>4.2</v>
      </c>
      <c r="D10" s="181"/>
    </row>
    <row r="11" spans="2:4" s="178" customFormat="1" ht="12.4">
      <c r="B11" s="203" t="s">
        <v>223</v>
      </c>
      <c r="C11" s="204">
        <v>12</v>
      </c>
      <c r="D11" s="181"/>
    </row>
    <row r="12" spans="2:4" s="178" customFormat="1">
      <c r="B12" s="180"/>
      <c r="C12" s="181"/>
      <c r="D12" s="181"/>
    </row>
    <row r="13" spans="2:4" s="178" customFormat="1">
      <c r="B13" s="180"/>
      <c r="C13" s="181"/>
      <c r="D13" s="181"/>
    </row>
    <row r="14" spans="2:4" s="178" customFormat="1" hidden="1">
      <c r="B14" s="180"/>
      <c r="C14" s="181"/>
      <c r="D14" s="181"/>
    </row>
    <row r="15" spans="2:4" s="178" customFormat="1" hidden="1">
      <c r="B15" s="180"/>
      <c r="C15" s="181"/>
      <c r="D15" s="181"/>
    </row>
    <row r="16" spans="2:4" s="178" customFormat="1" hidden="1">
      <c r="B16" s="180"/>
      <c r="C16" s="181"/>
      <c r="D16" s="181"/>
    </row>
    <row r="17" spans="2:4" s="178" customFormat="1" hidden="1">
      <c r="B17" s="180"/>
      <c r="C17" s="181"/>
      <c r="D17" s="181"/>
    </row>
    <row r="18" spans="2:4" s="178" customFormat="1" hidden="1">
      <c r="B18" s="180"/>
      <c r="C18" s="181"/>
      <c r="D18" s="181"/>
    </row>
    <row r="19" spans="2:4" s="178" customFormat="1" hidden="1">
      <c r="B19" s="180"/>
      <c r="C19" s="181"/>
      <c r="D19" s="181"/>
    </row>
    <row r="20" spans="2:4" s="178" customFormat="1" hidden="1">
      <c r="B20" s="180"/>
      <c r="C20" s="181"/>
      <c r="D20" s="181"/>
    </row>
    <row r="21" spans="2:4" s="178" customFormat="1" hidden="1">
      <c r="B21" s="179"/>
    </row>
    <row r="22" spans="2:4" hidden="1">
      <c r="B22" s="178"/>
      <c r="C22" s="178"/>
      <c r="D22" s="178"/>
    </row>
    <row r="23" spans="2:4" hidden="1">
      <c r="B23" s="178"/>
      <c r="C23" s="178"/>
      <c r="D23" s="178"/>
    </row>
  </sheetData>
  <mergeCells count="1">
    <mergeCell ref="B3:D3"/>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5FBA8-F965-4F3F-B5F7-AED4C7DA2CA2}">
  <sheetPr>
    <tabColor rgb="FFFF5050"/>
    <pageSetUpPr autoPageBreaks="0"/>
  </sheetPr>
  <dimension ref="A1"/>
  <sheetViews>
    <sheetView workbookViewId="0"/>
  </sheetViews>
  <sheetFormatPr defaultRowHeight="14.25"/>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5050"/>
    <pageSetUpPr autoPageBreaks="0"/>
  </sheetPr>
  <dimension ref="A1:AX31"/>
  <sheetViews>
    <sheetView zoomScaleNormal="100" workbookViewId="0"/>
  </sheetViews>
  <sheetFormatPr defaultColWidth="0" defaultRowHeight="12.4" zeroHeight="1"/>
  <cols>
    <col min="1" max="1" width="9" style="29" customWidth="1"/>
    <col min="2" max="2" width="48.28515625" style="29" bestFit="1" customWidth="1"/>
    <col min="3" max="3" width="37" style="29" customWidth="1"/>
    <col min="4" max="4" width="11.5703125" style="29" bestFit="1" customWidth="1"/>
    <col min="5" max="5" width="26.42578125" style="29" customWidth="1"/>
    <col min="6" max="9" width="17.5703125" style="29" customWidth="1"/>
    <col min="10" max="10" width="1.28515625" style="29" customWidth="1"/>
    <col min="11" max="18" width="17.5703125" style="29" customWidth="1"/>
    <col min="19" max="19" width="17.28515625" style="29" customWidth="1"/>
    <col min="20" max="20" width="14.7109375" style="29" bestFit="1" customWidth="1"/>
    <col min="21" max="49" width="17.5703125" style="29" customWidth="1"/>
    <col min="50" max="50" width="9" style="29" customWidth="1"/>
    <col min="51" max="16384" width="9" style="29" hidden="1"/>
  </cols>
  <sheetData>
    <row r="1" spans="1:50" s="24" customFormat="1" ht="12.75"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row>
    <row r="2" spans="1:50" s="24" customFormat="1" ht="18.75" customHeight="1">
      <c r="A2" s="67"/>
      <c r="B2" s="4" t="s">
        <v>397</v>
      </c>
      <c r="C2" s="28"/>
      <c r="D2" s="28"/>
      <c r="E2" s="28"/>
      <c r="F2" s="28"/>
      <c r="G2" s="28"/>
      <c r="H2" s="28"/>
      <c r="I2" s="28"/>
      <c r="J2" s="28"/>
      <c r="K2" s="28"/>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row>
    <row r="3" spans="1:50" s="24" customFormat="1" ht="14.25" customHeight="1">
      <c r="A3" s="67"/>
      <c r="B3" s="235" t="s">
        <v>398</v>
      </c>
      <c r="C3" s="235"/>
      <c r="D3" s="235"/>
      <c r="E3" s="235"/>
      <c r="F3" s="109"/>
      <c r="G3" s="109"/>
      <c r="H3" s="109"/>
      <c r="I3" s="109"/>
      <c r="J3" s="109"/>
      <c r="K3" s="109"/>
      <c r="L3" s="109"/>
      <c r="M3" s="109"/>
      <c r="N3" s="67"/>
      <c r="O3" s="67"/>
      <c r="P3" s="67"/>
      <c r="Q3" s="67"/>
      <c r="R3" s="67"/>
      <c r="S3" s="67"/>
      <c r="T3" s="67"/>
      <c r="U3" s="67"/>
      <c r="V3" s="67"/>
      <c r="W3" s="67"/>
      <c r="X3" s="68"/>
      <c r="Y3" s="68"/>
      <c r="Z3" s="68"/>
      <c r="AA3" s="68"/>
      <c r="AB3" s="68"/>
      <c r="AC3" s="67"/>
      <c r="AD3" s="67"/>
      <c r="AE3" s="67"/>
      <c r="AF3" s="67"/>
      <c r="AG3" s="67"/>
      <c r="AH3" s="67"/>
      <c r="AI3" s="67"/>
      <c r="AJ3" s="67"/>
      <c r="AK3" s="67"/>
      <c r="AL3" s="67"/>
      <c r="AM3" s="67"/>
      <c r="AN3" s="67"/>
      <c r="AO3" s="67"/>
      <c r="AP3" s="67"/>
      <c r="AQ3" s="67"/>
      <c r="AR3" s="67"/>
      <c r="AS3" s="67"/>
      <c r="AT3" s="67"/>
      <c r="AU3" s="67"/>
      <c r="AV3" s="67"/>
      <c r="AW3" s="67"/>
      <c r="AX3" s="67"/>
    </row>
    <row r="4" spans="1:50" s="24" customFormat="1" ht="12.75"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row>
    <row r="5" spans="1:50">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row>
    <row r="6" spans="1:50" s="25" customFormat="1" ht="12" customHeight="1">
      <c r="A6" s="58"/>
      <c r="B6" s="274" t="s">
        <v>49</v>
      </c>
      <c r="C6" s="274" t="s">
        <v>259</v>
      </c>
      <c r="D6" s="274" t="s">
        <v>104</v>
      </c>
      <c r="E6" s="278"/>
      <c r="F6" s="236" t="s">
        <v>105</v>
      </c>
      <c r="G6" s="237"/>
      <c r="H6" s="237"/>
      <c r="I6" s="238"/>
      <c r="J6" s="160"/>
      <c r="K6" s="282" t="s">
        <v>106</v>
      </c>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4"/>
      <c r="AX6" s="58"/>
    </row>
    <row r="7" spans="1:50" s="25" customFormat="1" ht="30" customHeight="1">
      <c r="A7" s="58"/>
      <c r="B7" s="277"/>
      <c r="C7" s="277"/>
      <c r="D7" s="277"/>
      <c r="E7" s="278"/>
      <c r="F7" s="296" t="s">
        <v>260</v>
      </c>
      <c r="G7" s="297"/>
      <c r="H7" s="297"/>
      <c r="I7" s="298"/>
      <c r="J7" s="26"/>
      <c r="K7" s="285" t="s">
        <v>108</v>
      </c>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7"/>
      <c r="AX7" s="58"/>
    </row>
    <row r="8" spans="1:50" s="25" customFormat="1" ht="37.15">
      <c r="A8" s="58"/>
      <c r="B8" s="277"/>
      <c r="C8" s="277"/>
      <c r="D8" s="277"/>
      <c r="E8" s="90" t="s">
        <v>261</v>
      </c>
      <c r="F8" s="70" t="s">
        <v>110</v>
      </c>
      <c r="G8" s="70" t="s">
        <v>111</v>
      </c>
      <c r="H8" s="70" t="s">
        <v>112</v>
      </c>
      <c r="I8" s="70" t="s">
        <v>113</v>
      </c>
      <c r="J8" s="26"/>
      <c r="K8" s="70" t="s">
        <v>114</v>
      </c>
      <c r="L8" s="70" t="s">
        <v>115</v>
      </c>
      <c r="M8" s="70" t="s">
        <v>116</v>
      </c>
      <c r="N8" s="70" t="s">
        <v>117</v>
      </c>
      <c r="O8" s="70" t="s">
        <v>118</v>
      </c>
      <c r="P8" s="70" t="s">
        <v>119</v>
      </c>
      <c r="Q8" s="70" t="s">
        <v>120</v>
      </c>
      <c r="R8" s="70" t="s">
        <v>121</v>
      </c>
      <c r="S8" s="70" t="s">
        <v>122</v>
      </c>
      <c r="T8" s="70" t="s">
        <v>123</v>
      </c>
      <c r="U8" s="70" t="s">
        <v>124</v>
      </c>
      <c r="V8" s="70" t="s">
        <v>125</v>
      </c>
      <c r="W8" s="70" t="s">
        <v>126</v>
      </c>
      <c r="X8" s="70" t="s">
        <v>127</v>
      </c>
      <c r="Y8" s="70" t="s">
        <v>128</v>
      </c>
      <c r="Z8" s="70" t="s">
        <v>129</v>
      </c>
      <c r="AA8" s="70" t="s">
        <v>130</v>
      </c>
      <c r="AB8" s="70" t="s">
        <v>131</v>
      </c>
      <c r="AC8" s="70" t="s">
        <v>132</v>
      </c>
      <c r="AD8" s="70" t="s">
        <v>133</v>
      </c>
      <c r="AE8" s="70" t="s">
        <v>134</v>
      </c>
      <c r="AF8" s="70" t="s">
        <v>135</v>
      </c>
      <c r="AG8" s="70" t="s">
        <v>136</v>
      </c>
      <c r="AH8" s="70" t="s">
        <v>137</v>
      </c>
      <c r="AI8" s="70" t="s">
        <v>138</v>
      </c>
      <c r="AJ8" s="70" t="s">
        <v>139</v>
      </c>
      <c r="AK8" s="70" t="s">
        <v>140</v>
      </c>
      <c r="AL8" s="70" t="s">
        <v>141</v>
      </c>
      <c r="AM8" s="70" t="s">
        <v>142</v>
      </c>
      <c r="AN8" s="70" t="s">
        <v>143</v>
      </c>
      <c r="AO8" s="70" t="s">
        <v>144</v>
      </c>
      <c r="AP8" s="70" t="s">
        <v>145</v>
      </c>
      <c r="AQ8" s="70" t="s">
        <v>146</v>
      </c>
      <c r="AR8" s="70" t="s">
        <v>147</v>
      </c>
      <c r="AS8" s="70" t="s">
        <v>148</v>
      </c>
      <c r="AT8" s="70" t="s">
        <v>149</v>
      </c>
      <c r="AU8" s="70" t="s">
        <v>150</v>
      </c>
      <c r="AV8" s="70" t="s">
        <v>151</v>
      </c>
      <c r="AW8" s="70" t="s">
        <v>152</v>
      </c>
      <c r="AX8" s="58"/>
    </row>
    <row r="9" spans="1:50" s="25" customFormat="1">
      <c r="A9" s="58"/>
      <c r="B9" s="277"/>
      <c r="C9" s="277"/>
      <c r="D9" s="277"/>
      <c r="E9" s="91" t="s">
        <v>153</v>
      </c>
      <c r="F9" s="72" t="s">
        <v>154</v>
      </c>
      <c r="G9" s="72" t="s">
        <v>155</v>
      </c>
      <c r="H9" s="72" t="s">
        <v>156</v>
      </c>
      <c r="I9" s="73" t="s">
        <v>157</v>
      </c>
      <c r="J9" s="26"/>
      <c r="K9" s="74" t="s">
        <v>158</v>
      </c>
      <c r="L9" s="72" t="s">
        <v>159</v>
      </c>
      <c r="M9" s="72" t="s">
        <v>160</v>
      </c>
      <c r="N9" s="72" t="s">
        <v>161</v>
      </c>
      <c r="O9" s="72" t="s">
        <v>162</v>
      </c>
      <c r="P9" s="72" t="s">
        <v>163</v>
      </c>
      <c r="Q9" s="72" t="s">
        <v>164</v>
      </c>
      <c r="R9" s="72" t="s">
        <v>165</v>
      </c>
      <c r="S9" s="72" t="s">
        <v>166</v>
      </c>
      <c r="T9" s="72" t="s">
        <v>167</v>
      </c>
      <c r="U9" s="72" t="s">
        <v>168</v>
      </c>
      <c r="V9" s="72" t="s">
        <v>169</v>
      </c>
      <c r="W9" s="72" t="s">
        <v>170</v>
      </c>
      <c r="X9" s="72" t="s">
        <v>171</v>
      </c>
      <c r="Y9" s="72" t="s">
        <v>172</v>
      </c>
      <c r="Z9" s="72" t="s">
        <v>173</v>
      </c>
      <c r="AA9" s="72" t="s">
        <v>174</v>
      </c>
      <c r="AB9" s="72" t="s">
        <v>175</v>
      </c>
      <c r="AC9" s="72" t="s">
        <v>176</v>
      </c>
      <c r="AD9" s="72" t="s">
        <v>177</v>
      </c>
      <c r="AE9" s="72" t="s">
        <v>178</v>
      </c>
      <c r="AF9" s="72" t="s">
        <v>179</v>
      </c>
      <c r="AG9" s="72" t="s">
        <v>180</v>
      </c>
      <c r="AH9" s="72" t="s">
        <v>181</v>
      </c>
      <c r="AI9" s="72" t="s">
        <v>182</v>
      </c>
      <c r="AJ9" s="72" t="s">
        <v>183</v>
      </c>
      <c r="AK9" s="72" t="s">
        <v>184</v>
      </c>
      <c r="AL9" s="72" t="s">
        <v>185</v>
      </c>
      <c r="AM9" s="72" t="s">
        <v>186</v>
      </c>
      <c r="AN9" s="72" t="s">
        <v>187</v>
      </c>
      <c r="AO9" s="72" t="s">
        <v>188</v>
      </c>
      <c r="AP9" s="72" t="s">
        <v>189</v>
      </c>
      <c r="AQ9" s="72" t="s">
        <v>190</v>
      </c>
      <c r="AR9" s="72" t="s">
        <v>191</v>
      </c>
      <c r="AS9" s="72" t="s">
        <v>192</v>
      </c>
      <c r="AT9" s="72" t="s">
        <v>193</v>
      </c>
      <c r="AU9" s="72" t="s">
        <v>194</v>
      </c>
      <c r="AV9" s="72" t="s">
        <v>195</v>
      </c>
      <c r="AW9" s="72" t="s">
        <v>196</v>
      </c>
      <c r="AX9" s="58"/>
    </row>
    <row r="10" spans="1:50" s="25" customFormat="1">
      <c r="A10" s="58"/>
      <c r="B10" s="275"/>
      <c r="C10" s="275"/>
      <c r="D10" s="275"/>
      <c r="E10" s="91" t="s">
        <v>197</v>
      </c>
      <c r="F10" s="75" t="s">
        <v>198</v>
      </c>
      <c r="G10" s="72" t="s">
        <v>198</v>
      </c>
      <c r="H10" s="72" t="s">
        <v>199</v>
      </c>
      <c r="I10" s="72" t="s">
        <v>199</v>
      </c>
      <c r="J10" s="26"/>
      <c r="K10" s="125" t="s">
        <v>200</v>
      </c>
      <c r="L10" s="125" t="s">
        <v>201</v>
      </c>
      <c r="M10" s="125" t="s">
        <v>201</v>
      </c>
      <c r="N10" s="125" t="s">
        <v>202</v>
      </c>
      <c r="O10" s="125" t="s">
        <v>202</v>
      </c>
      <c r="P10" s="125" t="s">
        <v>203</v>
      </c>
      <c r="Q10" s="125" t="s">
        <v>203</v>
      </c>
      <c r="R10" s="125" t="s">
        <v>204</v>
      </c>
      <c r="S10" s="125" t="s">
        <v>204</v>
      </c>
      <c r="T10" s="125" t="s">
        <v>205</v>
      </c>
      <c r="U10" s="125" t="s">
        <v>205</v>
      </c>
      <c r="V10" s="125" t="s">
        <v>205</v>
      </c>
      <c r="W10" s="125" t="s">
        <v>206</v>
      </c>
      <c r="X10" s="125" t="s">
        <v>206</v>
      </c>
      <c r="Y10" s="125" t="s">
        <v>206</v>
      </c>
      <c r="Z10" s="125" t="s">
        <v>206</v>
      </c>
      <c r="AA10" s="125" t="s">
        <v>207</v>
      </c>
      <c r="AB10" s="125" t="s">
        <v>207</v>
      </c>
      <c r="AC10" s="125" t="s">
        <v>207</v>
      </c>
      <c r="AD10" s="125" t="s">
        <v>207</v>
      </c>
      <c r="AE10" s="125" t="s">
        <v>208</v>
      </c>
      <c r="AF10" s="125" t="s">
        <v>208</v>
      </c>
      <c r="AG10" s="125" t="s">
        <v>208</v>
      </c>
      <c r="AH10" s="125" t="s">
        <v>208</v>
      </c>
      <c r="AI10" s="125" t="s">
        <v>209</v>
      </c>
      <c r="AJ10" s="125" t="s">
        <v>209</v>
      </c>
      <c r="AK10" s="125" t="s">
        <v>209</v>
      </c>
      <c r="AL10" s="125" t="s">
        <v>209</v>
      </c>
      <c r="AM10" s="125" t="s">
        <v>210</v>
      </c>
      <c r="AN10" s="125" t="s">
        <v>210</v>
      </c>
      <c r="AO10" s="125" t="s">
        <v>210</v>
      </c>
      <c r="AP10" s="125" t="s">
        <v>210</v>
      </c>
      <c r="AQ10" s="125" t="s">
        <v>211</v>
      </c>
      <c r="AR10" s="125" t="s">
        <v>211</v>
      </c>
      <c r="AS10" s="125" t="s">
        <v>211</v>
      </c>
      <c r="AT10" s="125" t="s">
        <v>211</v>
      </c>
      <c r="AU10" s="125" t="s">
        <v>212</v>
      </c>
      <c r="AV10" s="125" t="s">
        <v>212</v>
      </c>
      <c r="AW10" s="125" t="s">
        <v>212</v>
      </c>
      <c r="AX10" s="58"/>
    </row>
    <row r="11" spans="1:50" s="25" customFormat="1" ht="12.75" customHeight="1">
      <c r="A11" s="58"/>
      <c r="B11" s="279" t="s">
        <v>262</v>
      </c>
      <c r="C11" s="280"/>
      <c r="D11" s="280"/>
      <c r="E11" s="280"/>
      <c r="F11" s="280"/>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1"/>
      <c r="AX11" s="58"/>
    </row>
    <row r="12" spans="1:50" s="25" customFormat="1">
      <c r="A12" s="58"/>
      <c r="B12" s="52" t="s">
        <v>399</v>
      </c>
      <c r="C12" s="52" t="s">
        <v>400</v>
      </c>
      <c r="D12" s="52" t="s">
        <v>265</v>
      </c>
      <c r="E12" s="57"/>
      <c r="F12" s="94">
        <v>250000</v>
      </c>
      <c r="G12" s="94">
        <v>250000</v>
      </c>
      <c r="H12" s="94">
        <v>250000</v>
      </c>
      <c r="I12" s="94">
        <v>250000</v>
      </c>
      <c r="J12" s="26"/>
      <c r="K12" s="94">
        <v>250000</v>
      </c>
      <c r="L12" s="94">
        <v>250000</v>
      </c>
      <c r="M12" s="94">
        <v>250000</v>
      </c>
      <c r="N12" s="94">
        <v>250000</v>
      </c>
      <c r="O12" s="94">
        <v>250000</v>
      </c>
      <c r="P12" s="110">
        <v>250000</v>
      </c>
      <c r="Q12" s="110">
        <v>250000</v>
      </c>
      <c r="R12" s="110">
        <v>250000</v>
      </c>
      <c r="S12" s="134">
        <v>250000</v>
      </c>
      <c r="T12" s="134">
        <v>250000</v>
      </c>
      <c r="U12" s="134">
        <v>250000</v>
      </c>
      <c r="V12" s="134">
        <v>250000</v>
      </c>
      <c r="W12" s="134">
        <v>250000</v>
      </c>
      <c r="X12" s="134">
        <v>250000</v>
      </c>
      <c r="Y12" s="134">
        <v>250000</v>
      </c>
      <c r="Z12" s="134">
        <v>250000</v>
      </c>
      <c r="AA12" s="134">
        <v>250000</v>
      </c>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58"/>
    </row>
    <row r="13" spans="1:50" s="25" customFormat="1">
      <c r="A13" s="58"/>
      <c r="B13" s="52" t="s">
        <v>401</v>
      </c>
      <c r="C13" s="52" t="s">
        <v>402</v>
      </c>
      <c r="D13" s="52" t="s">
        <v>270</v>
      </c>
      <c r="E13" s="57"/>
      <c r="F13" s="94">
        <v>28094000</v>
      </c>
      <c r="G13" s="94">
        <v>28094000</v>
      </c>
      <c r="H13" s="94">
        <v>28094000</v>
      </c>
      <c r="I13" s="94">
        <v>28094000</v>
      </c>
      <c r="J13" s="26"/>
      <c r="K13" s="94">
        <v>28094000</v>
      </c>
      <c r="L13" s="94">
        <v>28254000</v>
      </c>
      <c r="M13" s="94">
        <v>28254000</v>
      </c>
      <c r="N13" s="94">
        <v>28402000</v>
      </c>
      <c r="O13" s="94">
        <v>28402000</v>
      </c>
      <c r="P13" s="110">
        <v>28712000</v>
      </c>
      <c r="Q13" s="110">
        <v>28712000</v>
      </c>
      <c r="R13" s="110">
        <v>28946000</v>
      </c>
      <c r="S13" s="134">
        <v>28946000</v>
      </c>
      <c r="T13" s="94">
        <v>29179000</v>
      </c>
      <c r="U13" s="94">
        <v>29179000</v>
      </c>
      <c r="V13" s="94">
        <v>29179000</v>
      </c>
      <c r="W13" s="94">
        <v>29079000</v>
      </c>
      <c r="X13" s="94">
        <v>29079000</v>
      </c>
      <c r="Y13" s="94">
        <v>29079000</v>
      </c>
      <c r="Z13" s="94">
        <v>29079000</v>
      </c>
      <c r="AA13" s="94">
        <v>29240000</v>
      </c>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58"/>
    </row>
    <row r="14" spans="1:50" s="25" customFormat="1">
      <c r="A14" s="58"/>
      <c r="B14" s="52" t="s">
        <v>403</v>
      </c>
      <c r="C14" s="52" t="s">
        <v>402</v>
      </c>
      <c r="D14" s="52" t="s">
        <v>270</v>
      </c>
      <c r="E14" s="57"/>
      <c r="F14" s="94">
        <v>23714000</v>
      </c>
      <c r="G14" s="94">
        <v>23714000</v>
      </c>
      <c r="H14" s="94">
        <v>23714000</v>
      </c>
      <c r="I14" s="94">
        <v>23714000</v>
      </c>
      <c r="J14" s="26"/>
      <c r="K14" s="94">
        <v>23714000</v>
      </c>
      <c r="L14" s="94">
        <v>23915000</v>
      </c>
      <c r="M14" s="94">
        <v>23915000</v>
      </c>
      <c r="N14" s="94">
        <v>24177000</v>
      </c>
      <c r="O14" s="94">
        <v>24177000</v>
      </c>
      <c r="P14" s="110">
        <v>24096000</v>
      </c>
      <c r="Q14" s="110">
        <v>24096000</v>
      </c>
      <c r="R14" s="110">
        <v>24152000</v>
      </c>
      <c r="S14" s="134">
        <v>24152000</v>
      </c>
      <c r="T14" s="94">
        <v>24336000</v>
      </c>
      <c r="U14" s="94">
        <v>24336000</v>
      </c>
      <c r="V14" s="94">
        <v>24336000</v>
      </c>
      <c r="W14" s="94">
        <v>24504000</v>
      </c>
      <c r="X14" s="94">
        <v>24504000</v>
      </c>
      <c r="Y14" s="94">
        <v>24504000</v>
      </c>
      <c r="Z14" s="94">
        <v>24504000</v>
      </c>
      <c r="AA14" s="94">
        <v>24606000</v>
      </c>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58"/>
    </row>
    <row r="15" spans="1:50" s="25" customFormat="1">
      <c r="A15" s="58"/>
      <c r="B15" s="279" t="s">
        <v>276</v>
      </c>
      <c r="C15" s="280"/>
      <c r="D15" s="280"/>
      <c r="E15" s="280"/>
      <c r="F15" s="280"/>
      <c r="G15" s="280"/>
      <c r="H15" s="280"/>
      <c r="I15" s="280"/>
      <c r="J15" s="280"/>
      <c r="K15" s="280"/>
      <c r="L15" s="280"/>
      <c r="M15" s="280"/>
      <c r="N15" s="280"/>
      <c r="O15" s="280"/>
      <c r="P15" s="280"/>
      <c r="Q15" s="280"/>
      <c r="R15" s="280"/>
      <c r="S15" s="280"/>
      <c r="T15" s="280"/>
      <c r="U15" s="281"/>
      <c r="V15" s="280"/>
      <c r="W15" s="280"/>
      <c r="X15" s="280"/>
      <c r="Y15" s="280"/>
      <c r="Z15" s="280"/>
      <c r="AA15" s="280"/>
      <c r="AB15" s="280"/>
      <c r="AC15" s="280"/>
      <c r="AD15" s="280"/>
      <c r="AE15" s="280"/>
      <c r="AF15" s="280"/>
      <c r="AG15" s="280"/>
      <c r="AH15" s="280"/>
      <c r="AI15" s="280"/>
      <c r="AJ15" s="280"/>
      <c r="AK15" s="280"/>
      <c r="AL15" s="280"/>
      <c r="AM15" s="280"/>
      <c r="AN15" s="280"/>
      <c r="AO15" s="281"/>
      <c r="AP15" s="280"/>
      <c r="AQ15" s="280"/>
      <c r="AR15" s="280"/>
      <c r="AS15" s="280"/>
      <c r="AT15" s="280"/>
      <c r="AU15" s="280"/>
      <c r="AV15" s="280"/>
      <c r="AW15" s="281"/>
      <c r="AX15" s="58"/>
    </row>
    <row r="16" spans="1:50" s="25" customFormat="1">
      <c r="A16" s="58"/>
      <c r="B16" s="52" t="s">
        <v>281</v>
      </c>
      <c r="C16" s="233"/>
      <c r="D16" s="52" t="s">
        <v>274</v>
      </c>
      <c r="E16" s="57"/>
      <c r="F16" s="100">
        <f>IFERROR(F$13/SUM(F$13:F$14),"")</f>
        <v>0.54227146386658431</v>
      </c>
      <c r="G16" s="100">
        <f>IFERROR(G$13/SUM(G$13:G$14),"")</f>
        <v>0.54227146386658431</v>
      </c>
      <c r="H16" s="100">
        <f>IFERROR(H$13/SUM(H$13:H$14),"")</f>
        <v>0.54227146386658431</v>
      </c>
      <c r="I16" s="100">
        <f>IFERROR(I$13/SUM(I$13:I$14),"")</f>
        <v>0.54227146386658431</v>
      </c>
      <c r="J16" s="26"/>
      <c r="K16" s="100">
        <f>IFERROR(K$13/SUM(K$13:K$14),"")</f>
        <v>0.54227146386658431</v>
      </c>
      <c r="L16" s="100">
        <f>IFERROR(L$13/SUM(L$13:L$14),"")</f>
        <v>0.54158599934827201</v>
      </c>
      <c r="M16" s="100">
        <f t="shared" ref="M16:AW16" si="0">IFERROR(M$13/SUM(M$13:M$14),"")</f>
        <v>0.54158599934827201</v>
      </c>
      <c r="N16" s="100">
        <f>IFERROR(N$13/SUM(N$13:N$14),"")</f>
        <v>0.54017763745982239</v>
      </c>
      <c r="O16" s="100">
        <f t="shared" si="0"/>
        <v>0.54017763745982239</v>
      </c>
      <c r="P16" s="100">
        <f t="shared" si="0"/>
        <v>0.54370549916679289</v>
      </c>
      <c r="Q16" s="100">
        <f t="shared" si="0"/>
        <v>0.54370549916679289</v>
      </c>
      <c r="R16" s="100">
        <f t="shared" si="0"/>
        <v>0.54514294323703338</v>
      </c>
      <c r="S16" s="100">
        <f t="shared" si="0"/>
        <v>0.54514294323703338</v>
      </c>
      <c r="T16" s="100">
        <f>IFERROR(T$13/SUM(T$13:T$14),"")</f>
        <v>0.54524899560870788</v>
      </c>
      <c r="U16" s="100">
        <f>IFERROR(U$13/SUM(U$13:U$14),"")</f>
        <v>0.54524899560870788</v>
      </c>
      <c r="V16" s="100">
        <f t="shared" si="0"/>
        <v>0.54524899560870788</v>
      </c>
      <c r="W16" s="100">
        <f t="shared" si="0"/>
        <v>0.54269077879178096</v>
      </c>
      <c r="X16" s="100">
        <f t="shared" si="0"/>
        <v>0.54269077879178096</v>
      </c>
      <c r="Y16" s="100">
        <f t="shared" si="0"/>
        <v>0.54269077879178096</v>
      </c>
      <c r="Z16" s="100">
        <f t="shared" si="0"/>
        <v>0.54269077879178096</v>
      </c>
      <c r="AA16" s="100">
        <f t="shared" si="0"/>
        <v>0.5430301229432084</v>
      </c>
      <c r="AB16" s="100" t="str">
        <f t="shared" si="0"/>
        <v/>
      </c>
      <c r="AC16" s="100" t="str">
        <f t="shared" si="0"/>
        <v/>
      </c>
      <c r="AD16" s="100" t="str">
        <f t="shared" si="0"/>
        <v/>
      </c>
      <c r="AE16" s="100" t="str">
        <f t="shared" si="0"/>
        <v/>
      </c>
      <c r="AF16" s="100" t="str">
        <f t="shared" si="0"/>
        <v/>
      </c>
      <c r="AG16" s="100" t="str">
        <f t="shared" si="0"/>
        <v/>
      </c>
      <c r="AH16" s="100" t="str">
        <f t="shared" si="0"/>
        <v/>
      </c>
      <c r="AI16" s="100" t="str">
        <f t="shared" si="0"/>
        <v/>
      </c>
      <c r="AJ16" s="100" t="str">
        <f t="shared" si="0"/>
        <v/>
      </c>
      <c r="AK16" s="100" t="str">
        <f t="shared" si="0"/>
        <v/>
      </c>
      <c r="AL16" s="100" t="str">
        <f t="shared" si="0"/>
        <v/>
      </c>
      <c r="AM16" s="100" t="str">
        <f t="shared" si="0"/>
        <v/>
      </c>
      <c r="AN16" s="100" t="str">
        <f t="shared" si="0"/>
        <v/>
      </c>
      <c r="AO16" s="100" t="str">
        <f t="shared" si="0"/>
        <v/>
      </c>
      <c r="AP16" s="100" t="str">
        <f t="shared" si="0"/>
        <v/>
      </c>
      <c r="AQ16" s="100" t="str">
        <f t="shared" si="0"/>
        <v/>
      </c>
      <c r="AR16" s="100" t="str">
        <f t="shared" si="0"/>
        <v/>
      </c>
      <c r="AS16" s="100" t="str">
        <f t="shared" si="0"/>
        <v/>
      </c>
      <c r="AT16" s="100" t="str">
        <f t="shared" si="0"/>
        <v/>
      </c>
      <c r="AU16" s="100" t="str">
        <f t="shared" si="0"/>
        <v/>
      </c>
      <c r="AV16" s="100" t="str">
        <f t="shared" si="0"/>
        <v/>
      </c>
      <c r="AW16" s="100" t="str">
        <f t="shared" si="0"/>
        <v/>
      </c>
      <c r="AX16" s="58"/>
    </row>
    <row r="17" spans="1:50" s="25" customFormat="1">
      <c r="A17" s="58"/>
      <c r="B17" s="52" t="s">
        <v>282</v>
      </c>
      <c r="C17" s="258"/>
      <c r="D17" s="52" t="s">
        <v>274</v>
      </c>
      <c r="E17" s="57"/>
      <c r="F17" s="100">
        <f>IFERROR(F14/SUM(F$13:F$14),"")</f>
        <v>0.45772853613341569</v>
      </c>
      <c r="G17" s="100">
        <f>IFERROR(G14/SUM(G$13:G$14),"")</f>
        <v>0.45772853613341569</v>
      </c>
      <c r="H17" s="100">
        <f>IFERROR(H14/SUM(H$13:H$14),"")</f>
        <v>0.45772853613341569</v>
      </c>
      <c r="I17" s="100">
        <f>IFERROR(I14/SUM(I$13:I$14),"")</f>
        <v>0.45772853613341569</v>
      </c>
      <c r="J17" s="26"/>
      <c r="K17" s="100">
        <f t="shared" ref="K17:U17" si="1">IFERROR(K14/SUM(K$13:K$14),"")</f>
        <v>0.45772853613341569</v>
      </c>
      <c r="L17" s="100">
        <f t="shared" si="1"/>
        <v>0.45841400065172805</v>
      </c>
      <c r="M17" s="100">
        <f t="shared" si="1"/>
        <v>0.45841400065172805</v>
      </c>
      <c r="N17" s="100">
        <f>IFERROR(N14/SUM(N$13:N$14),"")</f>
        <v>0.45982236254017766</v>
      </c>
      <c r="O17" s="100">
        <f t="shared" si="1"/>
        <v>0.45982236254017766</v>
      </c>
      <c r="P17" s="100">
        <f t="shared" si="1"/>
        <v>0.45629450083320711</v>
      </c>
      <c r="Q17" s="100">
        <f t="shared" si="1"/>
        <v>0.45629450083320711</v>
      </c>
      <c r="R17" s="100">
        <f t="shared" si="1"/>
        <v>0.45485705676296662</v>
      </c>
      <c r="S17" s="100">
        <f t="shared" si="1"/>
        <v>0.45485705676296662</v>
      </c>
      <c r="T17" s="100">
        <f t="shared" si="1"/>
        <v>0.45475100439129218</v>
      </c>
      <c r="U17" s="100">
        <f t="shared" si="1"/>
        <v>0.45475100439129218</v>
      </c>
      <c r="V17" s="100">
        <f t="shared" ref="V17:AW17" si="2">IFERROR(V14/SUM(V$13:V$14),"")</f>
        <v>0.45475100439129218</v>
      </c>
      <c r="W17" s="100">
        <f t="shared" si="2"/>
        <v>0.45730922120821904</v>
      </c>
      <c r="X17" s="100">
        <f t="shared" si="2"/>
        <v>0.45730922120821904</v>
      </c>
      <c r="Y17" s="100">
        <f t="shared" si="2"/>
        <v>0.45730922120821904</v>
      </c>
      <c r="Z17" s="100">
        <f t="shared" si="2"/>
        <v>0.45730922120821904</v>
      </c>
      <c r="AA17" s="100">
        <f t="shared" si="2"/>
        <v>0.4569698770567916</v>
      </c>
      <c r="AB17" s="100" t="str">
        <f t="shared" si="2"/>
        <v/>
      </c>
      <c r="AC17" s="100" t="str">
        <f t="shared" si="2"/>
        <v/>
      </c>
      <c r="AD17" s="100" t="str">
        <f t="shared" si="2"/>
        <v/>
      </c>
      <c r="AE17" s="100" t="str">
        <f t="shared" si="2"/>
        <v/>
      </c>
      <c r="AF17" s="100" t="str">
        <f t="shared" si="2"/>
        <v/>
      </c>
      <c r="AG17" s="100" t="str">
        <f t="shared" si="2"/>
        <v/>
      </c>
      <c r="AH17" s="100" t="str">
        <f t="shared" si="2"/>
        <v/>
      </c>
      <c r="AI17" s="100" t="str">
        <f t="shared" si="2"/>
        <v/>
      </c>
      <c r="AJ17" s="100" t="str">
        <f t="shared" si="2"/>
        <v/>
      </c>
      <c r="AK17" s="100" t="str">
        <f t="shared" si="2"/>
        <v/>
      </c>
      <c r="AL17" s="100" t="str">
        <f t="shared" si="2"/>
        <v/>
      </c>
      <c r="AM17" s="100" t="str">
        <f t="shared" si="2"/>
        <v/>
      </c>
      <c r="AN17" s="100" t="str">
        <f t="shared" si="2"/>
        <v/>
      </c>
      <c r="AO17" s="100" t="str">
        <f t="shared" si="2"/>
        <v/>
      </c>
      <c r="AP17" s="100" t="str">
        <f t="shared" si="2"/>
        <v/>
      </c>
      <c r="AQ17" s="100" t="str">
        <f t="shared" si="2"/>
        <v/>
      </c>
      <c r="AR17" s="100" t="str">
        <f t="shared" si="2"/>
        <v/>
      </c>
      <c r="AS17" s="100" t="str">
        <f t="shared" si="2"/>
        <v/>
      </c>
      <c r="AT17" s="100" t="str">
        <f t="shared" si="2"/>
        <v/>
      </c>
      <c r="AU17" s="100" t="str">
        <f t="shared" si="2"/>
        <v/>
      </c>
      <c r="AV17" s="100" t="str">
        <f t="shared" si="2"/>
        <v/>
      </c>
      <c r="AW17" s="100" t="str">
        <f t="shared" si="2"/>
        <v/>
      </c>
      <c r="AX17" s="58"/>
    </row>
    <row r="18" spans="1:50" s="25" customFormat="1">
      <c r="A18" s="58"/>
      <c r="B18" s="52" t="s">
        <v>290</v>
      </c>
      <c r="C18" s="258"/>
      <c r="D18" s="52" t="s">
        <v>265</v>
      </c>
      <c r="E18" s="57"/>
      <c r="F18" s="101">
        <f>IFERROR(F12*F16/F13,0)</f>
        <v>4.8255095738109948E-3</v>
      </c>
      <c r="G18" s="101">
        <f>IFERROR(G12*G16/G13,0)</f>
        <v>4.8255095738109948E-3</v>
      </c>
      <c r="H18" s="101">
        <f>IFERROR(H12*H16/H13,0)</f>
        <v>4.8255095738109948E-3</v>
      </c>
      <c r="I18" s="101">
        <f>IFERROR(I12*I16/I13,0)</f>
        <v>4.8255095738109948E-3</v>
      </c>
      <c r="J18" s="26"/>
      <c r="K18" s="101">
        <f>IFERROR(K12*K16/K13,0)</f>
        <v>4.8255095738109948E-3</v>
      </c>
      <c r="L18" s="101">
        <f>IFERROR(L12*L16/L13,0)</f>
        <v>4.792117924437885E-3</v>
      </c>
      <c r="M18" s="101">
        <f>IFERROR(M12*M16/M13,0)</f>
        <v>4.792117924437885E-3</v>
      </c>
      <c r="N18" s="101">
        <f>IFERROR(N12*N16/N13,0)</f>
        <v>4.7547499952452499E-3</v>
      </c>
      <c r="O18" s="101">
        <f t="shared" ref="O18:T18" si="3">IFERROR(O12*O16/O13,0)</f>
        <v>4.7547499952452499E-3</v>
      </c>
      <c r="P18" s="101">
        <f t="shared" si="3"/>
        <v>4.7341311922435986E-3</v>
      </c>
      <c r="Q18" s="101">
        <f t="shared" si="3"/>
        <v>4.7341311922435986E-3</v>
      </c>
      <c r="R18" s="101">
        <f t="shared" si="3"/>
        <v>4.7082752646050701E-3</v>
      </c>
      <c r="S18" s="101">
        <f t="shared" si="3"/>
        <v>4.7082752646050701E-3</v>
      </c>
      <c r="T18" s="101">
        <f t="shared" si="3"/>
        <v>4.6715874054003553E-3</v>
      </c>
      <c r="U18" s="101">
        <f>IFERROR(U12*U16/U13,0)</f>
        <v>4.6715874054003553E-3</v>
      </c>
      <c r="V18" s="101">
        <f t="shared" ref="V18:AW18" si="4">IFERROR(V12*V16/V13,0)</f>
        <v>4.6715874054003553E-3</v>
      </c>
      <c r="W18" s="101">
        <f t="shared" si="4"/>
        <v>4.6656588843476468E-3</v>
      </c>
      <c r="X18" s="101">
        <f t="shared" si="4"/>
        <v>4.6656588843476468E-3</v>
      </c>
      <c r="Y18" s="101">
        <f t="shared" si="4"/>
        <v>4.6656588843476468E-3</v>
      </c>
      <c r="Z18" s="101">
        <f t="shared" si="4"/>
        <v>4.6656588843476468E-3</v>
      </c>
      <c r="AA18" s="101">
        <f t="shared" si="4"/>
        <v>4.6428704082011668E-3</v>
      </c>
      <c r="AB18" s="101">
        <f t="shared" si="4"/>
        <v>0</v>
      </c>
      <c r="AC18" s="101">
        <f t="shared" si="4"/>
        <v>0</v>
      </c>
      <c r="AD18" s="101">
        <f t="shared" si="4"/>
        <v>0</v>
      </c>
      <c r="AE18" s="101">
        <f t="shared" si="4"/>
        <v>0</v>
      </c>
      <c r="AF18" s="101">
        <f t="shared" si="4"/>
        <v>0</v>
      </c>
      <c r="AG18" s="101">
        <f t="shared" si="4"/>
        <v>0</v>
      </c>
      <c r="AH18" s="101">
        <f t="shared" si="4"/>
        <v>0</v>
      </c>
      <c r="AI18" s="101">
        <f t="shared" si="4"/>
        <v>0</v>
      </c>
      <c r="AJ18" s="101">
        <f t="shared" si="4"/>
        <v>0</v>
      </c>
      <c r="AK18" s="101">
        <f t="shared" si="4"/>
        <v>0</v>
      </c>
      <c r="AL18" s="101">
        <f t="shared" si="4"/>
        <v>0</v>
      </c>
      <c r="AM18" s="101">
        <f t="shared" si="4"/>
        <v>0</v>
      </c>
      <c r="AN18" s="101">
        <f t="shared" si="4"/>
        <v>0</v>
      </c>
      <c r="AO18" s="101">
        <f t="shared" si="4"/>
        <v>0</v>
      </c>
      <c r="AP18" s="101">
        <f t="shared" si="4"/>
        <v>0</v>
      </c>
      <c r="AQ18" s="101">
        <f t="shared" si="4"/>
        <v>0</v>
      </c>
      <c r="AR18" s="101">
        <f t="shared" si="4"/>
        <v>0</v>
      </c>
      <c r="AS18" s="101">
        <f t="shared" si="4"/>
        <v>0</v>
      </c>
      <c r="AT18" s="101">
        <f t="shared" si="4"/>
        <v>0</v>
      </c>
      <c r="AU18" s="101">
        <f t="shared" si="4"/>
        <v>0</v>
      </c>
      <c r="AV18" s="101">
        <f t="shared" si="4"/>
        <v>0</v>
      </c>
      <c r="AW18" s="101">
        <f t="shared" si="4"/>
        <v>0</v>
      </c>
      <c r="AX18" s="58"/>
    </row>
    <row r="19" spans="1:50" s="25" customFormat="1">
      <c r="A19" s="58"/>
      <c r="B19" s="52" t="s">
        <v>291</v>
      </c>
      <c r="C19" s="234"/>
      <c r="D19" s="52" t="s">
        <v>265</v>
      </c>
      <c r="E19" s="57"/>
      <c r="F19" s="101">
        <f>IFERROR(F12*F17/F14,0)</f>
        <v>4.8255095738109948E-3</v>
      </c>
      <c r="G19" s="101">
        <f>IFERROR(G12*G17/G14,0)</f>
        <v>4.8255095738109948E-3</v>
      </c>
      <c r="H19" s="101">
        <f>IFERROR(H12*H17/H14,0)</f>
        <v>4.8255095738109948E-3</v>
      </c>
      <c r="I19" s="101">
        <f>IFERROR(I12*I17/I14,0)</f>
        <v>4.8255095738109948E-3</v>
      </c>
      <c r="J19" s="26"/>
      <c r="K19" s="101">
        <f>IFERROR(K12*K17/K14,0)</f>
        <v>4.8255095738109948E-3</v>
      </c>
      <c r="L19" s="101">
        <f>IFERROR(L12*L17/L14,0)</f>
        <v>4.792117924437885E-3</v>
      </c>
      <c r="M19" s="101">
        <f>IFERROR(M12*M17/M14,0)</f>
        <v>4.792117924437885E-3</v>
      </c>
      <c r="N19" s="101">
        <f>IFERROR(N12*N17/N14,0)</f>
        <v>4.7547499952452499E-3</v>
      </c>
      <c r="O19" s="101">
        <f t="shared" ref="O19:U19" si="5">IFERROR(O12*O17/O14,0)</f>
        <v>4.7547499952452499E-3</v>
      </c>
      <c r="P19" s="101">
        <f t="shared" si="5"/>
        <v>4.7341311922435994E-3</v>
      </c>
      <c r="Q19" s="101">
        <f t="shared" si="5"/>
        <v>4.7341311922435994E-3</v>
      </c>
      <c r="R19" s="101">
        <f t="shared" si="5"/>
        <v>4.7082752646050701E-3</v>
      </c>
      <c r="S19" s="101">
        <f t="shared" si="5"/>
        <v>4.7082752646050701E-3</v>
      </c>
      <c r="T19" s="101">
        <f t="shared" si="5"/>
        <v>4.6715874054003553E-3</v>
      </c>
      <c r="U19" s="101">
        <f t="shared" si="5"/>
        <v>4.6715874054003553E-3</v>
      </c>
      <c r="V19" s="101">
        <f t="shared" ref="V19:AW19" si="6">IFERROR(V12*V17/V14,0)</f>
        <v>4.6715874054003553E-3</v>
      </c>
      <c r="W19" s="101">
        <f t="shared" si="6"/>
        <v>4.6656588843476477E-3</v>
      </c>
      <c r="X19" s="101">
        <f t="shared" si="6"/>
        <v>4.6656588843476477E-3</v>
      </c>
      <c r="Y19" s="101">
        <f t="shared" si="6"/>
        <v>4.6656588843476477E-3</v>
      </c>
      <c r="Z19" s="101">
        <f t="shared" si="6"/>
        <v>4.6656588843476477E-3</v>
      </c>
      <c r="AA19" s="101">
        <f t="shared" si="6"/>
        <v>4.6428704082011668E-3</v>
      </c>
      <c r="AB19" s="101">
        <f t="shared" si="6"/>
        <v>0</v>
      </c>
      <c r="AC19" s="101">
        <f t="shared" si="6"/>
        <v>0</v>
      </c>
      <c r="AD19" s="101">
        <f t="shared" si="6"/>
        <v>0</v>
      </c>
      <c r="AE19" s="101">
        <f t="shared" si="6"/>
        <v>0</v>
      </c>
      <c r="AF19" s="101">
        <f t="shared" si="6"/>
        <v>0</v>
      </c>
      <c r="AG19" s="101">
        <f t="shared" si="6"/>
        <v>0</v>
      </c>
      <c r="AH19" s="101">
        <f t="shared" si="6"/>
        <v>0</v>
      </c>
      <c r="AI19" s="101">
        <f t="shared" si="6"/>
        <v>0</v>
      </c>
      <c r="AJ19" s="101">
        <f t="shared" si="6"/>
        <v>0</v>
      </c>
      <c r="AK19" s="101">
        <f t="shared" si="6"/>
        <v>0</v>
      </c>
      <c r="AL19" s="101">
        <f t="shared" si="6"/>
        <v>0</v>
      </c>
      <c r="AM19" s="101">
        <f t="shared" si="6"/>
        <v>0</v>
      </c>
      <c r="AN19" s="101">
        <f t="shared" si="6"/>
        <v>0</v>
      </c>
      <c r="AO19" s="101">
        <f t="shared" si="6"/>
        <v>0</v>
      </c>
      <c r="AP19" s="101">
        <f t="shared" si="6"/>
        <v>0</v>
      </c>
      <c r="AQ19" s="101">
        <f t="shared" si="6"/>
        <v>0</v>
      </c>
      <c r="AR19" s="101">
        <f t="shared" si="6"/>
        <v>0</v>
      </c>
      <c r="AS19" s="101">
        <f t="shared" si="6"/>
        <v>0</v>
      </c>
      <c r="AT19" s="101">
        <f t="shared" si="6"/>
        <v>0</v>
      </c>
      <c r="AU19" s="101">
        <f t="shared" si="6"/>
        <v>0</v>
      </c>
      <c r="AV19" s="101">
        <f t="shared" si="6"/>
        <v>0</v>
      </c>
      <c r="AW19" s="101">
        <f t="shared" si="6"/>
        <v>0</v>
      </c>
      <c r="AX19" s="58"/>
    </row>
    <row r="20" spans="1:50" s="25" customFormat="1">
      <c r="A20" s="58"/>
      <c r="B20" s="279" t="s">
        <v>292</v>
      </c>
      <c r="C20" s="280"/>
      <c r="D20" s="280"/>
      <c r="E20" s="280"/>
      <c r="F20" s="280"/>
      <c r="G20" s="280"/>
      <c r="H20" s="280"/>
      <c r="I20" s="280"/>
      <c r="J20" s="280"/>
      <c r="K20" s="280"/>
      <c r="L20" s="280"/>
      <c r="M20" s="280"/>
      <c r="N20" s="280"/>
      <c r="O20" s="280"/>
      <c r="P20" s="280"/>
      <c r="Q20" s="280"/>
      <c r="R20" s="280"/>
      <c r="S20" s="280"/>
      <c r="T20" s="280"/>
      <c r="U20" s="281"/>
      <c r="V20" s="280"/>
      <c r="W20" s="280"/>
      <c r="X20" s="280"/>
      <c r="Y20" s="280"/>
      <c r="Z20" s="280"/>
      <c r="AA20" s="280"/>
      <c r="AB20" s="280"/>
      <c r="AC20" s="280"/>
      <c r="AD20" s="280"/>
      <c r="AE20" s="280"/>
      <c r="AF20" s="280"/>
      <c r="AG20" s="280"/>
      <c r="AH20" s="280"/>
      <c r="AI20" s="280"/>
      <c r="AJ20" s="280"/>
      <c r="AK20" s="280"/>
      <c r="AL20" s="280"/>
      <c r="AM20" s="280"/>
      <c r="AN20" s="280"/>
      <c r="AO20" s="281"/>
      <c r="AP20" s="280"/>
      <c r="AQ20" s="280"/>
      <c r="AR20" s="280"/>
      <c r="AS20" s="280"/>
      <c r="AT20" s="280"/>
      <c r="AU20" s="280"/>
      <c r="AV20" s="280"/>
      <c r="AW20" s="281"/>
      <c r="AX20" s="58"/>
    </row>
    <row r="21" spans="1:50" s="25" customFormat="1">
      <c r="A21" s="58"/>
      <c r="B21" s="52" t="s">
        <v>404</v>
      </c>
      <c r="C21" s="52"/>
      <c r="D21" s="52" t="s">
        <v>265</v>
      </c>
      <c r="E21" s="52"/>
      <c r="F21" s="103">
        <f>F18+F19</f>
        <v>9.6510191476219895E-3</v>
      </c>
      <c r="G21" s="103">
        <f>G18+G19</f>
        <v>9.6510191476219895E-3</v>
      </c>
      <c r="H21" s="103">
        <f>H18+H19</f>
        <v>9.6510191476219895E-3</v>
      </c>
      <c r="I21" s="103">
        <f>I18+I19</f>
        <v>9.6510191476219895E-3</v>
      </c>
      <c r="J21" s="161"/>
      <c r="K21" s="103">
        <f t="shared" ref="K21:AW21" si="7">K18+K19</f>
        <v>9.6510191476219895E-3</v>
      </c>
      <c r="L21" s="103">
        <f t="shared" si="7"/>
        <v>9.58423584887577E-3</v>
      </c>
      <c r="M21" s="103">
        <f t="shared" si="7"/>
        <v>9.58423584887577E-3</v>
      </c>
      <c r="N21" s="103">
        <f>N18+N19</f>
        <v>9.5094999904904998E-3</v>
      </c>
      <c r="O21" s="103">
        <f t="shared" si="7"/>
        <v>9.5094999904904998E-3</v>
      </c>
      <c r="P21" s="103">
        <f t="shared" si="7"/>
        <v>9.4682623844871971E-3</v>
      </c>
      <c r="Q21" s="103">
        <f t="shared" si="7"/>
        <v>9.4682623844871971E-3</v>
      </c>
      <c r="R21" s="103">
        <f t="shared" si="7"/>
        <v>9.4165505292101402E-3</v>
      </c>
      <c r="S21" s="103">
        <f t="shared" si="7"/>
        <v>9.4165505292101402E-3</v>
      </c>
      <c r="T21" s="103">
        <f t="shared" si="7"/>
        <v>9.3431748108007105E-3</v>
      </c>
      <c r="U21" s="103">
        <f t="shared" si="7"/>
        <v>9.3431748108007105E-3</v>
      </c>
      <c r="V21" s="103">
        <f t="shared" si="7"/>
        <v>9.3431748108007105E-3</v>
      </c>
      <c r="W21" s="103">
        <f t="shared" si="7"/>
        <v>9.3313177686952936E-3</v>
      </c>
      <c r="X21" s="103">
        <f t="shared" si="7"/>
        <v>9.3313177686952936E-3</v>
      </c>
      <c r="Y21" s="103">
        <f t="shared" si="7"/>
        <v>9.3313177686952936E-3</v>
      </c>
      <c r="Z21" s="103">
        <f t="shared" si="7"/>
        <v>9.3313177686952936E-3</v>
      </c>
      <c r="AA21" s="103">
        <f t="shared" si="7"/>
        <v>9.2857408164023336E-3</v>
      </c>
      <c r="AB21" s="103">
        <f t="shared" si="7"/>
        <v>0</v>
      </c>
      <c r="AC21" s="103">
        <f t="shared" si="7"/>
        <v>0</v>
      </c>
      <c r="AD21" s="103">
        <f t="shared" si="7"/>
        <v>0</v>
      </c>
      <c r="AE21" s="103">
        <f t="shared" si="7"/>
        <v>0</v>
      </c>
      <c r="AF21" s="103">
        <f t="shared" si="7"/>
        <v>0</v>
      </c>
      <c r="AG21" s="103">
        <f t="shared" si="7"/>
        <v>0</v>
      </c>
      <c r="AH21" s="103">
        <f t="shared" si="7"/>
        <v>0</v>
      </c>
      <c r="AI21" s="103">
        <f t="shared" si="7"/>
        <v>0</v>
      </c>
      <c r="AJ21" s="103">
        <f t="shared" si="7"/>
        <v>0</v>
      </c>
      <c r="AK21" s="103">
        <f t="shared" si="7"/>
        <v>0</v>
      </c>
      <c r="AL21" s="103">
        <f t="shared" si="7"/>
        <v>0</v>
      </c>
      <c r="AM21" s="103">
        <f t="shared" si="7"/>
        <v>0</v>
      </c>
      <c r="AN21" s="103">
        <f t="shared" si="7"/>
        <v>0</v>
      </c>
      <c r="AO21" s="103">
        <f t="shared" si="7"/>
        <v>0</v>
      </c>
      <c r="AP21" s="103">
        <f t="shared" si="7"/>
        <v>0</v>
      </c>
      <c r="AQ21" s="103">
        <f t="shared" si="7"/>
        <v>0</v>
      </c>
      <c r="AR21" s="103">
        <f t="shared" si="7"/>
        <v>0</v>
      </c>
      <c r="AS21" s="103">
        <f t="shared" si="7"/>
        <v>0</v>
      </c>
      <c r="AT21" s="103">
        <f t="shared" si="7"/>
        <v>0</v>
      </c>
      <c r="AU21" s="103">
        <f t="shared" si="7"/>
        <v>0</v>
      </c>
      <c r="AV21" s="103">
        <f t="shared" si="7"/>
        <v>0</v>
      </c>
      <c r="AW21" s="103">
        <f t="shared" si="7"/>
        <v>0</v>
      </c>
      <c r="AX21" s="58"/>
    </row>
    <row r="22" spans="1:50">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row>
    <row r="23" spans="1:50">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row>
    <row r="24" spans="1:50">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row>
    <row r="25" spans="1:50">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row>
    <row r="26" spans="1:50" ht="65.25" customHeight="1">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row>
    <row r="27" spans="1:50" ht="31.5" customHeight="1">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row>
    <row r="28" spans="1:50" ht="17.25" customHeight="1">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row>
    <row r="29" spans="1:50" ht="54" customHeight="1">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row>
    <row r="30" spans="1:50">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row>
    <row r="31" spans="1:50">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row>
  </sheetData>
  <mergeCells count="17">
    <mergeCell ref="V20:AO20"/>
    <mergeCell ref="AP20:AW20"/>
    <mergeCell ref="B11:AW11"/>
    <mergeCell ref="B20:U20"/>
    <mergeCell ref="F6:I6"/>
    <mergeCell ref="F7:I7"/>
    <mergeCell ref="B3:E3"/>
    <mergeCell ref="C16:C19"/>
    <mergeCell ref="B6:B10"/>
    <mergeCell ref="C6:C10"/>
    <mergeCell ref="D6:D10"/>
    <mergeCell ref="E6:E7"/>
    <mergeCell ref="B15:U15"/>
    <mergeCell ref="K6:AW6"/>
    <mergeCell ref="K7:AW7"/>
    <mergeCell ref="V15:AO15"/>
    <mergeCell ref="AP15:AW15"/>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5050"/>
    <pageSetUpPr autoPageBreaks="0"/>
  </sheetPr>
  <dimension ref="A1:DA437"/>
  <sheetViews>
    <sheetView zoomScaleNormal="100" workbookViewId="0"/>
  </sheetViews>
  <sheetFormatPr defaultColWidth="0" defaultRowHeight="12.75"/>
  <cols>
    <col min="1" max="1" width="10" style="12" customWidth="1"/>
    <col min="2" max="2" width="47" style="12" customWidth="1"/>
    <col min="3" max="10" width="17.5703125" style="12" customWidth="1"/>
    <col min="11" max="11" width="1.42578125" style="12" customWidth="1"/>
    <col min="12" max="50" width="17.5703125" style="12" customWidth="1"/>
    <col min="51" max="51" width="10" style="12" customWidth="1"/>
    <col min="52" max="105" width="0" style="12" hidden="1" customWidth="1"/>
    <col min="106" max="16384" width="10" style="12" hidden="1"/>
  </cols>
  <sheetData>
    <row r="1" spans="1:104" s="8" customFormat="1" ht="12.4"/>
    <row r="2" spans="1:104" s="8" customFormat="1" ht="17.649999999999999">
      <c r="B2" s="9" t="s">
        <v>405</v>
      </c>
      <c r="C2" s="9"/>
      <c r="D2" s="9"/>
      <c r="E2" s="9"/>
      <c r="F2" s="9"/>
      <c r="G2" s="9"/>
      <c r="H2" s="9"/>
      <c r="I2" s="9"/>
      <c r="Q2" s="9"/>
    </row>
    <row r="3" spans="1:104" s="8" customFormat="1" ht="12.75" customHeight="1">
      <c r="B3" s="292" t="s">
        <v>406</v>
      </c>
      <c r="C3" s="293"/>
      <c r="D3" s="293"/>
      <c r="E3" s="293"/>
      <c r="F3" s="293"/>
      <c r="G3" s="293"/>
      <c r="H3" s="293"/>
      <c r="I3" s="293"/>
      <c r="J3" s="293"/>
      <c r="K3" s="293"/>
      <c r="L3" s="293"/>
      <c r="M3" s="293"/>
      <c r="N3" s="293"/>
      <c r="O3" s="293"/>
      <c r="P3" s="293"/>
      <c r="Q3" s="293"/>
      <c r="R3" s="293"/>
      <c r="S3" s="10"/>
      <c r="T3" s="10"/>
      <c r="U3" s="10"/>
      <c r="V3" s="10"/>
      <c r="W3" s="10"/>
      <c r="X3" s="10"/>
      <c r="Y3" s="10"/>
      <c r="Z3" s="10"/>
      <c r="AA3" s="10"/>
    </row>
    <row r="4" spans="1:104" s="8" customFormat="1" ht="12.4"/>
    <row r="5" spans="1:104" s="11" customFormat="1" ht="12.4"/>
    <row r="7" spans="1:104" s="13" customFormat="1" ht="13.15">
      <c r="B7" s="14" t="s">
        <v>292</v>
      </c>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row>
    <row r="9" spans="1:104" s="15" customFormat="1">
      <c r="A9" s="12"/>
      <c r="B9" s="38" t="s">
        <v>407</v>
      </c>
      <c r="C9" s="39">
        <f>G16</f>
        <v>102.2</v>
      </c>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row>
    <row r="10" spans="1:104" s="16" customFormat="1">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row>
    <row r="11" spans="1:104" s="18" customFormat="1" ht="12.75" customHeight="1">
      <c r="A11" s="17"/>
      <c r="B11" s="309"/>
      <c r="C11" s="282" t="s">
        <v>105</v>
      </c>
      <c r="D11" s="283"/>
      <c r="E11" s="283"/>
      <c r="F11" s="283"/>
      <c r="G11" s="283"/>
      <c r="H11" s="283"/>
      <c r="I11" s="283"/>
      <c r="J11" s="284"/>
      <c r="K11" s="31"/>
      <c r="L11" s="282" t="s">
        <v>106</v>
      </c>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4"/>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row>
    <row r="12" spans="1:104" s="18" customFormat="1" ht="12.75" customHeight="1">
      <c r="A12" s="17"/>
      <c r="B12" s="309"/>
      <c r="C12" s="303" t="s">
        <v>260</v>
      </c>
      <c r="D12" s="304"/>
      <c r="E12" s="304"/>
      <c r="F12" s="304"/>
      <c r="G12" s="304"/>
      <c r="H12" s="304"/>
      <c r="I12" s="304"/>
      <c r="J12" s="305"/>
      <c r="K12" s="31"/>
      <c r="L12" s="303" t="s">
        <v>108</v>
      </c>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5"/>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row>
    <row r="13" spans="1:104" s="18" customFormat="1" ht="12.4">
      <c r="A13" s="17"/>
      <c r="B13" s="32" t="s">
        <v>408</v>
      </c>
      <c r="C13" s="112" t="s">
        <v>409</v>
      </c>
      <c r="D13" s="112" t="s">
        <v>410</v>
      </c>
      <c r="E13" s="112" t="s">
        <v>411</v>
      </c>
      <c r="F13" s="112" t="s">
        <v>412</v>
      </c>
      <c r="G13" s="112" t="s">
        <v>413</v>
      </c>
      <c r="H13" s="112" t="s">
        <v>414</v>
      </c>
      <c r="I13" s="112" t="s">
        <v>415</v>
      </c>
      <c r="J13" s="112" t="s">
        <v>416</v>
      </c>
      <c r="K13" s="31"/>
      <c r="L13" s="159" t="s">
        <v>416</v>
      </c>
      <c r="M13" s="159" t="s">
        <v>417</v>
      </c>
      <c r="N13" s="159" t="s">
        <v>418</v>
      </c>
      <c r="O13" s="159" t="s">
        <v>419</v>
      </c>
      <c r="P13" s="159" t="s">
        <v>420</v>
      </c>
      <c r="Q13" s="159" t="s">
        <v>421</v>
      </c>
      <c r="R13" s="159" t="s">
        <v>422</v>
      </c>
      <c r="S13" s="159" t="s">
        <v>423</v>
      </c>
      <c r="T13" s="159" t="s">
        <v>424</v>
      </c>
      <c r="U13" s="159" t="s">
        <v>425</v>
      </c>
      <c r="V13" s="159" t="s">
        <v>426</v>
      </c>
      <c r="W13" s="159" t="s">
        <v>426</v>
      </c>
      <c r="X13" s="159" t="s">
        <v>427</v>
      </c>
      <c r="Y13" s="159" t="s">
        <v>427</v>
      </c>
      <c r="Z13" s="159" t="s">
        <v>428</v>
      </c>
      <c r="AA13" s="159" t="s">
        <v>428</v>
      </c>
      <c r="AB13" s="159" t="s">
        <v>429</v>
      </c>
      <c r="AC13" s="159" t="s">
        <v>429</v>
      </c>
      <c r="AD13" s="159" t="s">
        <v>430</v>
      </c>
      <c r="AE13" s="159" t="s">
        <v>430</v>
      </c>
      <c r="AF13" s="159" t="s">
        <v>431</v>
      </c>
      <c r="AG13" s="159" t="s">
        <v>431</v>
      </c>
      <c r="AH13" s="159" t="s">
        <v>432</v>
      </c>
      <c r="AI13" s="159" t="s">
        <v>432</v>
      </c>
      <c r="AJ13" s="159" t="s">
        <v>433</v>
      </c>
      <c r="AK13" s="159" t="s">
        <v>433</v>
      </c>
      <c r="AL13" s="159" t="s">
        <v>434</v>
      </c>
      <c r="AM13" s="159" t="s">
        <v>434</v>
      </c>
      <c r="AN13" s="159" t="s">
        <v>435</v>
      </c>
      <c r="AO13" s="159" t="s">
        <v>435</v>
      </c>
      <c r="AP13" s="159" t="s">
        <v>436</v>
      </c>
      <c r="AQ13" s="159" t="s">
        <v>436</v>
      </c>
      <c r="AR13" s="159" t="s">
        <v>437</v>
      </c>
      <c r="AS13" s="159" t="s">
        <v>437</v>
      </c>
      <c r="AT13" s="159" t="s">
        <v>438</v>
      </c>
      <c r="AU13" s="159" t="s">
        <v>438</v>
      </c>
      <c r="AV13" s="159" t="s">
        <v>439</v>
      </c>
      <c r="AW13" s="159" t="s">
        <v>439</v>
      </c>
      <c r="AX13" s="159" t="s">
        <v>440</v>
      </c>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row>
    <row r="14" spans="1:104" s="18" customFormat="1" ht="27" customHeight="1">
      <c r="A14" s="17"/>
      <c r="B14" s="113" t="s">
        <v>109</v>
      </c>
      <c r="C14" s="114" t="s">
        <v>441</v>
      </c>
      <c r="D14" s="114" t="s">
        <v>442</v>
      </c>
      <c r="E14" s="114" t="s">
        <v>443</v>
      </c>
      <c r="F14" s="114" t="s">
        <v>444</v>
      </c>
      <c r="G14" s="114" t="s">
        <v>110</v>
      </c>
      <c r="H14" s="115" t="s">
        <v>111</v>
      </c>
      <c r="I14" s="114" t="s">
        <v>112</v>
      </c>
      <c r="J14" s="114" t="s">
        <v>113</v>
      </c>
      <c r="K14" s="31"/>
      <c r="L14" s="70" t="s">
        <v>114</v>
      </c>
      <c r="M14" s="116" t="s">
        <v>115</v>
      </c>
      <c r="N14" s="116" t="s">
        <v>116</v>
      </c>
      <c r="O14" s="116" t="s">
        <v>117</v>
      </c>
      <c r="P14" s="116" t="s">
        <v>118</v>
      </c>
      <c r="Q14" s="116" t="s">
        <v>119</v>
      </c>
      <c r="R14" s="116" t="s">
        <v>120</v>
      </c>
      <c r="S14" s="116" t="s">
        <v>121</v>
      </c>
      <c r="T14" s="116" t="s">
        <v>122</v>
      </c>
      <c r="U14" s="116" t="s">
        <v>123</v>
      </c>
      <c r="V14" s="116" t="s">
        <v>124</v>
      </c>
      <c r="W14" s="116" t="s">
        <v>125</v>
      </c>
      <c r="X14" s="116" t="s">
        <v>126</v>
      </c>
      <c r="Y14" s="116" t="s">
        <v>127</v>
      </c>
      <c r="Z14" s="116" t="s">
        <v>128</v>
      </c>
      <c r="AA14" s="116" t="s">
        <v>129</v>
      </c>
      <c r="AB14" s="116" t="s">
        <v>130</v>
      </c>
      <c r="AC14" s="116" t="s">
        <v>131</v>
      </c>
      <c r="AD14" s="116" t="s">
        <v>132</v>
      </c>
      <c r="AE14" s="116" t="s">
        <v>133</v>
      </c>
      <c r="AF14" s="116" t="s">
        <v>134</v>
      </c>
      <c r="AG14" s="116" t="s">
        <v>135</v>
      </c>
      <c r="AH14" s="116" t="s">
        <v>136</v>
      </c>
      <c r="AI14" s="116" t="s">
        <v>137</v>
      </c>
      <c r="AJ14" s="116" t="s">
        <v>138</v>
      </c>
      <c r="AK14" s="116" t="s">
        <v>139</v>
      </c>
      <c r="AL14" s="116" t="s">
        <v>140</v>
      </c>
      <c r="AM14" s="116" t="s">
        <v>141</v>
      </c>
      <c r="AN14" s="116" t="s">
        <v>142</v>
      </c>
      <c r="AO14" s="116" t="s">
        <v>143</v>
      </c>
      <c r="AP14" s="116" t="s">
        <v>144</v>
      </c>
      <c r="AQ14" s="116" t="s">
        <v>145</v>
      </c>
      <c r="AR14" s="116" t="s">
        <v>146</v>
      </c>
      <c r="AS14" s="116" t="s">
        <v>147</v>
      </c>
      <c r="AT14" s="116" t="s">
        <v>148</v>
      </c>
      <c r="AU14" s="116" t="s">
        <v>149</v>
      </c>
      <c r="AV14" s="116" t="s">
        <v>150</v>
      </c>
      <c r="AW14" s="116" t="s">
        <v>151</v>
      </c>
      <c r="AX14" s="116" t="s">
        <v>152</v>
      </c>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1:104" s="18" customFormat="1" ht="12.4">
      <c r="A15" s="17"/>
      <c r="B15" s="113" t="s">
        <v>445</v>
      </c>
      <c r="C15" s="117" t="s">
        <v>446</v>
      </c>
      <c r="D15" s="117" t="s">
        <v>447</v>
      </c>
      <c r="E15" s="117" t="s">
        <v>448</v>
      </c>
      <c r="F15" s="117" t="s">
        <v>449</v>
      </c>
      <c r="G15" s="117" t="s">
        <v>154</v>
      </c>
      <c r="H15" s="118" t="s">
        <v>155</v>
      </c>
      <c r="I15" s="117" t="s">
        <v>156</v>
      </c>
      <c r="J15" s="117" t="s">
        <v>157</v>
      </c>
      <c r="K15" s="31"/>
      <c r="L15" s="74" t="s">
        <v>158</v>
      </c>
      <c r="M15" s="117" t="s">
        <v>159</v>
      </c>
      <c r="N15" s="117" t="s">
        <v>160</v>
      </c>
      <c r="O15" s="117" t="s">
        <v>161</v>
      </c>
      <c r="P15" s="117" t="s">
        <v>162</v>
      </c>
      <c r="Q15" s="117" t="s">
        <v>163</v>
      </c>
      <c r="R15" s="117" t="s">
        <v>450</v>
      </c>
      <c r="S15" s="117" t="s">
        <v>165</v>
      </c>
      <c r="T15" s="117" t="s">
        <v>166</v>
      </c>
      <c r="U15" s="117" t="s">
        <v>167</v>
      </c>
      <c r="V15" s="117" t="s">
        <v>168</v>
      </c>
      <c r="W15" s="117" t="s">
        <v>169</v>
      </c>
      <c r="X15" s="117" t="s">
        <v>170</v>
      </c>
      <c r="Y15" s="117" t="s">
        <v>171</v>
      </c>
      <c r="Z15" s="117" t="s">
        <v>172</v>
      </c>
      <c r="AA15" s="117" t="s">
        <v>173</v>
      </c>
      <c r="AB15" s="117" t="s">
        <v>174</v>
      </c>
      <c r="AC15" s="117" t="s">
        <v>175</v>
      </c>
      <c r="AD15" s="117" t="s">
        <v>176</v>
      </c>
      <c r="AE15" s="117" t="s">
        <v>177</v>
      </c>
      <c r="AF15" s="117" t="s">
        <v>178</v>
      </c>
      <c r="AG15" s="117" t="s">
        <v>179</v>
      </c>
      <c r="AH15" s="117" t="s">
        <v>180</v>
      </c>
      <c r="AI15" s="117" t="s">
        <v>181</v>
      </c>
      <c r="AJ15" s="117" t="s">
        <v>182</v>
      </c>
      <c r="AK15" s="117" t="s">
        <v>183</v>
      </c>
      <c r="AL15" s="117" t="s">
        <v>184</v>
      </c>
      <c r="AM15" s="117" t="s">
        <v>185</v>
      </c>
      <c r="AN15" s="117" t="s">
        <v>186</v>
      </c>
      <c r="AO15" s="117" t="s">
        <v>187</v>
      </c>
      <c r="AP15" s="117" t="s">
        <v>188</v>
      </c>
      <c r="AQ15" s="117" t="s">
        <v>189</v>
      </c>
      <c r="AR15" s="117" t="s">
        <v>190</v>
      </c>
      <c r="AS15" s="117" t="s">
        <v>191</v>
      </c>
      <c r="AT15" s="117" t="s">
        <v>192</v>
      </c>
      <c r="AU15" s="117" t="s">
        <v>193</v>
      </c>
      <c r="AV15" s="117" t="s">
        <v>194</v>
      </c>
      <c r="AW15" s="117" t="s">
        <v>195</v>
      </c>
      <c r="AX15" s="117" t="s">
        <v>196</v>
      </c>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row>
    <row r="16" spans="1:104" s="18" customFormat="1">
      <c r="A16" s="17"/>
      <c r="B16" s="33" t="s">
        <v>405</v>
      </c>
      <c r="C16" s="34">
        <f t="shared" ref="C16:J16" si="0">_xlfn.IFNA(VLOOKUP(C13,$B$33:$C$1512,2, FALSE),"-")</f>
        <v>99.9</v>
      </c>
      <c r="D16" s="34">
        <f t="shared" si="0"/>
        <v>100.1</v>
      </c>
      <c r="E16" s="34">
        <f t="shared" si="0"/>
        <v>100.4</v>
      </c>
      <c r="F16" s="34">
        <f t="shared" si="0"/>
        <v>101</v>
      </c>
      <c r="G16" s="34">
        <f t="shared" si="0"/>
        <v>102.2</v>
      </c>
      <c r="H16" s="34">
        <f t="shared" si="0"/>
        <v>103.5</v>
      </c>
      <c r="I16" s="34">
        <f t="shared" si="0"/>
        <v>105</v>
      </c>
      <c r="J16" s="34">
        <f t="shared" si="0"/>
        <v>105.9</v>
      </c>
      <c r="K16" s="31"/>
      <c r="L16" s="34">
        <f t="shared" ref="L16:AX16" si="1">_xlfn.IFNA(VLOOKUP(L13,$B$33:$C$1512,2, FALSE),"-")</f>
        <v>105.9</v>
      </c>
      <c r="M16" s="34">
        <f t="shared" si="1"/>
        <v>107.1</v>
      </c>
      <c r="N16" s="34">
        <f t="shared" si="1"/>
        <v>107.9</v>
      </c>
      <c r="O16" s="34">
        <f t="shared" si="1"/>
        <v>108.5</v>
      </c>
      <c r="P16" s="34">
        <f t="shared" si="1"/>
        <v>108.8</v>
      </c>
      <c r="Q16" s="34">
        <f t="shared" si="1"/>
        <v>109.4</v>
      </c>
      <c r="R16" s="34">
        <f t="shared" si="1"/>
        <v>111.4</v>
      </c>
      <c r="S16" s="34">
        <f t="shared" si="1"/>
        <v>114.7</v>
      </c>
      <c r="T16" s="34">
        <f t="shared" si="1"/>
        <v>120.5</v>
      </c>
      <c r="U16" s="34">
        <f t="shared" si="1"/>
        <v>125.3</v>
      </c>
      <c r="V16" s="34">
        <f>_xlfn.IFNA(VLOOKUP(V13,$B$33:$C$1512,2, FALSE),"-")</f>
        <v>129.4</v>
      </c>
      <c r="W16" s="34">
        <f>_xlfn.IFNA(VLOOKUP(W13,$B$33:$C$1512,2, FALSE),"-")</f>
        <v>129.4</v>
      </c>
      <c r="X16" s="34">
        <f t="shared" si="1"/>
        <v>130.5</v>
      </c>
      <c r="Y16" s="34">
        <f t="shared" si="1"/>
        <v>130.5</v>
      </c>
      <c r="Z16" s="34">
        <f t="shared" si="1"/>
        <v>133</v>
      </c>
      <c r="AA16" s="34">
        <f t="shared" si="1"/>
        <v>133</v>
      </c>
      <c r="AB16" s="34">
        <f t="shared" si="1"/>
        <v>135.1</v>
      </c>
      <c r="AC16" s="34" t="s">
        <v>451</v>
      </c>
      <c r="AD16" s="34" t="str">
        <f t="shared" si="1"/>
        <v>-</v>
      </c>
      <c r="AE16" s="34" t="str">
        <f t="shared" si="1"/>
        <v>-</v>
      </c>
      <c r="AF16" s="34" t="str">
        <f t="shared" si="1"/>
        <v>-</v>
      </c>
      <c r="AG16" s="34" t="str">
        <f t="shared" si="1"/>
        <v>-</v>
      </c>
      <c r="AH16" s="34" t="str">
        <f t="shared" si="1"/>
        <v>-</v>
      </c>
      <c r="AI16" s="34" t="str">
        <f t="shared" si="1"/>
        <v>-</v>
      </c>
      <c r="AJ16" s="34" t="str">
        <f t="shared" si="1"/>
        <v>-</v>
      </c>
      <c r="AK16" s="34" t="str">
        <f t="shared" si="1"/>
        <v>-</v>
      </c>
      <c r="AL16" s="34" t="str">
        <f t="shared" si="1"/>
        <v>-</v>
      </c>
      <c r="AM16" s="34" t="str">
        <f t="shared" si="1"/>
        <v>-</v>
      </c>
      <c r="AN16" s="34" t="str">
        <f t="shared" si="1"/>
        <v>-</v>
      </c>
      <c r="AO16" s="34" t="str">
        <f t="shared" si="1"/>
        <v>-</v>
      </c>
      <c r="AP16" s="34" t="str">
        <f t="shared" si="1"/>
        <v>-</v>
      </c>
      <c r="AQ16" s="34" t="str">
        <f t="shared" si="1"/>
        <v>-</v>
      </c>
      <c r="AR16" s="34" t="str">
        <f t="shared" si="1"/>
        <v>-</v>
      </c>
      <c r="AS16" s="34" t="str">
        <f t="shared" si="1"/>
        <v>-</v>
      </c>
      <c r="AT16" s="34" t="str">
        <f t="shared" si="1"/>
        <v>-</v>
      </c>
      <c r="AU16" s="34" t="str">
        <f t="shared" si="1"/>
        <v>-</v>
      </c>
      <c r="AV16" s="34" t="str">
        <f t="shared" si="1"/>
        <v>-</v>
      </c>
      <c r="AW16" s="34" t="str">
        <f t="shared" si="1"/>
        <v>-</v>
      </c>
      <c r="AX16" s="34" t="str">
        <f t="shared" si="1"/>
        <v>-</v>
      </c>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1:104" s="17" customFormat="1" ht="12.4">
      <c r="B17" s="19"/>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row>
    <row r="18" spans="1:104" s="16" customFormat="1">
      <c r="B18" s="20"/>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row r="19" spans="1:104" s="13" customFormat="1" ht="13.15">
      <c r="B19" s="14" t="s">
        <v>452</v>
      </c>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row>
    <row r="21" spans="1:104" ht="78" customHeight="1">
      <c r="B21" s="35" t="s">
        <v>294</v>
      </c>
      <c r="C21" s="306" t="s">
        <v>453</v>
      </c>
      <c r="D21" s="306"/>
      <c r="E21" s="306"/>
      <c r="F21" s="306"/>
    </row>
    <row r="22" spans="1:104" ht="27.75" customHeight="1">
      <c r="B22" s="35" t="s">
        <v>454</v>
      </c>
      <c r="C22" s="307" t="s">
        <v>455</v>
      </c>
      <c r="D22" s="308"/>
      <c r="E22" s="308"/>
      <c r="F22" s="308"/>
    </row>
    <row r="25" spans="1:104" s="15" customFormat="1">
      <c r="A25" s="12"/>
      <c r="B25" s="36" t="s">
        <v>60</v>
      </c>
      <c r="C25" s="36" t="s">
        <v>456</v>
      </c>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spans="1:104" s="15" customFormat="1">
      <c r="A26" s="12"/>
      <c r="B26" s="36" t="s">
        <v>457</v>
      </c>
      <c r="C26" s="36" t="s">
        <v>458</v>
      </c>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spans="1:104" s="15" customFormat="1">
      <c r="A27" s="12"/>
      <c r="B27" s="36" t="s">
        <v>459</v>
      </c>
      <c r="C27" s="36" t="s">
        <v>460</v>
      </c>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row>
    <row r="28" spans="1:104" s="15" customFormat="1">
      <c r="A28" s="12"/>
      <c r="B28" s="36" t="s">
        <v>461</v>
      </c>
      <c r="C28" s="36" t="s">
        <v>307</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row>
    <row r="29" spans="1:104" s="15" customFormat="1">
      <c r="A29" s="12"/>
      <c r="B29" s="36" t="s">
        <v>104</v>
      </c>
      <c r="C29" s="36" t="s">
        <v>462</v>
      </c>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row>
    <row r="30" spans="1:104" s="15" customFormat="1">
      <c r="A30" s="12"/>
      <c r="B30" s="36" t="s">
        <v>463</v>
      </c>
      <c r="C30" s="36" t="s">
        <v>464</v>
      </c>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row>
    <row r="31" spans="1:104" s="15" customFormat="1">
      <c r="A31" s="12"/>
      <c r="B31" s="36" t="s">
        <v>465</v>
      </c>
      <c r="C31" s="56">
        <v>44762</v>
      </c>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row>
    <row r="32" spans="1:104" s="15" customFormat="1">
      <c r="A32" s="12"/>
      <c r="B32" s="36" t="s">
        <v>466</v>
      </c>
      <c r="C32" s="36"/>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row>
    <row r="33" spans="1:51" s="15" customFormat="1">
      <c r="A33" s="12"/>
      <c r="B33" s="45">
        <v>2005</v>
      </c>
      <c r="C33" s="37">
        <v>79.400000000000006</v>
      </c>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row>
    <row r="34" spans="1:51" s="15" customFormat="1">
      <c r="A34" s="12"/>
      <c r="B34" s="45">
        <v>2006</v>
      </c>
      <c r="C34" s="37">
        <v>81.400000000000006</v>
      </c>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row>
    <row r="35" spans="1:51" s="15" customFormat="1">
      <c r="A35" s="12"/>
      <c r="B35" s="45">
        <v>2007</v>
      </c>
      <c r="C35" s="37">
        <v>83.3</v>
      </c>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row>
    <row r="36" spans="1:51" s="15" customFormat="1">
      <c r="A36" s="12"/>
      <c r="B36" s="45">
        <v>2008</v>
      </c>
      <c r="C36" s="37">
        <v>86.2</v>
      </c>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row>
    <row r="37" spans="1:51" s="15" customFormat="1">
      <c r="A37" s="12"/>
      <c r="B37" s="45">
        <v>2009</v>
      </c>
      <c r="C37" s="37">
        <v>87.9</v>
      </c>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spans="1:51" s="15" customFormat="1">
      <c r="A38" s="12"/>
      <c r="B38" s="45">
        <v>2010</v>
      </c>
      <c r="C38" s="37">
        <v>90.1</v>
      </c>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spans="1:51" s="15" customFormat="1">
      <c r="A39" s="12"/>
      <c r="B39" s="45">
        <v>2011</v>
      </c>
      <c r="C39" s="37">
        <v>93.6</v>
      </c>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row>
    <row r="40" spans="1:51" s="15" customFormat="1">
      <c r="A40" s="12"/>
      <c r="B40" s="45">
        <v>2012</v>
      </c>
      <c r="C40" s="37">
        <v>96</v>
      </c>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row>
    <row r="41" spans="1:51" s="15" customFormat="1">
      <c r="A41" s="12"/>
      <c r="B41" s="45">
        <v>2013</v>
      </c>
      <c r="C41" s="37">
        <v>98.2</v>
      </c>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row>
    <row r="42" spans="1:51" s="15" customFormat="1">
      <c r="A42" s="12"/>
      <c r="B42" s="45">
        <v>2014</v>
      </c>
      <c r="C42" s="37">
        <v>99.6</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row>
    <row r="43" spans="1:51" s="15" customFormat="1">
      <c r="A43" s="12"/>
      <c r="B43" s="45">
        <v>2015</v>
      </c>
      <c r="C43" s="37">
        <v>100</v>
      </c>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row>
    <row r="44" spans="1:51" s="15" customFormat="1">
      <c r="A44" s="12"/>
      <c r="B44" s="45">
        <v>2016</v>
      </c>
      <c r="C44" s="37">
        <v>101</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row>
    <row r="45" spans="1:51" s="15" customFormat="1">
      <c r="A45" s="12"/>
      <c r="B45" s="45">
        <v>2017</v>
      </c>
      <c r="C45" s="37">
        <v>103.6</v>
      </c>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row>
    <row r="46" spans="1:51" s="15" customFormat="1">
      <c r="A46" s="12"/>
      <c r="B46" s="45">
        <v>2018</v>
      </c>
      <c r="C46" s="37">
        <v>106</v>
      </c>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row>
    <row r="47" spans="1:51" s="15" customFormat="1">
      <c r="A47" s="12"/>
      <c r="B47" s="45">
        <v>2019</v>
      </c>
      <c r="C47" s="37">
        <v>107.8</v>
      </c>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row>
    <row r="48" spans="1:51" s="15" customFormat="1">
      <c r="A48" s="12"/>
      <c r="B48" s="45">
        <v>2020</v>
      </c>
      <c r="C48" s="37">
        <v>108.9</v>
      </c>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row>
    <row r="49" spans="1:51" s="15" customFormat="1">
      <c r="A49" s="12"/>
      <c r="B49" s="45">
        <v>2021</v>
      </c>
      <c r="C49" s="37">
        <v>111.6</v>
      </c>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row>
    <row r="50" spans="1:51" s="15" customFormat="1">
      <c r="A50" s="12"/>
      <c r="B50" s="36" t="s">
        <v>467</v>
      </c>
      <c r="C50" s="37">
        <v>78.5</v>
      </c>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row>
    <row r="51" spans="1:51" s="15" customFormat="1">
      <c r="A51" s="12"/>
      <c r="B51" s="36" t="s">
        <v>468</v>
      </c>
      <c r="C51" s="37">
        <v>79.3</v>
      </c>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row>
    <row r="52" spans="1:51" s="15" customFormat="1">
      <c r="A52" s="12"/>
      <c r="B52" s="36" t="s">
        <v>469</v>
      </c>
      <c r="C52" s="37">
        <v>79.7</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row>
    <row r="53" spans="1:51" s="15" customFormat="1">
      <c r="A53" s="12"/>
      <c r="B53" s="36" t="s">
        <v>470</v>
      </c>
      <c r="C53" s="37">
        <v>80.099999999999994</v>
      </c>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row>
    <row r="54" spans="1:51" s="15" customFormat="1">
      <c r="A54" s="12"/>
      <c r="B54" s="36" t="s">
        <v>471</v>
      </c>
      <c r="C54" s="37">
        <v>80.2</v>
      </c>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row>
    <row r="55" spans="1:51" s="15" customFormat="1">
      <c r="A55" s="12"/>
      <c r="B55" s="36" t="s">
        <v>472</v>
      </c>
      <c r="C55" s="37">
        <v>81.2</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row>
    <row r="56" spans="1:51" s="15" customFormat="1">
      <c r="A56" s="12"/>
      <c r="B56" s="36" t="s">
        <v>473</v>
      </c>
      <c r="C56" s="37">
        <v>81.7</v>
      </c>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row>
    <row r="57" spans="1:51" s="15" customFormat="1">
      <c r="A57" s="12"/>
      <c r="B57" s="36" t="s">
        <v>474</v>
      </c>
      <c r="C57" s="37">
        <v>82.3</v>
      </c>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row>
    <row r="58" spans="1:51" s="15" customFormat="1">
      <c r="A58" s="12"/>
      <c r="B58" s="36" t="s">
        <v>475</v>
      </c>
      <c r="C58" s="37">
        <v>82.4</v>
      </c>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row>
    <row r="59" spans="1:51" s="15" customFormat="1">
      <c r="A59" s="12"/>
      <c r="B59" s="36" t="s">
        <v>476</v>
      </c>
      <c r="C59" s="37">
        <v>83.3</v>
      </c>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row>
    <row r="60" spans="1:51" s="15" customFormat="1">
      <c r="A60" s="12"/>
      <c r="B60" s="36" t="s">
        <v>477</v>
      </c>
      <c r="C60" s="37">
        <v>83.3</v>
      </c>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row>
    <row r="61" spans="1:51" s="15" customFormat="1">
      <c r="A61" s="12"/>
      <c r="B61" s="36" t="s">
        <v>478</v>
      </c>
      <c r="C61" s="37">
        <v>84.1</v>
      </c>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row>
    <row r="62" spans="1:51" s="15" customFormat="1">
      <c r="A62" s="12"/>
      <c r="B62" s="36" t="s">
        <v>479</v>
      </c>
      <c r="C62" s="37">
        <v>84.5</v>
      </c>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row>
    <row r="63" spans="1:51" s="15" customFormat="1">
      <c r="A63" s="12"/>
      <c r="B63" s="36" t="s">
        <v>480</v>
      </c>
      <c r="C63" s="37">
        <v>86.1</v>
      </c>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row>
    <row r="64" spans="1:51" s="15" customFormat="1">
      <c r="A64" s="12"/>
      <c r="B64" s="36" t="s">
        <v>481</v>
      </c>
      <c r="C64" s="37">
        <v>87.1</v>
      </c>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row>
    <row r="65" spans="1:51" s="15" customFormat="1">
      <c r="A65" s="12"/>
      <c r="B65" s="36" t="s">
        <v>482</v>
      </c>
      <c r="C65" s="37">
        <v>87.2</v>
      </c>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row>
    <row r="66" spans="1:51" s="15" customFormat="1">
      <c r="A66" s="12"/>
      <c r="B66" s="36" t="s">
        <v>483</v>
      </c>
      <c r="C66" s="37">
        <v>87</v>
      </c>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row>
    <row r="67" spans="1:51" s="15" customFormat="1">
      <c r="A67" s="12"/>
      <c r="B67" s="36" t="s">
        <v>484</v>
      </c>
      <c r="C67" s="37">
        <v>87.8</v>
      </c>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row>
    <row r="68" spans="1:51" s="15" customFormat="1">
      <c r="A68" s="12"/>
      <c r="B68" s="36" t="s">
        <v>485</v>
      </c>
      <c r="C68" s="37">
        <v>88.2</v>
      </c>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row>
    <row r="69" spans="1:51" s="15" customFormat="1">
      <c r="A69" s="12"/>
      <c r="B69" s="36" t="s">
        <v>486</v>
      </c>
      <c r="C69" s="37">
        <v>88.6</v>
      </c>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row>
    <row r="70" spans="1:51" s="15" customFormat="1">
      <c r="A70" s="12"/>
      <c r="B70" s="36" t="s">
        <v>487</v>
      </c>
      <c r="C70" s="37">
        <v>89.1</v>
      </c>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row>
    <row r="71" spans="1:51" s="15" customFormat="1">
      <c r="A71" s="12"/>
      <c r="B71" s="36" t="s">
        <v>488</v>
      </c>
      <c r="C71" s="37">
        <v>90</v>
      </c>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row>
    <row r="72" spans="1:51" s="15" customFormat="1">
      <c r="A72" s="12"/>
      <c r="B72" s="36" t="s">
        <v>489</v>
      </c>
      <c r="C72" s="37">
        <v>90.3</v>
      </c>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row>
    <row r="73" spans="1:51" s="15" customFormat="1">
      <c r="A73" s="12"/>
      <c r="B73" s="36" t="s">
        <v>490</v>
      </c>
      <c r="C73" s="37">
        <v>91.1</v>
      </c>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row>
    <row r="74" spans="1:51" s="15" customFormat="1">
      <c r="A74" s="12"/>
      <c r="B74" s="36" t="s">
        <v>491</v>
      </c>
      <c r="C74" s="37">
        <v>92.2</v>
      </c>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row>
    <row r="75" spans="1:51" s="15" customFormat="1">
      <c r="A75" s="12"/>
      <c r="B75" s="36" t="s">
        <v>492</v>
      </c>
      <c r="C75" s="37">
        <v>93.4</v>
      </c>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row>
    <row r="76" spans="1:51" s="15" customFormat="1">
      <c r="A76" s="12"/>
      <c r="B76" s="36" t="s">
        <v>493</v>
      </c>
      <c r="C76" s="37">
        <v>93.9</v>
      </c>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row>
    <row r="77" spans="1:51" s="15" customFormat="1">
      <c r="A77" s="12"/>
      <c r="B77" s="36" t="s">
        <v>494</v>
      </c>
      <c r="C77" s="37">
        <v>94.7</v>
      </c>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row>
    <row r="78" spans="1:51" s="15" customFormat="1">
      <c r="A78" s="12"/>
      <c r="B78" s="36" t="s">
        <v>495</v>
      </c>
      <c r="C78" s="37">
        <v>95.1</v>
      </c>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row>
    <row r="79" spans="1:51" s="15" customFormat="1">
      <c r="A79" s="12"/>
      <c r="B79" s="36" t="s">
        <v>496</v>
      </c>
      <c r="C79" s="37">
        <v>95.8</v>
      </c>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row>
    <row r="80" spans="1:51" s="15" customFormat="1">
      <c r="A80" s="12"/>
      <c r="B80" s="36" t="s">
        <v>497</v>
      </c>
      <c r="C80" s="36">
        <v>96.1</v>
      </c>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row>
    <row r="81" spans="1:51" s="15" customFormat="1">
      <c r="A81" s="12"/>
      <c r="B81" s="36" t="s">
        <v>498</v>
      </c>
      <c r="C81" s="36">
        <v>97</v>
      </c>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row>
    <row r="82" spans="1:51" s="15" customFormat="1">
      <c r="A82" s="12"/>
      <c r="B82" s="36" t="s">
        <v>499</v>
      </c>
      <c r="C82" s="36">
        <v>97.4</v>
      </c>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row>
    <row r="83" spans="1:51" s="15" customFormat="1">
      <c r="A83" s="12"/>
      <c r="B83" s="36" t="s">
        <v>500</v>
      </c>
      <c r="C83" s="36">
        <v>98.1</v>
      </c>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row>
    <row r="84" spans="1:51" s="15" customFormat="1">
      <c r="A84" s="12"/>
      <c r="B84" s="36" t="s">
        <v>501</v>
      </c>
      <c r="C84" s="36">
        <v>98.4</v>
      </c>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row>
    <row r="85" spans="1:51" s="15" customFormat="1">
      <c r="A85" s="12"/>
      <c r="B85" s="36" t="s">
        <v>502</v>
      </c>
      <c r="C85" s="36">
        <v>98.9</v>
      </c>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row>
    <row r="86" spans="1:51" s="15" customFormat="1">
      <c r="A86" s="12"/>
      <c r="B86" s="36" t="s">
        <v>503</v>
      </c>
      <c r="C86" s="36">
        <v>99</v>
      </c>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row>
    <row r="87" spans="1:51" s="15" customFormat="1">
      <c r="A87" s="12"/>
      <c r="B87" s="36" t="s">
        <v>504</v>
      </c>
      <c r="C87" s="36">
        <v>99.7</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row>
    <row r="88" spans="1:51" s="15" customFormat="1">
      <c r="A88" s="12"/>
      <c r="B88" s="36" t="s">
        <v>505</v>
      </c>
      <c r="C88" s="36">
        <v>99.8</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row>
    <row r="89" spans="1:51" s="15" customFormat="1">
      <c r="A89" s="12"/>
      <c r="B89" s="36" t="s">
        <v>506</v>
      </c>
      <c r="C89" s="36">
        <v>100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row>
    <row r="90" spans="1:51" s="15" customFormat="1">
      <c r="A90" s="12"/>
      <c r="B90" s="36" t="s">
        <v>507</v>
      </c>
      <c r="C90" s="36">
        <v>99.4</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row>
    <row r="91" spans="1:51" s="15" customFormat="1">
      <c r="A91" s="12"/>
      <c r="B91" s="36" t="s">
        <v>508</v>
      </c>
      <c r="C91" s="36">
        <v>100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row>
    <row r="92" spans="1:51" s="15" customFormat="1">
      <c r="A92" s="12"/>
      <c r="B92" s="36" t="s">
        <v>509</v>
      </c>
      <c r="C92" s="36">
        <v>100.2</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row>
    <row r="93" spans="1:51" s="15" customFormat="1">
      <c r="A93" s="12"/>
      <c r="B93" s="36" t="s">
        <v>510</v>
      </c>
      <c r="C93" s="36">
        <v>100.4</v>
      </c>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row>
    <row r="94" spans="1:51" s="15" customFormat="1">
      <c r="A94" s="12"/>
      <c r="B94" s="36" t="s">
        <v>511</v>
      </c>
      <c r="C94" s="36">
        <v>100.1</v>
      </c>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row>
    <row r="95" spans="1:51" s="15" customFormat="1">
      <c r="A95" s="12"/>
      <c r="B95" s="36" t="s">
        <v>512</v>
      </c>
      <c r="C95" s="36">
        <v>100.8</v>
      </c>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row>
    <row r="96" spans="1:51" s="15" customFormat="1">
      <c r="A96" s="12"/>
      <c r="B96" s="36" t="s">
        <v>513</v>
      </c>
      <c r="C96" s="36">
        <v>101.2</v>
      </c>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row>
    <row r="97" spans="1:51" s="15" customFormat="1">
      <c r="A97" s="12"/>
      <c r="B97" s="36" t="s">
        <v>514</v>
      </c>
      <c r="C97" s="36">
        <v>101.9</v>
      </c>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row>
    <row r="98" spans="1:51" s="15" customFormat="1">
      <c r="A98" s="12"/>
      <c r="B98" s="36" t="s">
        <v>515</v>
      </c>
      <c r="C98" s="36">
        <v>102.3</v>
      </c>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row>
    <row r="99" spans="1:51" s="15" customFormat="1">
      <c r="A99" s="12"/>
      <c r="B99" s="36" t="s">
        <v>516</v>
      </c>
      <c r="C99" s="36">
        <v>103.4</v>
      </c>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row>
    <row r="100" spans="1:51" s="15" customFormat="1">
      <c r="A100" s="12"/>
      <c r="B100" s="36" t="s">
        <v>517</v>
      </c>
      <c r="C100" s="36">
        <v>103.9</v>
      </c>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row>
    <row r="101" spans="1:51" s="15" customFormat="1">
      <c r="A101" s="12"/>
      <c r="B101" s="36" t="s">
        <v>518</v>
      </c>
      <c r="C101" s="36">
        <v>104.7</v>
      </c>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row>
    <row r="102" spans="1:51" s="15" customFormat="1">
      <c r="A102" s="12"/>
      <c r="B102" s="36" t="s">
        <v>519</v>
      </c>
      <c r="C102" s="36">
        <v>104.8</v>
      </c>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row>
    <row r="103" spans="1:51" s="15" customFormat="1">
      <c r="A103" s="12"/>
      <c r="B103" s="36" t="s">
        <v>520</v>
      </c>
      <c r="C103" s="36">
        <v>105.8</v>
      </c>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row>
    <row r="104" spans="1:51" s="15" customFormat="1">
      <c r="A104" s="12"/>
      <c r="B104" s="36" t="s">
        <v>521</v>
      </c>
      <c r="C104" s="36">
        <v>106.3</v>
      </c>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row>
    <row r="105" spans="1:51" s="15" customFormat="1">
      <c r="A105" s="12"/>
      <c r="B105" s="36" t="s">
        <v>522</v>
      </c>
      <c r="C105" s="36">
        <v>106.9</v>
      </c>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row>
    <row r="106" spans="1:51" s="15" customFormat="1">
      <c r="A106" s="12"/>
      <c r="B106" s="36" t="s">
        <v>523</v>
      </c>
      <c r="C106" s="36">
        <v>106.7</v>
      </c>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row>
    <row r="107" spans="1:51" s="15" customFormat="1">
      <c r="A107" s="12"/>
      <c r="B107" s="36" t="s">
        <v>524</v>
      </c>
      <c r="C107" s="36">
        <v>107.8</v>
      </c>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row>
    <row r="108" spans="1:51" s="15" customFormat="1">
      <c r="A108" s="12"/>
      <c r="B108" s="36" t="s">
        <v>525</v>
      </c>
      <c r="C108" s="36">
        <v>108.2</v>
      </c>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row>
    <row r="109" spans="1:51" s="15" customFormat="1">
      <c r="A109" s="12"/>
      <c r="B109" s="36" t="s">
        <v>526</v>
      </c>
      <c r="C109" s="36">
        <v>108.4</v>
      </c>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row>
    <row r="110" spans="1:51" s="15" customFormat="1">
      <c r="A110" s="12"/>
      <c r="B110" s="36" t="s">
        <v>527</v>
      </c>
      <c r="C110" s="36">
        <v>108.5</v>
      </c>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row>
    <row r="111" spans="1:51" s="15" customFormat="1">
      <c r="A111" s="12"/>
      <c r="B111" s="36" t="s">
        <v>528</v>
      </c>
      <c r="C111" s="36">
        <v>108.7</v>
      </c>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row>
    <row r="112" spans="1:51" s="15" customFormat="1">
      <c r="A112" s="12"/>
      <c r="B112" s="36" t="s">
        <v>529</v>
      </c>
      <c r="C112" s="36">
        <v>109.1</v>
      </c>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row>
    <row r="113" spans="1:51" s="15" customFormat="1">
      <c r="A113" s="12"/>
      <c r="B113" s="36" t="s">
        <v>530</v>
      </c>
      <c r="C113" s="36">
        <v>109.3</v>
      </c>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row>
    <row r="114" spans="1:51" s="15" customFormat="1">
      <c r="A114" s="12"/>
      <c r="B114" s="36" t="s">
        <v>531</v>
      </c>
      <c r="C114" s="36">
        <v>109.5</v>
      </c>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row>
    <row r="115" spans="1:51" s="15" customFormat="1">
      <c r="A115" s="12"/>
      <c r="B115" s="36" t="s">
        <v>532</v>
      </c>
      <c r="C115" s="36">
        <v>110.9</v>
      </c>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row>
    <row r="116" spans="1:51" s="15" customFormat="1">
      <c r="A116" s="12"/>
      <c r="B116" s="36" t="s">
        <v>533</v>
      </c>
      <c r="C116" s="36">
        <v>112</v>
      </c>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row>
    <row r="117" spans="1:51" s="15" customFormat="1">
      <c r="A117" s="12"/>
      <c r="B117" s="36" t="s">
        <v>534</v>
      </c>
      <c r="C117" s="36">
        <v>114.1</v>
      </c>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row>
    <row r="118" spans="1:51" s="15" customFormat="1">
      <c r="A118" s="12"/>
      <c r="B118" s="36" t="s">
        <v>535</v>
      </c>
      <c r="C118" s="36">
        <v>115.5</v>
      </c>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row>
    <row r="119" spans="1:51" s="15" customFormat="1">
      <c r="A119" s="12"/>
      <c r="B119" s="36" t="s">
        <v>536</v>
      </c>
      <c r="C119" s="36">
        <v>78.3</v>
      </c>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row>
    <row r="120" spans="1:51" s="15" customFormat="1">
      <c r="A120" s="12"/>
      <c r="B120" s="36" t="s">
        <v>537</v>
      </c>
      <c r="C120" s="36">
        <v>78.5</v>
      </c>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row>
    <row r="121" spans="1:51" s="15" customFormat="1">
      <c r="A121" s="12"/>
      <c r="B121" s="36" t="s">
        <v>538</v>
      </c>
      <c r="C121" s="36">
        <v>78.8</v>
      </c>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row>
    <row r="122" spans="1:51" s="15" customFormat="1">
      <c r="A122" s="12"/>
      <c r="B122" s="36" t="s">
        <v>539</v>
      </c>
      <c r="C122" s="36">
        <v>79.099999999999994</v>
      </c>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row>
    <row r="123" spans="1:51" s="15" customFormat="1">
      <c r="A123" s="12"/>
      <c r="B123" s="36" t="s">
        <v>540</v>
      </c>
      <c r="C123" s="36">
        <v>79.400000000000006</v>
      </c>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row>
    <row r="124" spans="1:51" s="15" customFormat="1">
      <c r="A124" s="12"/>
      <c r="B124" s="36" t="s">
        <v>541</v>
      </c>
      <c r="C124" s="36">
        <v>79.400000000000006</v>
      </c>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row>
    <row r="125" spans="1:51" s="15" customFormat="1">
      <c r="A125" s="12"/>
      <c r="B125" s="36" t="s">
        <v>542</v>
      </c>
      <c r="C125" s="36">
        <v>79.5</v>
      </c>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row>
    <row r="126" spans="1:51" s="15" customFormat="1">
      <c r="A126" s="12"/>
      <c r="B126" s="36" t="s">
        <v>543</v>
      </c>
      <c r="C126" s="36">
        <v>79.7</v>
      </c>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row>
    <row r="127" spans="1:51" s="15" customFormat="1">
      <c r="A127" s="12"/>
      <c r="B127" s="36" t="s">
        <v>544</v>
      </c>
      <c r="C127" s="36">
        <v>79.900000000000006</v>
      </c>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row>
    <row r="128" spans="1:51" s="15" customFormat="1">
      <c r="A128" s="12"/>
      <c r="B128" s="36" t="s">
        <v>545</v>
      </c>
      <c r="C128" s="36">
        <v>80</v>
      </c>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row>
    <row r="129" spans="1:51" s="15" customFormat="1">
      <c r="A129" s="12"/>
      <c r="B129" s="36" t="s">
        <v>546</v>
      </c>
      <c r="C129" s="36">
        <v>80</v>
      </c>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row>
    <row r="130" spans="1:51" s="15" customFormat="1">
      <c r="A130" s="12"/>
      <c r="B130" s="36" t="s">
        <v>547</v>
      </c>
      <c r="C130" s="36">
        <v>80.3</v>
      </c>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row>
    <row r="131" spans="1:51" s="15" customFormat="1">
      <c r="A131" s="12"/>
      <c r="B131" s="36" t="s">
        <v>548</v>
      </c>
      <c r="C131" s="36">
        <v>80</v>
      </c>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row>
    <row r="132" spans="1:51" s="15" customFormat="1">
      <c r="A132" s="12"/>
      <c r="B132" s="36" t="s">
        <v>549</v>
      </c>
      <c r="C132" s="36">
        <v>80.2</v>
      </c>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row>
    <row r="133" spans="1:51" s="15" customFormat="1">
      <c r="A133" s="12"/>
      <c r="B133" s="36" t="s">
        <v>550</v>
      </c>
      <c r="C133" s="36">
        <v>80.400000000000006</v>
      </c>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row>
    <row r="134" spans="1:51" s="15" customFormat="1">
      <c r="A134" s="12"/>
      <c r="B134" s="36" t="s">
        <v>551</v>
      </c>
      <c r="C134" s="36">
        <v>80.900000000000006</v>
      </c>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row>
    <row r="135" spans="1:51" s="15" customFormat="1">
      <c r="A135" s="12"/>
      <c r="B135" s="36" t="s">
        <v>552</v>
      </c>
      <c r="C135" s="36">
        <v>81.3</v>
      </c>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row>
    <row r="136" spans="1:51" s="15" customFormat="1">
      <c r="A136" s="12"/>
      <c r="B136" s="36" t="s">
        <v>553</v>
      </c>
      <c r="C136" s="36">
        <v>81.5</v>
      </c>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row>
    <row r="137" spans="1:51" s="15" customFormat="1">
      <c r="A137" s="12"/>
      <c r="B137" s="36" t="s">
        <v>554</v>
      </c>
      <c r="C137" s="36">
        <v>81.5</v>
      </c>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row>
    <row r="138" spans="1:51" s="15" customFormat="1">
      <c r="A138" s="12"/>
      <c r="B138" s="36" t="s">
        <v>555</v>
      </c>
      <c r="C138" s="36">
        <v>81.8</v>
      </c>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row>
    <row r="139" spans="1:51" s="15" customFormat="1">
      <c r="A139" s="12"/>
      <c r="B139" s="36" t="s">
        <v>556</v>
      </c>
      <c r="C139" s="36">
        <v>81.900000000000006</v>
      </c>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row>
    <row r="140" spans="1:51" s="15" customFormat="1">
      <c r="A140" s="12"/>
      <c r="B140" s="36" t="s">
        <v>557</v>
      </c>
      <c r="C140" s="36">
        <v>82</v>
      </c>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row>
    <row r="141" spans="1:51" s="15" customFormat="1">
      <c r="A141" s="12"/>
      <c r="B141" s="36" t="s">
        <v>558</v>
      </c>
      <c r="C141" s="36">
        <v>82.2</v>
      </c>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row>
    <row r="142" spans="1:51" s="15" customFormat="1">
      <c r="A142" s="12"/>
      <c r="B142" s="36" t="s">
        <v>559</v>
      </c>
      <c r="C142" s="36">
        <v>82.6</v>
      </c>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row>
    <row r="143" spans="1:51" s="15" customFormat="1">
      <c r="A143" s="12"/>
      <c r="B143" s="36" t="s">
        <v>560</v>
      </c>
      <c r="C143" s="36">
        <v>82.1</v>
      </c>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row>
    <row r="144" spans="1:51" s="15" customFormat="1">
      <c r="A144" s="12"/>
      <c r="B144" s="36" t="s">
        <v>561</v>
      </c>
      <c r="C144" s="36">
        <v>82.4</v>
      </c>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row>
    <row r="145" spans="1:51" s="15" customFormat="1">
      <c r="A145" s="12"/>
      <c r="B145" s="36" t="s">
        <v>562</v>
      </c>
      <c r="C145" s="36">
        <v>82.8</v>
      </c>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row>
    <row r="146" spans="1:51" s="15" customFormat="1">
      <c r="A146" s="12"/>
      <c r="B146" s="36" t="s">
        <v>563</v>
      </c>
      <c r="C146" s="36">
        <v>83.1</v>
      </c>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row>
    <row r="147" spans="1:51" s="15" customFormat="1">
      <c r="A147" s="12"/>
      <c r="B147" s="36" t="s">
        <v>564</v>
      </c>
      <c r="C147" s="36">
        <v>83.3</v>
      </c>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row>
    <row r="148" spans="1:51" s="15" customFormat="1">
      <c r="A148" s="12"/>
      <c r="B148" s="36" t="s">
        <v>565</v>
      </c>
      <c r="C148" s="36">
        <v>83.5</v>
      </c>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row>
    <row r="149" spans="1:51" s="15" customFormat="1">
      <c r="A149" s="12"/>
      <c r="B149" s="36" t="s">
        <v>566</v>
      </c>
      <c r="C149" s="36">
        <v>83.1</v>
      </c>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row>
    <row r="150" spans="1:51" s="15" customFormat="1">
      <c r="A150" s="12"/>
      <c r="B150" s="36" t="s">
        <v>567</v>
      </c>
      <c r="C150" s="36">
        <v>83.4</v>
      </c>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row>
    <row r="151" spans="1:51" s="15" customFormat="1">
      <c r="A151" s="12"/>
      <c r="B151" s="36" t="s">
        <v>568</v>
      </c>
      <c r="C151" s="36">
        <v>83.5</v>
      </c>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row>
    <row r="152" spans="1:51" s="15" customFormat="1">
      <c r="A152" s="12"/>
      <c r="B152" s="36" t="s">
        <v>569</v>
      </c>
      <c r="C152" s="36">
        <v>83.8</v>
      </c>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row>
    <row r="153" spans="1:51" s="15" customFormat="1">
      <c r="A153" s="12"/>
      <c r="B153" s="36" t="s">
        <v>570</v>
      </c>
      <c r="C153" s="36">
        <v>84.1</v>
      </c>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row>
    <row r="154" spans="1:51" s="15" customFormat="1">
      <c r="A154" s="12"/>
      <c r="B154" s="36" t="s">
        <v>571</v>
      </c>
      <c r="C154" s="36">
        <v>84.5</v>
      </c>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row>
    <row r="155" spans="1:51" s="15" customFormat="1">
      <c r="A155" s="12"/>
      <c r="B155" s="36" t="s">
        <v>572</v>
      </c>
      <c r="C155" s="36">
        <v>84.1</v>
      </c>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row>
    <row r="156" spans="1:51" s="15" customFormat="1">
      <c r="A156" s="12"/>
      <c r="B156" s="36" t="s">
        <v>573</v>
      </c>
      <c r="C156" s="36">
        <v>84.6</v>
      </c>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row>
    <row r="157" spans="1:51" s="15" customFormat="1">
      <c r="A157" s="12"/>
      <c r="B157" s="36" t="s">
        <v>574</v>
      </c>
      <c r="C157" s="36">
        <v>84.9</v>
      </c>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row>
    <row r="158" spans="1:51" s="15" customFormat="1">
      <c r="A158" s="12"/>
      <c r="B158" s="36" t="s">
        <v>575</v>
      </c>
      <c r="C158" s="36">
        <v>85.6</v>
      </c>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row>
    <row r="159" spans="1:51" s="15" customFormat="1">
      <c r="A159" s="12"/>
      <c r="B159" s="36" t="s">
        <v>576</v>
      </c>
      <c r="C159" s="36">
        <v>86.1</v>
      </c>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row>
    <row r="160" spans="1:51" s="15" customFormat="1">
      <c r="A160" s="12"/>
      <c r="B160" s="36" t="s">
        <v>577</v>
      </c>
      <c r="C160" s="36">
        <v>86.6</v>
      </c>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row>
    <row r="161" spans="1:51" s="15" customFormat="1">
      <c r="A161" s="12"/>
      <c r="B161" s="36" t="s">
        <v>578</v>
      </c>
      <c r="C161" s="36">
        <v>86.6</v>
      </c>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row>
    <row r="162" spans="1:51" s="15" customFormat="1">
      <c r="A162" s="12"/>
      <c r="B162" s="36" t="s">
        <v>579</v>
      </c>
      <c r="C162" s="36">
        <v>87.1</v>
      </c>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row>
    <row r="163" spans="1:51" s="15" customFormat="1">
      <c r="A163" s="12"/>
      <c r="B163" s="36" t="s">
        <v>580</v>
      </c>
      <c r="C163" s="36">
        <v>87.5</v>
      </c>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row>
    <row r="164" spans="1:51" s="15" customFormat="1">
      <c r="A164" s="12"/>
      <c r="B164" s="36" t="s">
        <v>581</v>
      </c>
      <c r="C164" s="36">
        <v>87.3</v>
      </c>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row>
    <row r="165" spans="1:51" s="15" customFormat="1">
      <c r="A165" s="12"/>
      <c r="B165" s="36" t="s">
        <v>582</v>
      </c>
      <c r="C165" s="36">
        <v>87.3</v>
      </c>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row>
    <row r="166" spans="1:51" s="15" customFormat="1">
      <c r="A166" s="12"/>
      <c r="B166" s="36" t="s">
        <v>583</v>
      </c>
      <c r="C166" s="36">
        <v>87.1</v>
      </c>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row>
    <row r="167" spans="1:51" s="15" customFormat="1">
      <c r="A167" s="12"/>
      <c r="B167" s="36" t="s">
        <v>584</v>
      </c>
      <c r="C167" s="36">
        <v>86.6</v>
      </c>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row>
    <row r="168" spans="1:51" s="15" customFormat="1">
      <c r="A168" s="12"/>
      <c r="B168" s="36" t="s">
        <v>585</v>
      </c>
      <c r="C168" s="36">
        <v>87.2</v>
      </c>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row>
    <row r="169" spans="1:51" s="15" customFormat="1">
      <c r="A169" s="12"/>
      <c r="B169" s="36" t="s">
        <v>586</v>
      </c>
      <c r="C169" s="36">
        <v>87.3</v>
      </c>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row>
    <row r="170" spans="1:51" s="15" customFormat="1">
      <c r="A170" s="12"/>
      <c r="B170" s="36" t="s">
        <v>587</v>
      </c>
      <c r="C170" s="36">
        <v>87.5</v>
      </c>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row>
    <row r="171" spans="1:51" s="15" customFormat="1">
      <c r="A171" s="12"/>
      <c r="B171" s="36" t="s">
        <v>588</v>
      </c>
      <c r="C171" s="36">
        <v>87.9</v>
      </c>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row>
    <row r="172" spans="1:51" s="15" customFormat="1">
      <c r="A172" s="12"/>
      <c r="B172" s="36" t="s">
        <v>589</v>
      </c>
      <c r="C172" s="36">
        <v>88.1</v>
      </c>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row>
    <row r="173" spans="1:51" s="15" customFormat="1">
      <c r="A173" s="12"/>
      <c r="B173" s="36" t="s">
        <v>590</v>
      </c>
      <c r="C173" s="36">
        <v>88</v>
      </c>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row>
    <row r="174" spans="1:51" s="15" customFormat="1">
      <c r="A174" s="12"/>
      <c r="B174" s="36" t="s">
        <v>591</v>
      </c>
      <c r="C174" s="36">
        <v>88.3</v>
      </c>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row>
    <row r="175" spans="1:51" s="15" customFormat="1">
      <c r="A175" s="12"/>
      <c r="B175" s="36" t="s">
        <v>592</v>
      </c>
      <c r="C175" s="36">
        <v>88.3</v>
      </c>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row>
    <row r="176" spans="1:51" s="15" customFormat="1">
      <c r="A176" s="12"/>
      <c r="B176" s="36" t="s">
        <v>593</v>
      </c>
      <c r="C176" s="36">
        <v>88.4</v>
      </c>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row>
    <row r="177" spans="1:51" s="15" customFormat="1">
      <c r="A177" s="12"/>
      <c r="B177" s="36" t="s">
        <v>594</v>
      </c>
      <c r="C177" s="36">
        <v>88.6</v>
      </c>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row>
    <row r="178" spans="1:51" s="15" customFormat="1">
      <c r="A178" s="12"/>
      <c r="B178" s="36" t="s">
        <v>595</v>
      </c>
      <c r="C178" s="36">
        <v>88.9</v>
      </c>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row>
    <row r="179" spans="1:51" s="15" customFormat="1">
      <c r="A179" s="12"/>
      <c r="B179" s="36" t="s">
        <v>596</v>
      </c>
      <c r="C179" s="36">
        <v>88.8</v>
      </c>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row>
    <row r="180" spans="1:51" s="15" customFormat="1">
      <c r="A180" s="12"/>
      <c r="B180" s="36" t="s">
        <v>597</v>
      </c>
      <c r="C180" s="36">
        <v>89</v>
      </c>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row>
    <row r="181" spans="1:51" s="15" customFormat="1">
      <c r="A181" s="12"/>
      <c r="B181" s="36" t="s">
        <v>598</v>
      </c>
      <c r="C181" s="36">
        <v>89.4</v>
      </c>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row>
    <row r="182" spans="1:51" s="15" customFormat="1">
      <c r="A182" s="12"/>
      <c r="B182" s="36" t="s">
        <v>599</v>
      </c>
      <c r="C182" s="36">
        <v>89.9</v>
      </c>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row>
    <row r="183" spans="1:51" s="15" customFormat="1">
      <c r="A183" s="12"/>
      <c r="B183" s="36" t="s">
        <v>600</v>
      </c>
      <c r="C183" s="36">
        <v>90.1</v>
      </c>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row>
    <row r="184" spans="1:51" s="15" customFormat="1">
      <c r="A184" s="12"/>
      <c r="B184" s="36" t="s">
        <v>601</v>
      </c>
      <c r="C184" s="36">
        <v>90.2</v>
      </c>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row>
    <row r="185" spans="1:51" s="15" customFormat="1">
      <c r="A185" s="12"/>
      <c r="B185" s="36" t="s">
        <v>602</v>
      </c>
      <c r="C185" s="36">
        <v>90</v>
      </c>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row>
    <row r="186" spans="1:51" s="15" customFormat="1">
      <c r="A186" s="12"/>
      <c r="B186" s="36" t="s">
        <v>603</v>
      </c>
      <c r="C186" s="36">
        <v>90.4</v>
      </c>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row>
    <row r="187" spans="1:51" s="15" customFormat="1">
      <c r="A187" s="12"/>
      <c r="B187" s="36" t="s">
        <v>604</v>
      </c>
      <c r="C187" s="36">
        <v>90.4</v>
      </c>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row>
    <row r="188" spans="1:51" s="15" customFormat="1">
      <c r="A188" s="12"/>
      <c r="B188" s="36" t="s">
        <v>605</v>
      </c>
      <c r="C188" s="36">
        <v>90.6</v>
      </c>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row>
    <row r="189" spans="1:51" s="15" customFormat="1">
      <c r="A189" s="12"/>
      <c r="B189" s="36" t="s">
        <v>606</v>
      </c>
      <c r="C189" s="36">
        <v>90.9</v>
      </c>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row>
    <row r="190" spans="1:51" s="15" customFormat="1">
      <c r="A190" s="12"/>
      <c r="B190" s="36" t="s">
        <v>607</v>
      </c>
      <c r="C190" s="36">
        <v>91.7</v>
      </c>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row>
    <row r="191" spans="1:51" s="15" customFormat="1">
      <c r="A191" s="12"/>
      <c r="B191" s="36" t="s">
        <v>608</v>
      </c>
      <c r="C191" s="36">
        <v>91.8</v>
      </c>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row>
    <row r="192" spans="1:51" s="15" customFormat="1">
      <c r="A192" s="12"/>
      <c r="B192" s="36" t="s">
        <v>609</v>
      </c>
      <c r="C192" s="36">
        <v>92.3</v>
      </c>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row>
    <row r="193" spans="1:51" s="15" customFormat="1">
      <c r="A193" s="12"/>
      <c r="B193" s="36" t="s">
        <v>610</v>
      </c>
      <c r="C193" s="36">
        <v>92.6</v>
      </c>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row>
    <row r="194" spans="1:51" s="15" customFormat="1">
      <c r="A194" s="12"/>
      <c r="B194" s="36" t="s">
        <v>611</v>
      </c>
      <c r="C194" s="36">
        <v>93.3</v>
      </c>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row>
    <row r="195" spans="1:51" s="15" customFormat="1">
      <c r="A195" s="12"/>
      <c r="B195" s="36" t="s">
        <v>612</v>
      </c>
      <c r="C195" s="36">
        <v>93.5</v>
      </c>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row>
    <row r="196" spans="1:51" s="15" customFormat="1">
      <c r="A196" s="12"/>
      <c r="B196" s="36" t="s">
        <v>613</v>
      </c>
      <c r="C196" s="36">
        <v>93.5</v>
      </c>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row>
    <row r="197" spans="1:51" s="15" customFormat="1">
      <c r="A197" s="12"/>
      <c r="B197" s="36" t="s">
        <v>614</v>
      </c>
      <c r="C197" s="36">
        <v>93.5</v>
      </c>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row>
    <row r="198" spans="1:51" s="15" customFormat="1">
      <c r="A198" s="12"/>
      <c r="B198" s="36" t="s">
        <v>615</v>
      </c>
      <c r="C198" s="36">
        <v>93.9</v>
      </c>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row>
    <row r="199" spans="1:51" s="15" customFormat="1">
      <c r="A199" s="12"/>
      <c r="B199" s="36" t="s">
        <v>616</v>
      </c>
      <c r="C199" s="36">
        <v>94.5</v>
      </c>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row>
    <row r="200" spans="1:51" s="15" customFormat="1">
      <c r="A200" s="12"/>
      <c r="B200" s="36" t="s">
        <v>617</v>
      </c>
      <c r="C200" s="36">
        <v>94.5</v>
      </c>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row>
    <row r="201" spans="1:51" s="15" customFormat="1">
      <c r="A201" s="12"/>
      <c r="B201" s="36" t="s">
        <v>618</v>
      </c>
      <c r="C201" s="36">
        <v>94.7</v>
      </c>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row>
    <row r="202" spans="1:51" s="15" customFormat="1">
      <c r="A202" s="12"/>
      <c r="B202" s="36" t="s">
        <v>619</v>
      </c>
      <c r="C202" s="36">
        <v>95</v>
      </c>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row>
    <row r="203" spans="1:51" s="15" customFormat="1">
      <c r="A203" s="12"/>
      <c r="B203" s="36" t="s">
        <v>620</v>
      </c>
      <c r="C203" s="36">
        <v>94.7</v>
      </c>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row>
    <row r="204" spans="1:51" s="15" customFormat="1">
      <c r="A204" s="12"/>
      <c r="B204" s="36" t="s">
        <v>621</v>
      </c>
      <c r="C204" s="36">
        <v>95.2</v>
      </c>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row>
    <row r="205" spans="1:51" s="15" customFormat="1">
      <c r="A205" s="12"/>
      <c r="B205" s="36" t="s">
        <v>622</v>
      </c>
      <c r="C205" s="36">
        <v>95.4</v>
      </c>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row>
    <row r="206" spans="1:51" s="15" customFormat="1">
      <c r="A206" s="12"/>
      <c r="B206" s="36" t="s">
        <v>623</v>
      </c>
      <c r="C206" s="36">
        <v>95.9</v>
      </c>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row>
    <row r="207" spans="1:51" s="15" customFormat="1">
      <c r="A207" s="12"/>
      <c r="B207" s="36" t="s">
        <v>624</v>
      </c>
      <c r="C207" s="36">
        <v>95.9</v>
      </c>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row>
    <row r="208" spans="1:51" s="15" customFormat="1">
      <c r="A208" s="12"/>
      <c r="B208" s="36" t="s">
        <v>625</v>
      </c>
      <c r="C208" s="36">
        <v>95.6</v>
      </c>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row>
    <row r="209" spans="1:51" s="15" customFormat="1">
      <c r="A209" s="12"/>
      <c r="B209" s="36" t="s">
        <v>626</v>
      </c>
      <c r="C209" s="36">
        <v>95.7</v>
      </c>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row>
    <row r="210" spans="1:51" s="15" customFormat="1">
      <c r="A210" s="12"/>
      <c r="B210" s="36" t="s">
        <v>627</v>
      </c>
      <c r="C210" s="36">
        <v>96.1</v>
      </c>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row>
    <row r="211" spans="1:51" s="15" customFormat="1">
      <c r="A211" s="12"/>
      <c r="B211" s="36" t="s">
        <v>628</v>
      </c>
      <c r="C211" s="36">
        <v>96.4</v>
      </c>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row>
    <row r="212" spans="1:51" s="15" customFormat="1">
      <c r="A212" s="12"/>
      <c r="B212" s="36" t="s">
        <v>629</v>
      </c>
      <c r="C212" s="36">
        <v>96.8</v>
      </c>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row>
    <row r="213" spans="1:51" s="15" customFormat="1">
      <c r="A213" s="12"/>
      <c r="B213" s="36" t="s">
        <v>630</v>
      </c>
      <c r="C213" s="36">
        <v>97</v>
      </c>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row>
    <row r="214" spans="1:51" s="15" customFormat="1">
      <c r="A214" s="12"/>
      <c r="B214" s="36" t="s">
        <v>631</v>
      </c>
      <c r="C214" s="36">
        <v>97.3</v>
      </c>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row>
    <row r="215" spans="1:51" s="15" customFormat="1">
      <c r="A215" s="12"/>
      <c r="B215" s="36" t="s">
        <v>632</v>
      </c>
      <c r="C215" s="36">
        <v>97</v>
      </c>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row>
    <row r="216" spans="1:51" s="15" customFormat="1">
      <c r="A216" s="12"/>
      <c r="B216" s="36" t="s">
        <v>633</v>
      </c>
      <c r="C216" s="36">
        <v>97.5</v>
      </c>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row>
    <row r="217" spans="1:51" s="15" customFormat="1">
      <c r="A217" s="12"/>
      <c r="B217" s="36" t="s">
        <v>634</v>
      </c>
      <c r="C217" s="36">
        <v>97.8</v>
      </c>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row>
    <row r="218" spans="1:51" s="15" customFormat="1">
      <c r="A218" s="12"/>
      <c r="B218" s="36" t="s">
        <v>635</v>
      </c>
      <c r="C218" s="36">
        <v>98</v>
      </c>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row>
    <row r="219" spans="1:51" s="15" customFormat="1">
      <c r="A219" s="12"/>
      <c r="B219" s="36" t="s">
        <v>636</v>
      </c>
      <c r="C219" s="36">
        <v>98.2</v>
      </c>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row>
    <row r="220" spans="1:51" s="15" customFormat="1">
      <c r="A220" s="12"/>
      <c r="B220" s="36" t="s">
        <v>637</v>
      </c>
      <c r="C220" s="36">
        <v>98</v>
      </c>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row>
    <row r="221" spans="1:51" s="15" customFormat="1">
      <c r="A221" s="12"/>
      <c r="B221" s="36" t="s">
        <v>638</v>
      </c>
      <c r="C221" s="36">
        <v>98</v>
      </c>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row>
    <row r="222" spans="1:51" s="15" customFormat="1">
      <c r="A222" s="12"/>
      <c r="B222" s="36" t="s">
        <v>639</v>
      </c>
      <c r="C222" s="36">
        <v>98.4</v>
      </c>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row>
    <row r="223" spans="1:51" s="15" customFormat="1">
      <c r="A223" s="12"/>
      <c r="B223" s="36" t="s">
        <v>640</v>
      </c>
      <c r="C223" s="36">
        <v>98.7</v>
      </c>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row>
    <row r="224" spans="1:51" s="15" customFormat="1">
      <c r="A224" s="12"/>
      <c r="B224" s="36" t="s">
        <v>641</v>
      </c>
      <c r="C224" s="36">
        <v>98.8</v>
      </c>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row>
    <row r="225" spans="1:51" s="15" customFormat="1">
      <c r="A225" s="12"/>
      <c r="B225" s="36" t="s">
        <v>642</v>
      </c>
      <c r="C225" s="36">
        <v>98.8</v>
      </c>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row>
    <row r="226" spans="1:51" s="15" customFormat="1">
      <c r="A226" s="12"/>
      <c r="B226" s="36" t="s">
        <v>643</v>
      </c>
      <c r="C226" s="36">
        <v>99.2</v>
      </c>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row>
    <row r="227" spans="1:51" s="15" customFormat="1">
      <c r="A227" s="12"/>
      <c r="B227" s="36" t="s">
        <v>644</v>
      </c>
      <c r="C227" s="36">
        <v>98.7</v>
      </c>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row>
    <row r="228" spans="1:51" s="15" customFormat="1">
      <c r="A228" s="12"/>
      <c r="B228" s="36" t="s">
        <v>645</v>
      </c>
      <c r="C228" s="36">
        <v>99.1</v>
      </c>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row>
    <row r="229" spans="1:51" s="15" customFormat="1">
      <c r="A229" s="12"/>
      <c r="B229" s="36" t="s">
        <v>646</v>
      </c>
      <c r="C229" s="36">
        <v>99.3</v>
      </c>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row>
    <row r="230" spans="1:51" s="15" customFormat="1">
      <c r="A230" s="12"/>
      <c r="B230" s="36" t="s">
        <v>647</v>
      </c>
      <c r="C230" s="36">
        <v>99.6</v>
      </c>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row>
    <row r="231" spans="1:51" s="15" customFormat="1">
      <c r="A231" s="12"/>
      <c r="B231" s="36" t="s">
        <v>648</v>
      </c>
      <c r="C231" s="36">
        <v>99.6</v>
      </c>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row>
    <row r="232" spans="1:51" s="15" customFormat="1">
      <c r="A232" s="12"/>
      <c r="B232" s="36" t="s">
        <v>649</v>
      </c>
      <c r="C232" s="36">
        <v>99.8</v>
      </c>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row>
    <row r="233" spans="1:51" s="15" customFormat="1">
      <c r="A233" s="12"/>
      <c r="B233" s="36" t="s">
        <v>650</v>
      </c>
      <c r="C233" s="36">
        <v>99.6</v>
      </c>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row>
    <row r="234" spans="1:51" s="15" customFormat="1">
      <c r="A234" s="12"/>
      <c r="B234" s="36" t="s">
        <v>651</v>
      </c>
      <c r="C234" s="36">
        <v>99.9</v>
      </c>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row>
    <row r="235" spans="1:51" s="15" customFormat="1">
      <c r="A235" s="12"/>
      <c r="B235" s="36" t="s">
        <v>652</v>
      </c>
      <c r="C235" s="36">
        <v>100</v>
      </c>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row>
    <row r="236" spans="1:51" s="15" customFormat="1">
      <c r="A236" s="12"/>
      <c r="B236" s="36" t="s">
        <v>653</v>
      </c>
      <c r="C236" s="36">
        <v>100.1</v>
      </c>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row>
    <row r="237" spans="1:51" s="15" customFormat="1">
      <c r="A237" s="12"/>
      <c r="B237" s="36" t="s">
        <v>654</v>
      </c>
      <c r="C237" s="36">
        <v>99.9</v>
      </c>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row>
    <row r="238" spans="1:51" s="15" customFormat="1">
      <c r="A238" s="12"/>
      <c r="B238" s="36" t="s">
        <v>409</v>
      </c>
      <c r="C238" s="36">
        <v>99.9</v>
      </c>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row>
    <row r="239" spans="1:51" s="15" customFormat="1">
      <c r="A239" s="12"/>
      <c r="B239" s="36" t="s">
        <v>655</v>
      </c>
      <c r="C239" s="36">
        <v>99.2</v>
      </c>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row>
    <row r="240" spans="1:51" s="15" customFormat="1">
      <c r="A240" s="12"/>
      <c r="B240" s="36" t="s">
        <v>656</v>
      </c>
      <c r="C240" s="36">
        <v>99.5</v>
      </c>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row>
    <row r="241" spans="1:51" s="15" customFormat="1">
      <c r="A241" s="12"/>
      <c r="B241" s="36" t="s">
        <v>657</v>
      </c>
      <c r="C241" s="36">
        <v>99.6</v>
      </c>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row>
    <row r="242" spans="1:51" s="15" customFormat="1">
      <c r="A242" s="12"/>
      <c r="B242" s="36" t="s">
        <v>658</v>
      </c>
      <c r="C242" s="36">
        <v>99.9</v>
      </c>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row>
    <row r="243" spans="1:51" s="15" customFormat="1">
      <c r="A243" s="12"/>
      <c r="B243" s="36" t="s">
        <v>659</v>
      </c>
      <c r="C243" s="36">
        <v>100.1</v>
      </c>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row>
    <row r="244" spans="1:51" s="15" customFormat="1">
      <c r="A244" s="12"/>
      <c r="B244" s="36" t="s">
        <v>410</v>
      </c>
      <c r="C244" s="36">
        <v>100.1</v>
      </c>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row>
    <row r="245" spans="1:51" s="15" customFormat="1">
      <c r="A245" s="12"/>
      <c r="B245" s="36" t="s">
        <v>660</v>
      </c>
      <c r="C245" s="36">
        <v>100</v>
      </c>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row>
    <row r="246" spans="1:51" s="15" customFormat="1">
      <c r="A246" s="12"/>
      <c r="B246" s="36" t="s">
        <v>661</v>
      </c>
      <c r="C246" s="36">
        <v>100.3</v>
      </c>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row>
    <row r="247" spans="1:51" s="15" customFormat="1">
      <c r="A247" s="12"/>
      <c r="B247" s="36" t="s">
        <v>662</v>
      </c>
      <c r="C247" s="36">
        <v>100.2</v>
      </c>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row>
    <row r="248" spans="1:51" s="15" customFormat="1">
      <c r="A248" s="12"/>
      <c r="B248" s="36" t="s">
        <v>663</v>
      </c>
      <c r="C248" s="36">
        <v>100.3</v>
      </c>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row>
    <row r="249" spans="1:51" s="15" customFormat="1">
      <c r="A249" s="12"/>
      <c r="B249" s="36" t="s">
        <v>664</v>
      </c>
      <c r="C249" s="36">
        <v>100.3</v>
      </c>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row>
    <row r="250" spans="1:51" s="15" customFormat="1">
      <c r="A250" s="12"/>
      <c r="B250" s="36" t="s">
        <v>411</v>
      </c>
      <c r="C250" s="36">
        <v>100.4</v>
      </c>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row>
    <row r="251" spans="1:51" s="15" customFormat="1">
      <c r="A251" s="12"/>
      <c r="B251" s="36" t="s">
        <v>665</v>
      </c>
      <c r="C251" s="36">
        <v>99.9</v>
      </c>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row>
    <row r="252" spans="1:51" s="15" customFormat="1">
      <c r="A252" s="12"/>
      <c r="B252" s="36" t="s">
        <v>666</v>
      </c>
      <c r="C252" s="36">
        <v>100.1</v>
      </c>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row>
    <row r="253" spans="1:51" s="15" customFormat="1">
      <c r="A253" s="12"/>
      <c r="B253" s="36" t="s">
        <v>667</v>
      </c>
      <c r="C253" s="36">
        <v>100.4</v>
      </c>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row>
    <row r="254" spans="1:51" s="15" customFormat="1">
      <c r="A254" s="12"/>
      <c r="B254" s="36" t="s">
        <v>668</v>
      </c>
      <c r="C254" s="36">
        <v>100.6</v>
      </c>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row>
    <row r="255" spans="1:51" s="15" customFormat="1">
      <c r="A255" s="12"/>
      <c r="B255" s="36" t="s">
        <v>669</v>
      </c>
      <c r="C255" s="36">
        <v>100.8</v>
      </c>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row>
    <row r="256" spans="1:51" s="15" customFormat="1">
      <c r="A256" s="12"/>
      <c r="B256" s="36" t="s">
        <v>412</v>
      </c>
      <c r="C256" s="36">
        <v>101</v>
      </c>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row>
    <row r="257" spans="1:51" s="15" customFormat="1">
      <c r="A257" s="12"/>
      <c r="B257" s="36" t="s">
        <v>670</v>
      </c>
      <c r="C257" s="36">
        <v>100.9</v>
      </c>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row>
    <row r="258" spans="1:51" s="15" customFormat="1">
      <c r="A258" s="12"/>
      <c r="B258" s="36" t="s">
        <v>671</v>
      </c>
      <c r="C258" s="36">
        <v>101.2</v>
      </c>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row>
    <row r="259" spans="1:51" s="15" customFormat="1">
      <c r="A259" s="12"/>
      <c r="B259" s="36" t="s">
        <v>672</v>
      </c>
      <c r="C259" s="36">
        <v>101.5</v>
      </c>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row>
    <row r="260" spans="1:51" s="15" customFormat="1">
      <c r="A260" s="12"/>
      <c r="B260" s="36" t="s">
        <v>673</v>
      </c>
      <c r="C260" s="36">
        <v>101.6</v>
      </c>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row>
    <row r="261" spans="1:51" s="15" customFormat="1">
      <c r="A261" s="12"/>
      <c r="B261" s="36" t="s">
        <v>674</v>
      </c>
      <c r="C261" s="36">
        <v>101.8</v>
      </c>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row>
    <row r="262" spans="1:51" s="15" customFormat="1">
      <c r="A262" s="12"/>
      <c r="B262" s="36" t="s">
        <v>413</v>
      </c>
      <c r="C262" s="36">
        <v>102.2</v>
      </c>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row>
    <row r="263" spans="1:51" s="15" customFormat="1">
      <c r="A263" s="12"/>
      <c r="B263" s="36" t="s">
        <v>675</v>
      </c>
      <c r="C263" s="36">
        <v>101.8</v>
      </c>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row>
    <row r="264" spans="1:51" s="15" customFormat="1">
      <c r="A264" s="12"/>
      <c r="B264" s="36" t="s">
        <v>676</v>
      </c>
      <c r="C264" s="36">
        <v>102.4</v>
      </c>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row>
    <row r="265" spans="1:51" s="15" customFormat="1">
      <c r="A265" s="12"/>
      <c r="B265" s="36" t="s">
        <v>677</v>
      </c>
      <c r="C265" s="36">
        <v>102.7</v>
      </c>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row>
    <row r="266" spans="1:51" s="15" customFormat="1">
      <c r="A266" s="12"/>
      <c r="B266" s="36" t="s">
        <v>678</v>
      </c>
      <c r="C266" s="36">
        <v>103.2</v>
      </c>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row>
    <row r="267" spans="1:51" s="15" customFormat="1">
      <c r="A267" s="12"/>
      <c r="B267" s="36" t="s">
        <v>679</v>
      </c>
      <c r="C267" s="36">
        <v>103.5</v>
      </c>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row>
    <row r="268" spans="1:51" s="15" customFormat="1">
      <c r="A268" s="12"/>
      <c r="B268" s="36" t="s">
        <v>414</v>
      </c>
      <c r="C268" s="36">
        <v>103.5</v>
      </c>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row>
    <row r="269" spans="1:51" s="15" customFormat="1">
      <c r="A269" s="12"/>
      <c r="B269" s="36" t="s">
        <v>680</v>
      </c>
      <c r="C269" s="36">
        <v>103.5</v>
      </c>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row>
    <row r="270" spans="1:51" s="15" customFormat="1">
      <c r="A270" s="12"/>
      <c r="B270" s="36" t="s">
        <v>681</v>
      </c>
      <c r="C270" s="36">
        <v>104</v>
      </c>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row>
    <row r="271" spans="1:51" s="15" customFormat="1">
      <c r="A271" s="12"/>
      <c r="B271" s="36" t="s">
        <v>682</v>
      </c>
      <c r="C271" s="36">
        <v>104.3</v>
      </c>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row>
    <row r="272" spans="1:51" s="15" customFormat="1">
      <c r="A272" s="12"/>
      <c r="B272" s="36" t="s">
        <v>683</v>
      </c>
      <c r="C272" s="36">
        <v>104.4</v>
      </c>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row>
    <row r="273" spans="1:51" s="15" customFormat="1">
      <c r="A273" s="12"/>
      <c r="B273" s="36" t="s">
        <v>684</v>
      </c>
      <c r="C273" s="36">
        <v>104.7</v>
      </c>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row>
    <row r="274" spans="1:51" s="15" customFormat="1">
      <c r="A274" s="12"/>
      <c r="B274" s="36" t="s">
        <v>415</v>
      </c>
      <c r="C274" s="36">
        <v>105</v>
      </c>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row>
    <row r="275" spans="1:51" s="15" customFormat="1">
      <c r="A275" s="12"/>
      <c r="B275" s="36" t="s">
        <v>685</v>
      </c>
      <c r="C275" s="36">
        <v>104.5</v>
      </c>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row>
    <row r="276" spans="1:51" s="15" customFormat="1">
      <c r="A276" s="12"/>
      <c r="B276" s="36" t="s">
        <v>686</v>
      </c>
      <c r="C276" s="36">
        <v>104.9</v>
      </c>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row>
    <row r="277" spans="1:51" s="15" customFormat="1">
      <c r="A277" s="12"/>
      <c r="B277" s="36" t="s">
        <v>687</v>
      </c>
      <c r="C277" s="36">
        <v>105.1</v>
      </c>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row>
    <row r="278" spans="1:51" s="15" customFormat="1">
      <c r="A278" s="12"/>
      <c r="B278" s="36" t="s">
        <v>688</v>
      </c>
      <c r="C278" s="36">
        <v>105.5</v>
      </c>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row>
    <row r="279" spans="1:51" s="15" customFormat="1">
      <c r="A279" s="12"/>
      <c r="B279" s="36" t="s">
        <v>689</v>
      </c>
      <c r="C279" s="36">
        <v>105.9</v>
      </c>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row>
    <row r="280" spans="1:51" s="15" customFormat="1">
      <c r="A280" s="12"/>
      <c r="B280" s="36" t="s">
        <v>416</v>
      </c>
      <c r="C280" s="36">
        <v>105.9</v>
      </c>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row>
    <row r="281" spans="1:51" s="15" customFormat="1">
      <c r="A281" s="12"/>
      <c r="B281" s="42" t="s">
        <v>690</v>
      </c>
      <c r="C281" s="42">
        <v>105.9</v>
      </c>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row>
    <row r="282" spans="1:51" s="15" customFormat="1">
      <c r="A282" s="12"/>
      <c r="B282" s="42" t="s">
        <v>691</v>
      </c>
      <c r="C282" s="42">
        <v>106.5</v>
      </c>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row>
    <row r="283" spans="1:51" s="15" customFormat="1">
      <c r="A283" s="12"/>
      <c r="B283" s="42" t="s">
        <v>692</v>
      </c>
      <c r="C283" s="42">
        <v>106.6</v>
      </c>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row>
    <row r="284" spans="1:51" s="15" customFormat="1">
      <c r="A284" s="12"/>
      <c r="B284" s="42" t="s">
        <v>693</v>
      </c>
      <c r="C284" s="42">
        <v>106.7</v>
      </c>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row>
    <row r="285" spans="1:51" s="15" customFormat="1">
      <c r="A285" s="12"/>
      <c r="B285" s="42" t="s">
        <v>694</v>
      </c>
      <c r="C285" s="42">
        <v>106.9</v>
      </c>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row>
    <row r="286" spans="1:51" s="15" customFormat="1">
      <c r="A286" s="12"/>
      <c r="B286" s="42" t="s">
        <v>417</v>
      </c>
      <c r="C286" s="42">
        <v>107.1</v>
      </c>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row>
    <row r="287" spans="1:51" s="15" customFormat="1">
      <c r="A287" s="12"/>
      <c r="B287" s="42" t="s">
        <v>695</v>
      </c>
      <c r="C287" s="44">
        <v>106.4</v>
      </c>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row>
    <row r="288" spans="1:51" s="15" customFormat="1">
      <c r="A288" s="12"/>
      <c r="B288" s="42" t="s">
        <v>696</v>
      </c>
      <c r="C288" s="44">
        <v>106.8</v>
      </c>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row>
    <row r="289" spans="1:51" s="15" customFormat="1">
      <c r="A289" s="12"/>
      <c r="B289" s="42" t="s">
        <v>697</v>
      </c>
      <c r="C289" s="44">
        <v>107</v>
      </c>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row>
    <row r="290" spans="1:51" s="15" customFormat="1">
      <c r="A290" s="12"/>
      <c r="B290" s="42" t="s">
        <v>698</v>
      </c>
      <c r="C290" s="44">
        <v>107.6</v>
      </c>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row>
    <row r="291" spans="1:51" s="15" customFormat="1">
      <c r="A291" s="12"/>
      <c r="B291" s="42" t="s">
        <v>699</v>
      </c>
      <c r="C291" s="44">
        <v>107.9</v>
      </c>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row>
    <row r="292" spans="1:51" s="15" customFormat="1">
      <c r="A292" s="12"/>
      <c r="B292" s="42" t="s">
        <v>418</v>
      </c>
      <c r="C292" s="44">
        <v>107.9</v>
      </c>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row>
    <row r="293" spans="1:51" s="15" customFormat="1">
      <c r="A293" s="12"/>
      <c r="B293" s="42" t="s">
        <v>700</v>
      </c>
      <c r="C293" s="44">
        <v>108</v>
      </c>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row>
    <row r="294" spans="1:51" s="15" customFormat="1">
      <c r="A294" s="12"/>
      <c r="B294" s="42" t="s">
        <v>701</v>
      </c>
      <c r="C294" s="44">
        <v>108.3</v>
      </c>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row>
    <row r="295" spans="1:51" s="15" customFormat="1">
      <c r="A295" s="12"/>
      <c r="B295" s="42" t="s">
        <v>702</v>
      </c>
      <c r="C295" s="44">
        <v>108.4</v>
      </c>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row>
    <row r="296" spans="1:51" s="15" customFormat="1">
      <c r="A296" s="12"/>
      <c r="B296" s="42" t="s">
        <v>703</v>
      </c>
      <c r="C296" s="44">
        <v>108.3</v>
      </c>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row>
    <row r="297" spans="1:51" s="15" customFormat="1">
      <c r="A297" s="12"/>
      <c r="B297" s="42" t="s">
        <v>704</v>
      </c>
      <c r="C297" s="44">
        <v>108.5</v>
      </c>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row>
    <row r="298" spans="1:51" s="15" customFormat="1">
      <c r="A298" s="12"/>
      <c r="B298" s="42" t="s">
        <v>419</v>
      </c>
      <c r="C298" s="44">
        <v>108.5</v>
      </c>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row>
    <row r="299" spans="1:51" s="15" customFormat="1">
      <c r="A299" s="12"/>
      <c r="B299" s="47" t="s">
        <v>705</v>
      </c>
      <c r="C299" s="48">
        <v>108.3</v>
      </c>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row>
    <row r="300" spans="1:51" s="15" customFormat="1">
      <c r="A300" s="12"/>
      <c r="B300" s="47" t="s">
        <v>706</v>
      </c>
      <c r="C300" s="48">
        <v>108.6</v>
      </c>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row>
    <row r="301" spans="1:51" s="15" customFormat="1">
      <c r="A301" s="12"/>
      <c r="B301" s="47" t="s">
        <v>707</v>
      </c>
      <c r="C301" s="48">
        <v>108.6</v>
      </c>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row>
    <row r="302" spans="1:51" s="15" customFormat="1">
      <c r="A302" s="12"/>
      <c r="B302" s="47" t="s">
        <v>708</v>
      </c>
      <c r="C302" s="48">
        <v>108.6</v>
      </c>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row>
    <row r="303" spans="1:51" s="15" customFormat="1">
      <c r="A303" s="12"/>
      <c r="B303" s="47" t="s">
        <v>709</v>
      </c>
      <c r="C303" s="48">
        <v>108.6</v>
      </c>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row>
    <row r="304" spans="1:51" s="15" customFormat="1">
      <c r="A304" s="12"/>
      <c r="B304" s="47" t="s">
        <v>420</v>
      </c>
      <c r="C304" s="48">
        <v>108.8</v>
      </c>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row>
    <row r="305" spans="1:51" s="15" customFormat="1">
      <c r="A305" s="12"/>
      <c r="B305" s="42" t="s">
        <v>710</v>
      </c>
      <c r="C305" s="42">
        <v>109.2</v>
      </c>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row>
    <row r="306" spans="1:51" s="15" customFormat="1">
      <c r="A306" s="12"/>
      <c r="B306" s="42" t="s">
        <v>711</v>
      </c>
      <c r="C306" s="42">
        <v>108.8</v>
      </c>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row>
    <row r="307" spans="1:51" s="15" customFormat="1">
      <c r="A307" s="12"/>
      <c r="B307" s="42" t="s">
        <v>712</v>
      </c>
      <c r="C307" s="42">
        <v>109.2</v>
      </c>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row>
    <row r="308" spans="1:51" s="15" customFormat="1">
      <c r="A308" s="12"/>
      <c r="B308" s="42" t="s">
        <v>713</v>
      </c>
      <c r="C308" s="42">
        <v>109.2</v>
      </c>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row>
    <row r="309" spans="1:51" s="15" customFormat="1">
      <c r="A309" s="12"/>
      <c r="B309" s="42" t="s">
        <v>714</v>
      </c>
      <c r="C309" s="42">
        <v>109.1</v>
      </c>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row>
    <row r="310" spans="1:51" s="15" customFormat="1">
      <c r="A310" s="12"/>
      <c r="B310" s="42" t="s">
        <v>421</v>
      </c>
      <c r="C310" s="42">
        <v>109.4</v>
      </c>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row>
    <row r="311" spans="1:51" s="15" customFormat="1">
      <c r="A311" s="12"/>
      <c r="B311" s="42" t="s">
        <v>715</v>
      </c>
      <c r="C311" s="42">
        <v>109.3</v>
      </c>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row>
    <row r="312" spans="1:51" s="15" customFormat="1">
      <c r="A312" s="12"/>
      <c r="B312" s="42" t="s">
        <v>716</v>
      </c>
      <c r="C312" s="42">
        <v>109.4</v>
      </c>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row>
    <row r="313" spans="1:51" s="15" customFormat="1">
      <c r="A313" s="12"/>
      <c r="B313" s="42" t="s">
        <v>717</v>
      </c>
      <c r="C313" s="42">
        <v>109.7</v>
      </c>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row>
    <row r="314" spans="1:51" s="15" customFormat="1">
      <c r="A314" s="12"/>
      <c r="B314" s="42" t="s">
        <v>718</v>
      </c>
      <c r="C314" s="42">
        <v>110.4</v>
      </c>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row>
    <row r="315" spans="1:51" s="15" customFormat="1">
      <c r="A315" s="12"/>
      <c r="B315" s="42" t="s">
        <v>719</v>
      </c>
      <c r="C315" s="44">
        <v>111</v>
      </c>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row>
    <row r="316" spans="1:51" s="15" customFormat="1">
      <c r="A316" s="12"/>
      <c r="B316" s="42" t="s">
        <v>422</v>
      </c>
      <c r="C316" s="42">
        <v>111.4</v>
      </c>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row>
    <row r="317" spans="1:51" s="15" customFormat="1">
      <c r="A317" s="12"/>
      <c r="B317" s="42" t="s">
        <v>720</v>
      </c>
      <c r="C317" s="42">
        <v>111.4</v>
      </c>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row>
    <row r="318" spans="1:51" s="15" customFormat="1">
      <c r="A318" s="12"/>
      <c r="B318" s="42" t="s">
        <v>721</v>
      </c>
      <c r="C318" s="42">
        <v>112.1</v>
      </c>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row>
    <row r="319" spans="1:51" s="15" customFormat="1">
      <c r="A319" s="12"/>
      <c r="B319" s="42" t="s">
        <v>722</v>
      </c>
      <c r="C319" s="42">
        <v>112.4</v>
      </c>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row>
    <row r="320" spans="1:51" s="15" customFormat="1">
      <c r="A320" s="12"/>
      <c r="B320" s="42" t="s">
        <v>723</v>
      </c>
      <c r="C320" s="42">
        <v>113.4</v>
      </c>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row>
    <row r="321" spans="1:51" s="15" customFormat="1">
      <c r="A321" s="12"/>
      <c r="B321" s="42" t="s">
        <v>724</v>
      </c>
      <c r="C321" s="42">
        <v>114.1</v>
      </c>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row>
    <row r="322" spans="1:51" s="15" customFormat="1">
      <c r="A322" s="12"/>
      <c r="B322" s="42" t="s">
        <v>423</v>
      </c>
      <c r="C322" s="42">
        <v>114.7</v>
      </c>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row>
    <row r="323" spans="1:51" s="15" customFormat="1">
      <c r="A323" s="12"/>
      <c r="B323" s="135" t="s">
        <v>725</v>
      </c>
      <c r="C323" s="135">
        <v>114.6</v>
      </c>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row>
    <row r="324" spans="1:51" s="15" customFormat="1">
      <c r="A324" s="12"/>
      <c r="B324" s="135" t="s">
        <v>726</v>
      </c>
      <c r="C324" s="135">
        <v>115.4</v>
      </c>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row>
    <row r="325" spans="1:51" s="15" customFormat="1">
      <c r="A325" s="12"/>
      <c r="B325" s="135" t="s">
        <v>727</v>
      </c>
      <c r="C325" s="135">
        <v>116.5</v>
      </c>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row>
    <row r="326" spans="1:51" s="15" customFormat="1">
      <c r="A326" s="12"/>
      <c r="B326" s="135" t="s">
        <v>728</v>
      </c>
      <c r="C326" s="135">
        <v>119</v>
      </c>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row>
    <row r="327" spans="1:51" s="15" customFormat="1">
      <c r="A327" s="12"/>
      <c r="B327" s="135" t="s">
        <v>729</v>
      </c>
      <c r="C327" s="135">
        <v>119.7</v>
      </c>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row>
    <row r="328" spans="1:51" s="15" customFormat="1">
      <c r="A328" s="12"/>
      <c r="B328" s="135" t="s">
        <v>424</v>
      </c>
      <c r="C328" s="135">
        <v>120.5</v>
      </c>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row>
    <row r="329" spans="1:51">
      <c r="B329" s="135" t="s">
        <v>730</v>
      </c>
      <c r="C329" s="135">
        <v>121.2</v>
      </c>
    </row>
    <row r="330" spans="1:51">
      <c r="B330" s="135" t="s">
        <v>731</v>
      </c>
      <c r="C330" s="135">
        <v>121.8</v>
      </c>
    </row>
    <row r="331" spans="1:51">
      <c r="B331" s="135" t="s">
        <v>732</v>
      </c>
      <c r="C331" s="135">
        <v>122.3</v>
      </c>
    </row>
    <row r="332" spans="1:51">
      <c r="B332" s="135" t="s">
        <v>733</v>
      </c>
      <c r="C332" s="135">
        <v>124.3</v>
      </c>
    </row>
    <row r="333" spans="1:51">
      <c r="B333" s="135" t="s">
        <v>734</v>
      </c>
      <c r="C333" s="135">
        <v>124.8</v>
      </c>
    </row>
    <row r="334" spans="1:51">
      <c r="B334" s="135" t="s">
        <v>425</v>
      </c>
      <c r="C334" s="135">
        <v>125.3</v>
      </c>
    </row>
    <row r="335" spans="1:51">
      <c r="B335" s="135" t="s">
        <v>735</v>
      </c>
      <c r="C335" s="135">
        <v>124.8</v>
      </c>
    </row>
    <row r="336" spans="1:51">
      <c r="B336" s="135" t="s">
        <v>736</v>
      </c>
      <c r="C336" s="135">
        <v>126</v>
      </c>
    </row>
    <row r="337" spans="2:3">
      <c r="B337" s="135" t="s">
        <v>737</v>
      </c>
      <c r="C337" s="135">
        <v>126.8</v>
      </c>
    </row>
    <row r="338" spans="2:3">
      <c r="B338" s="135" t="s">
        <v>738</v>
      </c>
      <c r="C338" s="135">
        <v>128.30000000000001</v>
      </c>
    </row>
    <row r="339" spans="2:3">
      <c r="B339" s="135" t="s">
        <v>739</v>
      </c>
      <c r="C339" s="135">
        <v>129.1</v>
      </c>
    </row>
    <row r="340" spans="2:3">
      <c r="B340" s="135" t="s">
        <v>426</v>
      </c>
      <c r="C340" s="135">
        <v>129.4</v>
      </c>
    </row>
    <row r="341" spans="2:3">
      <c r="B341" s="135" t="s">
        <v>740</v>
      </c>
      <c r="C341" s="135">
        <v>129</v>
      </c>
    </row>
    <row r="342" spans="2:3">
      <c r="B342" s="135" t="s">
        <v>741</v>
      </c>
      <c r="C342" s="135">
        <v>129.4</v>
      </c>
    </row>
    <row r="343" spans="2:3">
      <c r="B343" s="135" t="s">
        <v>742</v>
      </c>
      <c r="C343" s="135">
        <v>130.1</v>
      </c>
    </row>
    <row r="344" spans="2:3">
      <c r="B344" s="135" t="s">
        <v>743</v>
      </c>
      <c r="C344" s="135">
        <v>130.19999999999999</v>
      </c>
    </row>
    <row r="345" spans="2:3">
      <c r="B345" s="135" t="s">
        <v>744</v>
      </c>
      <c r="C345" s="135">
        <v>130</v>
      </c>
    </row>
    <row r="346" spans="2:3">
      <c r="B346" s="135" t="s">
        <v>427</v>
      </c>
      <c r="C346" s="135">
        <v>130.5</v>
      </c>
    </row>
    <row r="347" spans="2:3">
      <c r="B347" s="135" t="s">
        <v>745</v>
      </c>
      <c r="C347" s="135">
        <v>130</v>
      </c>
    </row>
    <row r="348" spans="2:3">
      <c r="B348" s="135" t="s">
        <v>746</v>
      </c>
      <c r="C348" s="135">
        <v>130.80000000000001</v>
      </c>
    </row>
    <row r="349" spans="2:3">
      <c r="B349" s="135" t="s">
        <v>747</v>
      </c>
      <c r="C349" s="135">
        <v>131.6</v>
      </c>
    </row>
    <row r="350" spans="2:3">
      <c r="B350" s="135" t="s">
        <v>748</v>
      </c>
      <c r="C350" s="135">
        <v>132.19999999999999</v>
      </c>
    </row>
    <row r="351" spans="2:3">
      <c r="B351" s="135" t="s">
        <v>749</v>
      </c>
      <c r="C351" s="135">
        <v>132.69999999999999</v>
      </c>
    </row>
    <row r="352" spans="2:3">
      <c r="B352" s="135" t="s">
        <v>428</v>
      </c>
      <c r="C352" s="135">
        <v>133</v>
      </c>
    </row>
    <row r="353" spans="2:3">
      <c r="B353" s="135" t="s">
        <v>750</v>
      </c>
      <c r="C353" s="135">
        <v>132.9</v>
      </c>
    </row>
    <row r="354" spans="2:3">
      <c r="B354" s="135" t="s">
        <v>751</v>
      </c>
      <c r="C354" s="135">
        <v>133.4</v>
      </c>
    </row>
    <row r="355" spans="2:3">
      <c r="B355" s="135" t="s">
        <v>752</v>
      </c>
      <c r="C355" s="135">
        <v>133.5</v>
      </c>
    </row>
    <row r="356" spans="2:3">
      <c r="B356" s="135" t="s">
        <v>753</v>
      </c>
      <c r="C356" s="135">
        <v>134.30000000000001</v>
      </c>
    </row>
    <row r="357" spans="2:3">
      <c r="B357" s="135" t="s">
        <v>754</v>
      </c>
      <c r="C357" s="135">
        <v>134.6</v>
      </c>
    </row>
    <row r="358" spans="2:3">
      <c r="B358" s="135" t="s">
        <v>429</v>
      </c>
      <c r="C358" s="135">
        <v>135.1</v>
      </c>
    </row>
    <row r="359" spans="2:3">
      <c r="B359" s="135"/>
      <c r="C359" s="135"/>
    </row>
    <row r="360" spans="2:3">
      <c r="B360" s="135"/>
      <c r="C360" s="135"/>
    </row>
    <row r="361" spans="2:3">
      <c r="B361" s="135"/>
      <c r="C361" s="135"/>
    </row>
    <row r="362" spans="2:3">
      <c r="B362" s="135"/>
      <c r="C362" s="135"/>
    </row>
    <row r="363" spans="2:3">
      <c r="B363" s="135"/>
      <c r="C363" s="135"/>
    </row>
    <row r="364" spans="2:3">
      <c r="B364" s="135"/>
      <c r="C364" s="135"/>
    </row>
    <row r="365" spans="2:3">
      <c r="B365" s="135"/>
      <c r="C365" s="135"/>
    </row>
    <row r="366" spans="2:3">
      <c r="B366" s="135"/>
      <c r="C366" s="135"/>
    </row>
    <row r="367" spans="2:3">
      <c r="B367" s="135"/>
      <c r="C367" s="135"/>
    </row>
    <row r="368" spans="2:3">
      <c r="B368" s="135"/>
      <c r="C368" s="135"/>
    </row>
    <row r="369" spans="2:3">
      <c r="B369" s="135"/>
      <c r="C369" s="135"/>
    </row>
    <row r="370" spans="2:3">
      <c r="B370" s="135"/>
      <c r="C370" s="135"/>
    </row>
    <row r="371" spans="2:3">
      <c r="B371" s="135"/>
      <c r="C371" s="135"/>
    </row>
    <row r="372" spans="2:3">
      <c r="B372" s="135"/>
      <c r="C372" s="135"/>
    </row>
    <row r="373" spans="2:3">
      <c r="B373" s="135"/>
      <c r="C373" s="135"/>
    </row>
    <row r="374" spans="2:3">
      <c r="B374" s="135"/>
      <c r="C374" s="135"/>
    </row>
    <row r="375" spans="2:3">
      <c r="B375" s="135"/>
      <c r="C375" s="135"/>
    </row>
    <row r="376" spans="2:3">
      <c r="B376" s="135"/>
      <c r="C376" s="135"/>
    </row>
    <row r="377" spans="2:3">
      <c r="B377" s="135"/>
      <c r="C377" s="135"/>
    </row>
    <row r="378" spans="2:3">
      <c r="B378" s="135"/>
      <c r="C378" s="135"/>
    </row>
    <row r="379" spans="2:3">
      <c r="B379" s="135"/>
      <c r="C379" s="135"/>
    </row>
    <row r="380" spans="2:3">
      <c r="B380" s="135"/>
      <c r="C380" s="135"/>
    </row>
    <row r="381" spans="2:3">
      <c r="B381" s="135"/>
      <c r="C381" s="135"/>
    </row>
    <row r="382" spans="2:3">
      <c r="B382" s="135"/>
      <c r="C382" s="135"/>
    </row>
    <row r="383" spans="2:3">
      <c r="B383" s="135"/>
      <c r="C383" s="135"/>
    </row>
    <row r="384" spans="2:3">
      <c r="B384" s="135"/>
      <c r="C384" s="135"/>
    </row>
    <row r="385" spans="2:3">
      <c r="B385" s="135"/>
      <c r="C385" s="135"/>
    </row>
    <row r="386" spans="2:3">
      <c r="B386" s="135"/>
      <c r="C386" s="135"/>
    </row>
    <row r="387" spans="2:3">
      <c r="B387" s="135"/>
      <c r="C387" s="135"/>
    </row>
    <row r="388" spans="2:3">
      <c r="B388" s="135"/>
      <c r="C388" s="135"/>
    </row>
    <row r="389" spans="2:3">
      <c r="B389" s="135"/>
      <c r="C389" s="135"/>
    </row>
    <row r="390" spans="2:3">
      <c r="B390" s="135"/>
      <c r="C390" s="135"/>
    </row>
    <row r="391" spans="2:3">
      <c r="B391" s="135"/>
      <c r="C391" s="135"/>
    </row>
    <row r="392" spans="2:3">
      <c r="B392" s="135"/>
      <c r="C392" s="135"/>
    </row>
    <row r="393" spans="2:3">
      <c r="B393" s="135"/>
      <c r="C393" s="135"/>
    </row>
    <row r="394" spans="2:3">
      <c r="B394" s="135"/>
      <c r="C394" s="135"/>
    </row>
    <row r="395" spans="2:3">
      <c r="B395" s="135"/>
      <c r="C395" s="135"/>
    </row>
    <row r="396" spans="2:3">
      <c r="B396" s="135"/>
      <c r="C396" s="135"/>
    </row>
    <row r="397" spans="2:3">
      <c r="B397" s="135"/>
      <c r="C397" s="135"/>
    </row>
    <row r="398" spans="2:3">
      <c r="B398" s="135"/>
      <c r="C398" s="135"/>
    </row>
    <row r="399" spans="2:3">
      <c r="B399" s="135"/>
      <c r="C399" s="135"/>
    </row>
    <row r="400" spans="2:3">
      <c r="B400" s="135"/>
      <c r="C400" s="135"/>
    </row>
    <row r="401" spans="2:3">
      <c r="B401" s="135"/>
      <c r="C401" s="135"/>
    </row>
    <row r="402" spans="2:3">
      <c r="B402" s="135"/>
      <c r="C402" s="135"/>
    </row>
    <row r="403" spans="2:3">
      <c r="B403" s="135"/>
      <c r="C403" s="135"/>
    </row>
    <row r="404" spans="2:3">
      <c r="B404" s="135"/>
      <c r="C404" s="135"/>
    </row>
    <row r="405" spans="2:3">
      <c r="B405" s="135"/>
      <c r="C405" s="135"/>
    </row>
    <row r="406" spans="2:3">
      <c r="B406" s="135"/>
      <c r="C406" s="135"/>
    </row>
    <row r="407" spans="2:3">
      <c r="B407" s="135"/>
      <c r="C407" s="135"/>
    </row>
    <row r="408" spans="2:3">
      <c r="B408" s="135"/>
      <c r="C408" s="135"/>
    </row>
    <row r="409" spans="2:3">
      <c r="B409" s="135"/>
      <c r="C409" s="135"/>
    </row>
    <row r="410" spans="2:3">
      <c r="B410" s="135"/>
      <c r="C410" s="135"/>
    </row>
    <row r="411" spans="2:3">
      <c r="B411" s="135"/>
      <c r="C411" s="135"/>
    </row>
    <row r="412" spans="2:3">
      <c r="B412" s="135"/>
      <c r="C412" s="135"/>
    </row>
    <row r="413" spans="2:3">
      <c r="B413" s="135"/>
      <c r="C413" s="135"/>
    </row>
    <row r="414" spans="2:3">
      <c r="B414" s="135"/>
      <c r="C414" s="135"/>
    </row>
    <row r="415" spans="2:3">
      <c r="B415" s="135"/>
      <c r="C415" s="135"/>
    </row>
    <row r="416" spans="2:3">
      <c r="B416" s="135"/>
      <c r="C416" s="135"/>
    </row>
    <row r="417" spans="2:3">
      <c r="B417" s="135"/>
      <c r="C417" s="135"/>
    </row>
    <row r="418" spans="2:3">
      <c r="B418" s="135"/>
      <c r="C418" s="135"/>
    </row>
    <row r="419" spans="2:3">
      <c r="B419" s="135"/>
      <c r="C419" s="135"/>
    </row>
    <row r="420" spans="2:3">
      <c r="B420" s="135"/>
      <c r="C420" s="135"/>
    </row>
    <row r="421" spans="2:3">
      <c r="B421" s="135"/>
      <c r="C421" s="135"/>
    </row>
    <row r="422" spans="2:3">
      <c r="B422" s="135"/>
      <c r="C422" s="135"/>
    </row>
    <row r="423" spans="2:3">
      <c r="B423" s="135"/>
      <c r="C423" s="135"/>
    </row>
    <row r="424" spans="2:3">
      <c r="B424" s="135"/>
      <c r="C424" s="135"/>
    </row>
    <row r="425" spans="2:3">
      <c r="B425" s="135"/>
      <c r="C425" s="135"/>
    </row>
    <row r="426" spans="2:3">
      <c r="B426" s="135"/>
      <c r="C426" s="135"/>
    </row>
    <row r="427" spans="2:3">
      <c r="B427" s="135"/>
      <c r="C427" s="135"/>
    </row>
    <row r="428" spans="2:3">
      <c r="B428" s="135"/>
      <c r="C428" s="135"/>
    </row>
    <row r="429" spans="2:3">
      <c r="B429" s="135"/>
      <c r="C429" s="135"/>
    </row>
    <row r="430" spans="2:3">
      <c r="B430" s="135"/>
      <c r="C430" s="135"/>
    </row>
    <row r="431" spans="2:3">
      <c r="B431" s="135"/>
      <c r="C431" s="135"/>
    </row>
    <row r="432" spans="2:3">
      <c r="B432" s="135"/>
      <c r="C432" s="135"/>
    </row>
    <row r="433" spans="2:3">
      <c r="B433" s="135"/>
      <c r="C433" s="135"/>
    </row>
    <row r="434" spans="2:3">
      <c r="B434" s="135"/>
      <c r="C434" s="135"/>
    </row>
    <row r="435" spans="2:3">
      <c r="B435" s="135"/>
      <c r="C435" s="135"/>
    </row>
    <row r="436" spans="2:3">
      <c r="B436" s="135"/>
      <c r="C436" s="135"/>
    </row>
    <row r="437" spans="2:3">
      <c r="B437" s="135"/>
      <c r="C437" s="135"/>
    </row>
  </sheetData>
  <mergeCells count="8">
    <mergeCell ref="L11:AX11"/>
    <mergeCell ref="L12:AX12"/>
    <mergeCell ref="C21:F21"/>
    <mergeCell ref="C22:F22"/>
    <mergeCell ref="B3:R3"/>
    <mergeCell ref="B11:B12"/>
    <mergeCell ref="C11:J11"/>
    <mergeCell ref="C12:J12"/>
  </mergeCells>
  <phoneticPr fontId="35" type="noConversion"/>
  <hyperlinks>
    <hyperlink ref="C22" r:id="rId1" xr:uid="{00000000-0004-0000-0900-000000000000}"/>
  </hyperlinks>
  <pageMargins left="0.75" right="0.75" top="1" bottom="1" header="0.5" footer="0.5"/>
  <pageSetup orientation="portrait" horizontalDpi="300" verticalDpi="300" r:id="rId2"/>
  <headerFooter alignWithMargins="0">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7382E-609F-43DB-BF26-DF8D50C54CE9}">
  <sheetPr>
    <tabColor rgb="FFFF5050"/>
    <pageSetUpPr autoPageBreaks="0"/>
  </sheetPr>
  <dimension ref="A1:AX20"/>
  <sheetViews>
    <sheetView zoomScaleNormal="100" workbookViewId="0"/>
  </sheetViews>
  <sheetFormatPr defaultColWidth="0" defaultRowHeight="12.75" customHeight="1" zeroHeight="1"/>
  <cols>
    <col min="1" max="1" width="9" style="29" customWidth="1"/>
    <col min="2" max="2" width="48.28515625" style="29" bestFit="1" customWidth="1"/>
    <col min="3" max="3" width="51.42578125" style="29" customWidth="1"/>
    <col min="4" max="4" width="15.7109375" style="29" customWidth="1"/>
    <col min="5" max="5" width="33.7109375" style="29" customWidth="1"/>
    <col min="6" max="9" width="17.5703125" style="29" customWidth="1"/>
    <col min="10" max="10" width="1.28515625" style="29" customWidth="1"/>
    <col min="11" max="49" width="17.5703125" style="29" customWidth="1"/>
    <col min="50" max="50" width="9" style="29" customWidth="1"/>
    <col min="51" max="16384" width="9" style="29" hidden="1"/>
  </cols>
  <sheetData>
    <row r="1" spans="1:50" s="24" customFormat="1" ht="12.75"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row>
    <row r="2" spans="1:50" s="24" customFormat="1" ht="18.75" customHeight="1">
      <c r="A2" s="67"/>
      <c r="B2" s="4" t="s">
        <v>755</v>
      </c>
      <c r="C2" s="28"/>
      <c r="D2" s="28"/>
      <c r="E2" s="28"/>
      <c r="F2" s="28"/>
      <c r="G2" s="28"/>
      <c r="H2" s="28"/>
      <c r="I2" s="28"/>
      <c r="J2" s="28"/>
      <c r="K2" s="28"/>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row>
    <row r="3" spans="1:50" s="24" customFormat="1" ht="14.25" customHeight="1">
      <c r="A3" s="67"/>
      <c r="B3" s="235" t="s">
        <v>756</v>
      </c>
      <c r="C3" s="235"/>
      <c r="D3" s="235"/>
      <c r="E3" s="235"/>
      <c r="F3" s="109"/>
      <c r="G3" s="109"/>
      <c r="H3" s="109"/>
      <c r="I3" s="109"/>
      <c r="J3" s="109"/>
      <c r="K3" s="109"/>
      <c r="L3" s="109"/>
      <c r="M3" s="109"/>
      <c r="N3" s="67"/>
      <c r="O3" s="67"/>
      <c r="P3" s="67"/>
      <c r="Q3" s="67"/>
      <c r="R3" s="67"/>
      <c r="S3" s="67"/>
      <c r="T3" s="67"/>
      <c r="U3" s="67"/>
      <c r="V3" s="67"/>
      <c r="W3" s="67"/>
      <c r="X3" s="67"/>
      <c r="Y3" s="68"/>
      <c r="Z3" s="68"/>
      <c r="AA3" s="68"/>
      <c r="AB3" s="68"/>
      <c r="AC3" s="68"/>
      <c r="AD3" s="67"/>
      <c r="AE3" s="67"/>
      <c r="AF3" s="67"/>
      <c r="AG3" s="67"/>
      <c r="AH3" s="67"/>
      <c r="AI3" s="67"/>
      <c r="AJ3" s="67"/>
      <c r="AK3" s="67"/>
      <c r="AL3" s="67"/>
      <c r="AM3" s="67"/>
      <c r="AN3" s="67"/>
      <c r="AO3" s="67"/>
      <c r="AP3" s="67"/>
      <c r="AQ3" s="67"/>
      <c r="AR3" s="67"/>
      <c r="AS3" s="67"/>
      <c r="AT3" s="67"/>
      <c r="AU3" s="67"/>
      <c r="AV3" s="67"/>
      <c r="AW3" s="67"/>
      <c r="AX3" s="67"/>
    </row>
    <row r="4" spans="1:50" s="24" customFormat="1" ht="12.75"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row>
    <row r="5" spans="1:50" s="25" customFormat="1" ht="12.4">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row>
    <row r="6" spans="1:50" s="25" customFormat="1" ht="12.4">
      <c r="A6" s="58"/>
      <c r="B6" s="122" t="s">
        <v>49</v>
      </c>
      <c r="C6" s="122" t="s">
        <v>259</v>
      </c>
      <c r="D6" s="122" t="s">
        <v>102</v>
      </c>
      <c r="E6" s="122" t="s">
        <v>104</v>
      </c>
      <c r="F6" s="122" t="s">
        <v>757</v>
      </c>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row>
    <row r="7" spans="1:50" s="25" customFormat="1" ht="53.65" customHeight="1">
      <c r="A7" s="58"/>
      <c r="B7" s="123" t="s">
        <v>758</v>
      </c>
      <c r="C7" s="313" t="s">
        <v>759</v>
      </c>
      <c r="D7" s="52" t="s">
        <v>213</v>
      </c>
      <c r="E7" s="52" t="s">
        <v>760</v>
      </c>
      <c r="F7" s="111">
        <v>7.95</v>
      </c>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row>
    <row r="8" spans="1:50" s="25" customFormat="1" ht="61.5" customHeight="1">
      <c r="A8" s="58"/>
      <c r="B8" s="52" t="s">
        <v>758</v>
      </c>
      <c r="C8" s="314"/>
      <c r="D8" s="52" t="s">
        <v>223</v>
      </c>
      <c r="E8" s="52" t="s">
        <v>760</v>
      </c>
      <c r="F8" s="111">
        <v>8.9700000000000006</v>
      </c>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row>
    <row r="9" spans="1:50" s="25" customFormat="1" ht="12.4">
      <c r="A9" s="58"/>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row>
    <row r="10" spans="1:50" s="25" customFormat="1" ht="12" customHeight="1">
      <c r="A10" s="58"/>
      <c r="B10" s="274" t="s">
        <v>49</v>
      </c>
      <c r="C10" s="274" t="s">
        <v>102</v>
      </c>
      <c r="D10" s="274" t="s">
        <v>104</v>
      </c>
      <c r="E10" s="278"/>
      <c r="F10" s="236" t="s">
        <v>105</v>
      </c>
      <c r="G10" s="237"/>
      <c r="H10" s="237"/>
      <c r="I10" s="238"/>
      <c r="J10" s="26"/>
      <c r="K10" s="282" t="s">
        <v>106</v>
      </c>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4"/>
      <c r="AX10" s="58"/>
    </row>
    <row r="11" spans="1:50" s="25" customFormat="1" ht="30" customHeight="1">
      <c r="A11" s="58"/>
      <c r="B11" s="277"/>
      <c r="C11" s="277"/>
      <c r="D11" s="277"/>
      <c r="E11" s="278"/>
      <c r="F11" s="310" t="s">
        <v>260</v>
      </c>
      <c r="G11" s="311"/>
      <c r="H11" s="311"/>
      <c r="I11" s="312"/>
      <c r="J11" s="26"/>
      <c r="K11" s="285" t="s">
        <v>108</v>
      </c>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7"/>
      <c r="AX11" s="58"/>
    </row>
    <row r="12" spans="1:50" s="25" customFormat="1" ht="24.75">
      <c r="A12" s="58"/>
      <c r="B12" s="277"/>
      <c r="C12" s="277"/>
      <c r="D12" s="277"/>
      <c r="E12" s="90" t="s">
        <v>261</v>
      </c>
      <c r="F12" s="70" t="s">
        <v>110</v>
      </c>
      <c r="G12" s="70" t="s">
        <v>111</v>
      </c>
      <c r="H12" s="70" t="s">
        <v>112</v>
      </c>
      <c r="I12" s="70" t="s">
        <v>113</v>
      </c>
      <c r="J12" s="26"/>
      <c r="K12" s="70" t="s">
        <v>114</v>
      </c>
      <c r="L12" s="70" t="s">
        <v>115</v>
      </c>
      <c r="M12" s="70" t="s">
        <v>116</v>
      </c>
      <c r="N12" s="70" t="s">
        <v>117</v>
      </c>
      <c r="O12" s="70" t="s">
        <v>118</v>
      </c>
      <c r="P12" s="70" t="s">
        <v>119</v>
      </c>
      <c r="Q12" s="70" t="s">
        <v>120</v>
      </c>
      <c r="R12" s="70" t="s">
        <v>121</v>
      </c>
      <c r="S12" s="70" t="s">
        <v>122</v>
      </c>
      <c r="T12" s="70" t="s">
        <v>123</v>
      </c>
      <c r="U12" s="70" t="s">
        <v>124</v>
      </c>
      <c r="V12" s="70" t="s">
        <v>125</v>
      </c>
      <c r="W12" s="70" t="s">
        <v>126</v>
      </c>
      <c r="X12" s="70" t="s">
        <v>127</v>
      </c>
      <c r="Y12" s="70" t="s">
        <v>128</v>
      </c>
      <c r="Z12" s="70" t="s">
        <v>129</v>
      </c>
      <c r="AA12" s="70" t="s">
        <v>130</v>
      </c>
      <c r="AB12" s="70" t="s">
        <v>131</v>
      </c>
      <c r="AC12" s="70" t="s">
        <v>132</v>
      </c>
      <c r="AD12" s="70" t="s">
        <v>133</v>
      </c>
      <c r="AE12" s="70" t="s">
        <v>134</v>
      </c>
      <c r="AF12" s="70" t="s">
        <v>135</v>
      </c>
      <c r="AG12" s="70" t="s">
        <v>136</v>
      </c>
      <c r="AH12" s="70" t="s">
        <v>137</v>
      </c>
      <c r="AI12" s="70" t="s">
        <v>138</v>
      </c>
      <c r="AJ12" s="70" t="s">
        <v>139</v>
      </c>
      <c r="AK12" s="70" t="s">
        <v>140</v>
      </c>
      <c r="AL12" s="70" t="s">
        <v>141</v>
      </c>
      <c r="AM12" s="70" t="s">
        <v>142</v>
      </c>
      <c r="AN12" s="70" t="s">
        <v>143</v>
      </c>
      <c r="AO12" s="70" t="s">
        <v>144</v>
      </c>
      <c r="AP12" s="70" t="s">
        <v>145</v>
      </c>
      <c r="AQ12" s="70" t="s">
        <v>146</v>
      </c>
      <c r="AR12" s="70" t="s">
        <v>147</v>
      </c>
      <c r="AS12" s="70" t="s">
        <v>148</v>
      </c>
      <c r="AT12" s="70" t="s">
        <v>149</v>
      </c>
      <c r="AU12" s="70" t="s">
        <v>150</v>
      </c>
      <c r="AV12" s="70" t="s">
        <v>151</v>
      </c>
      <c r="AW12" s="70" t="s">
        <v>152</v>
      </c>
      <c r="AX12" s="58"/>
    </row>
    <row r="13" spans="1:50" s="25" customFormat="1" ht="12.4">
      <c r="A13" s="58"/>
      <c r="B13" s="277"/>
      <c r="C13" s="277"/>
      <c r="D13" s="277"/>
      <c r="E13" s="91" t="s">
        <v>153</v>
      </c>
      <c r="F13" s="72" t="s">
        <v>154</v>
      </c>
      <c r="G13" s="72" t="s">
        <v>155</v>
      </c>
      <c r="H13" s="72" t="s">
        <v>156</v>
      </c>
      <c r="I13" s="73" t="s">
        <v>157</v>
      </c>
      <c r="J13" s="26"/>
      <c r="K13" s="74" t="s">
        <v>158</v>
      </c>
      <c r="L13" s="72" t="s">
        <v>159</v>
      </c>
      <c r="M13" s="72" t="s">
        <v>160</v>
      </c>
      <c r="N13" s="72" t="s">
        <v>161</v>
      </c>
      <c r="O13" s="72" t="s">
        <v>162</v>
      </c>
      <c r="P13" s="72" t="s">
        <v>163</v>
      </c>
      <c r="Q13" s="72" t="s">
        <v>164</v>
      </c>
      <c r="R13" s="72" t="s">
        <v>165</v>
      </c>
      <c r="S13" s="74" t="s">
        <v>166</v>
      </c>
      <c r="T13" s="72" t="s">
        <v>167</v>
      </c>
      <c r="U13" s="72" t="s">
        <v>168</v>
      </c>
      <c r="V13" s="72" t="s">
        <v>169</v>
      </c>
      <c r="W13" s="72" t="s">
        <v>170</v>
      </c>
      <c r="X13" s="72" t="s">
        <v>171</v>
      </c>
      <c r="Y13" s="72" t="s">
        <v>172</v>
      </c>
      <c r="Z13" s="72" t="s">
        <v>173</v>
      </c>
      <c r="AA13" s="72" t="s">
        <v>174</v>
      </c>
      <c r="AB13" s="72" t="s">
        <v>175</v>
      </c>
      <c r="AC13" s="72" t="s">
        <v>176</v>
      </c>
      <c r="AD13" s="72" t="s">
        <v>177</v>
      </c>
      <c r="AE13" s="72" t="s">
        <v>178</v>
      </c>
      <c r="AF13" s="72" t="s">
        <v>179</v>
      </c>
      <c r="AG13" s="72" t="s">
        <v>180</v>
      </c>
      <c r="AH13" s="72" t="s">
        <v>181</v>
      </c>
      <c r="AI13" s="72" t="s">
        <v>182</v>
      </c>
      <c r="AJ13" s="72" t="s">
        <v>183</v>
      </c>
      <c r="AK13" s="72" t="s">
        <v>184</v>
      </c>
      <c r="AL13" s="72" t="s">
        <v>185</v>
      </c>
      <c r="AM13" s="72" t="s">
        <v>186</v>
      </c>
      <c r="AN13" s="72" t="s">
        <v>187</v>
      </c>
      <c r="AO13" s="72" t="s">
        <v>188</v>
      </c>
      <c r="AP13" s="72" t="s">
        <v>189</v>
      </c>
      <c r="AQ13" s="72" t="s">
        <v>190</v>
      </c>
      <c r="AR13" s="72" t="s">
        <v>191</v>
      </c>
      <c r="AS13" s="72" t="s">
        <v>192</v>
      </c>
      <c r="AT13" s="72" t="s">
        <v>193</v>
      </c>
      <c r="AU13" s="72" t="s">
        <v>194</v>
      </c>
      <c r="AV13" s="72" t="s">
        <v>195</v>
      </c>
      <c r="AW13" s="72" t="s">
        <v>196</v>
      </c>
      <c r="AX13" s="58"/>
    </row>
    <row r="14" spans="1:50" s="25" customFormat="1" ht="12.4">
      <c r="A14" s="58"/>
      <c r="B14" s="277"/>
      <c r="C14" s="277"/>
      <c r="D14" s="277"/>
      <c r="E14" s="124" t="s">
        <v>197</v>
      </c>
      <c r="F14" s="86" t="s">
        <v>198</v>
      </c>
      <c r="G14" s="125" t="s">
        <v>198</v>
      </c>
      <c r="H14" s="125" t="s">
        <v>199</v>
      </c>
      <c r="I14" s="125" t="s">
        <v>199</v>
      </c>
      <c r="J14" s="26"/>
      <c r="K14" s="125" t="s">
        <v>200</v>
      </c>
      <c r="L14" s="125" t="s">
        <v>201</v>
      </c>
      <c r="M14" s="125" t="s">
        <v>201</v>
      </c>
      <c r="N14" s="125" t="s">
        <v>202</v>
      </c>
      <c r="O14" s="125" t="s">
        <v>202</v>
      </c>
      <c r="P14" s="125" t="s">
        <v>203</v>
      </c>
      <c r="Q14" s="125" t="s">
        <v>203</v>
      </c>
      <c r="R14" s="125" t="s">
        <v>204</v>
      </c>
      <c r="S14" s="125" t="s">
        <v>204</v>
      </c>
      <c r="T14" s="125" t="s">
        <v>205</v>
      </c>
      <c r="U14" s="125" t="s">
        <v>205</v>
      </c>
      <c r="V14" s="125" t="s">
        <v>205</v>
      </c>
      <c r="W14" s="125" t="s">
        <v>206</v>
      </c>
      <c r="X14" s="125" t="s">
        <v>206</v>
      </c>
      <c r="Y14" s="125" t="s">
        <v>206</v>
      </c>
      <c r="Z14" s="125" t="s">
        <v>206</v>
      </c>
      <c r="AA14" s="125" t="s">
        <v>207</v>
      </c>
      <c r="AB14" s="125" t="s">
        <v>207</v>
      </c>
      <c r="AC14" s="125" t="s">
        <v>207</v>
      </c>
      <c r="AD14" s="125" t="s">
        <v>207</v>
      </c>
      <c r="AE14" s="125" t="s">
        <v>208</v>
      </c>
      <c r="AF14" s="125" t="s">
        <v>208</v>
      </c>
      <c r="AG14" s="125" t="s">
        <v>208</v>
      </c>
      <c r="AH14" s="125" t="s">
        <v>208</v>
      </c>
      <c r="AI14" s="125" t="s">
        <v>209</v>
      </c>
      <c r="AJ14" s="125" t="s">
        <v>209</v>
      </c>
      <c r="AK14" s="125" t="s">
        <v>209</v>
      </c>
      <c r="AL14" s="125" t="s">
        <v>209</v>
      </c>
      <c r="AM14" s="125" t="s">
        <v>210</v>
      </c>
      <c r="AN14" s="125" t="s">
        <v>210</v>
      </c>
      <c r="AO14" s="125" t="s">
        <v>210</v>
      </c>
      <c r="AP14" s="125" t="s">
        <v>210</v>
      </c>
      <c r="AQ14" s="125" t="s">
        <v>211</v>
      </c>
      <c r="AR14" s="125" t="s">
        <v>211</v>
      </c>
      <c r="AS14" s="125" t="s">
        <v>211</v>
      </c>
      <c r="AT14" s="125" t="s">
        <v>211</v>
      </c>
      <c r="AU14" s="125" t="s">
        <v>212</v>
      </c>
      <c r="AV14" s="125" t="s">
        <v>212</v>
      </c>
      <c r="AW14" s="125" t="s">
        <v>212</v>
      </c>
      <c r="AX14" s="58"/>
    </row>
    <row r="15" spans="1:50" s="25" customFormat="1" ht="12.4">
      <c r="A15" s="58"/>
      <c r="B15" s="52" t="s">
        <v>761</v>
      </c>
      <c r="C15" s="52" t="s">
        <v>213</v>
      </c>
      <c r="D15" s="52" t="s">
        <v>265</v>
      </c>
      <c r="E15" s="52"/>
      <c r="F15" s="126">
        <f>IFERROR($F7*'2e CPIH'!G16/'2e CPIH'!$C$9,"-")</f>
        <v>7.95</v>
      </c>
      <c r="G15" s="126">
        <f>IFERROR($F7*'2e CPIH'!H16/'2e CPIH'!$C$9,"-")</f>
        <v>8.0511252446183956</v>
      </c>
      <c r="H15" s="126">
        <f>IFERROR($F7*'2e CPIH'!I16/'2e CPIH'!$C$9,"-")</f>
        <v>8.1678082191780828</v>
      </c>
      <c r="I15" s="126">
        <f>IFERROR($F7*'2e CPIH'!J16/'2e CPIH'!$C$9,"-")</f>
        <v>8.2378180039138957</v>
      </c>
      <c r="J15" s="26"/>
      <c r="K15" s="126">
        <f>IFERROR($F7*'2e CPIH'!L16/'2e CPIH'!$C$9,"-")</f>
        <v>8.2378180039138957</v>
      </c>
      <c r="L15" s="126">
        <f>IFERROR($F7*'2e CPIH'!M16/'2e CPIH'!$C$9,"-")</f>
        <v>8.3311643835616422</v>
      </c>
      <c r="M15" s="126">
        <f>IFERROR($F7*'2e CPIH'!N16/'2e CPIH'!$C$9,"-")</f>
        <v>8.3933953033268107</v>
      </c>
      <c r="N15" s="126">
        <f>IFERROR($F7*'2e CPIH'!O16/'2e CPIH'!$C$9,"-")</f>
        <v>8.4400684931506849</v>
      </c>
      <c r="O15" s="126">
        <f>IFERROR($F7*'2e CPIH'!P16/'2e CPIH'!$C$9,"-")</f>
        <v>8.4634050880626219</v>
      </c>
      <c r="P15" s="126">
        <f>IFERROR($F7*'2e CPIH'!Q16/'2e CPIH'!$C$9,"-")</f>
        <v>8.5100782778864978</v>
      </c>
      <c r="Q15" s="126">
        <f>IFERROR($F7*'2e CPIH'!R16/'2e CPIH'!$C$9,"-")</f>
        <v>8.6656555772994146</v>
      </c>
      <c r="R15" s="126">
        <f>IFERROR($F7*'2e CPIH'!S16/'2e CPIH'!$C$9,"-")</f>
        <v>8.9223581213307241</v>
      </c>
      <c r="S15" s="126">
        <f>IFERROR($F7*'2e CPIH'!T16/'2e CPIH'!$C$9,"-")</f>
        <v>9.3735322896281801</v>
      </c>
      <c r="T15" s="126">
        <f>IFERROR($F7*'2e CPIH'!U16/'2e CPIH'!$C$9,"-")</f>
        <v>9.7469178082191785</v>
      </c>
      <c r="U15" s="126">
        <f>IFERROR($F7*'2e CPIH'!V16/'2e CPIH'!$C$9,"-")</f>
        <v>10.065851272015655</v>
      </c>
      <c r="V15" s="126">
        <f>IFERROR($F7*'2e CPIH'!W16/'2e CPIH'!$C$9,"-")</f>
        <v>10.065851272015655</v>
      </c>
      <c r="W15" s="126">
        <f>IFERROR($F7*'2e CPIH'!X16/'2e CPIH'!$C$9,"-")</f>
        <v>10.15141878669276</v>
      </c>
      <c r="X15" s="126">
        <f>IFERROR($F7*'2e CPIH'!Y16/'2e CPIH'!$C$9,"-")</f>
        <v>10.15141878669276</v>
      </c>
      <c r="Y15" s="126">
        <f>IFERROR($F7*'2e CPIH'!Z16/'2e CPIH'!$C$9,"-")</f>
        <v>10.345890410958905</v>
      </c>
      <c r="Z15" s="126">
        <f>IFERROR($F7*'2e CPIH'!AA16/'2e CPIH'!$C$9,"-")</f>
        <v>10.345890410958905</v>
      </c>
      <c r="AA15" s="126">
        <f>IFERROR($F7*'2e CPIH'!AB16/'2e CPIH'!$C$9,"-")</f>
        <v>10.509246575342466</v>
      </c>
      <c r="AB15" s="126" t="str">
        <f>IFERROR($F7*'2e CPIH'!AC16/'2e CPIH'!$C$9,"-")</f>
        <v>-</v>
      </c>
      <c r="AC15" s="126" t="str">
        <f>IFERROR($F7*'2e CPIH'!AD16/'2e CPIH'!$C$9,"-")</f>
        <v>-</v>
      </c>
      <c r="AD15" s="126" t="str">
        <f>IFERROR($F7*'2e CPIH'!AE16/'2e CPIH'!$C$9,"-")</f>
        <v>-</v>
      </c>
      <c r="AE15" s="126" t="str">
        <f>IFERROR($F7*'2e CPIH'!AF16/'2e CPIH'!$C$9,"-")</f>
        <v>-</v>
      </c>
      <c r="AF15" s="126" t="str">
        <f>IFERROR($F7*'2e CPIH'!AG16/'2e CPIH'!$C$9,"-")</f>
        <v>-</v>
      </c>
      <c r="AG15" s="126" t="str">
        <f>IFERROR($F7*'2e CPIH'!AH16/'2e CPIH'!$C$9,"-")</f>
        <v>-</v>
      </c>
      <c r="AH15" s="126" t="str">
        <f>IFERROR($F7*'2e CPIH'!AI16/'2e CPIH'!$C$9,"-")</f>
        <v>-</v>
      </c>
      <c r="AI15" s="126" t="str">
        <f>IFERROR($F7*'2e CPIH'!AJ16/'2e CPIH'!$C$9,"-")</f>
        <v>-</v>
      </c>
      <c r="AJ15" s="126" t="str">
        <f>IFERROR($F7*'2e CPIH'!AK16/'2e CPIH'!$C$9,"-")</f>
        <v>-</v>
      </c>
      <c r="AK15" s="126" t="str">
        <f>IFERROR($F7*'2e CPIH'!AL16/'2e CPIH'!$C$9,"-")</f>
        <v>-</v>
      </c>
      <c r="AL15" s="126" t="str">
        <f>IFERROR($F7*'2e CPIH'!AM16/'2e CPIH'!$C$9,"-")</f>
        <v>-</v>
      </c>
      <c r="AM15" s="126" t="str">
        <f>IFERROR($F7*'2e CPIH'!AN16/'2e CPIH'!$C$9,"-")</f>
        <v>-</v>
      </c>
      <c r="AN15" s="126" t="str">
        <f>IFERROR($F7*'2e CPIH'!AO16/'2e CPIH'!$C$9,"-")</f>
        <v>-</v>
      </c>
      <c r="AO15" s="126" t="str">
        <f>IFERROR($F7*'2e CPIH'!AP16/'2e CPIH'!$C$9,"-")</f>
        <v>-</v>
      </c>
      <c r="AP15" s="126" t="str">
        <f>IFERROR($F7*'2e CPIH'!AQ16/'2e CPIH'!$C$9,"-")</f>
        <v>-</v>
      </c>
      <c r="AQ15" s="126" t="str">
        <f>IFERROR($F7*'2e CPIH'!AR16/'2e CPIH'!$C$9,"-")</f>
        <v>-</v>
      </c>
      <c r="AR15" s="126" t="str">
        <f>IFERROR($F7*'2e CPIH'!AS16/'2e CPIH'!$C$9,"-")</f>
        <v>-</v>
      </c>
      <c r="AS15" s="126" t="str">
        <f>IFERROR($F7*'2e CPIH'!AT16/'2e CPIH'!$C$9,"-")</f>
        <v>-</v>
      </c>
      <c r="AT15" s="126" t="str">
        <f>IFERROR($F7*'2e CPIH'!AU16/'2e CPIH'!$C$9,"-")</f>
        <v>-</v>
      </c>
      <c r="AU15" s="126" t="str">
        <f>IFERROR($F7*'2e CPIH'!AV16/'2e CPIH'!$C$9,"-")</f>
        <v>-</v>
      </c>
      <c r="AV15" s="126" t="str">
        <f>IFERROR($F7*'2e CPIH'!AW16/'2e CPIH'!$C$9,"-")</f>
        <v>-</v>
      </c>
      <c r="AW15" s="126" t="str">
        <f>IFERROR($F7*'2e CPIH'!AX16/'2e CPIH'!$C$9,"-")</f>
        <v>-</v>
      </c>
      <c r="AX15" s="58"/>
    </row>
    <row r="16" spans="1:50" s="25" customFormat="1" ht="12.4">
      <c r="A16" s="58"/>
      <c r="B16" s="52" t="s">
        <v>761</v>
      </c>
      <c r="C16" s="52" t="s">
        <v>223</v>
      </c>
      <c r="D16" s="52" t="s">
        <v>265</v>
      </c>
      <c r="E16" s="52"/>
      <c r="F16" s="126">
        <f>IFERROR($F8*'2e CPIH'!G16/'2e CPIH'!$C$9,"-")</f>
        <v>8.9700000000000006</v>
      </c>
      <c r="G16" s="126">
        <f>IFERROR($F8*'2e CPIH'!H16/'2e CPIH'!$C$9,"-")</f>
        <v>9.0840998043052839</v>
      </c>
      <c r="H16" s="126">
        <f>IFERROR($F8*'2e CPIH'!I16/'2e CPIH'!$C$9,"-")</f>
        <v>9.2157534246575334</v>
      </c>
      <c r="I16" s="126">
        <f>IFERROR($F8*'2e CPIH'!J16/'2e CPIH'!$C$9,"-")</f>
        <v>9.2947455968688857</v>
      </c>
      <c r="J16" s="26"/>
      <c r="K16" s="126">
        <f>IFERROR($F8*'2e CPIH'!L16/'2e CPIH'!$C$9,"-")</f>
        <v>9.2947455968688857</v>
      </c>
      <c r="L16" s="126">
        <f>IFERROR($F8*'2e CPIH'!M16/'2e CPIH'!$C$9,"-")</f>
        <v>9.4000684931506839</v>
      </c>
      <c r="M16" s="126">
        <f>IFERROR($F8*'2e CPIH'!N16/'2e CPIH'!$C$9,"-")</f>
        <v>9.470283757338553</v>
      </c>
      <c r="N16" s="126">
        <f>IFERROR($F8*'2e CPIH'!O16/'2e CPIH'!$C$9,"-")</f>
        <v>9.5229452054794521</v>
      </c>
      <c r="O16" s="126">
        <f>IFERROR($F8*'2e CPIH'!P16/'2e CPIH'!$C$9,"-")</f>
        <v>9.5492759295499017</v>
      </c>
      <c r="P16" s="126">
        <f>IFERROR($F8*'2e CPIH'!Q16/'2e CPIH'!$C$9,"-")</f>
        <v>9.6019373776908026</v>
      </c>
      <c r="Q16" s="126">
        <f>IFERROR($F8*'2e CPIH'!R16/'2e CPIH'!$C$9,"-")</f>
        <v>9.7774755381604717</v>
      </c>
      <c r="R16" s="126">
        <f>IFERROR($F8*'2e CPIH'!S16/'2e CPIH'!$C$9,"-")</f>
        <v>10.067113502935422</v>
      </c>
      <c r="S16" s="126">
        <f>IFERROR($F8*'2e CPIH'!T16/'2e CPIH'!$C$9,"-")</f>
        <v>10.576174168297456</v>
      </c>
      <c r="T16" s="126">
        <f>IFERROR($F8*'2e CPIH'!U16/'2e CPIH'!$C$9,"-")</f>
        <v>10.997465753424658</v>
      </c>
      <c r="U16" s="126">
        <f>IFERROR($F8*'2e CPIH'!V16/'2e CPIH'!$C$9,"-")</f>
        <v>11.357318982387476</v>
      </c>
      <c r="V16" s="126">
        <f>IFERROR($F8*'2e CPIH'!W16/'2e CPIH'!$C$9,"-")</f>
        <v>11.357318982387476</v>
      </c>
      <c r="W16" s="126">
        <f>IFERROR($F8*'2e CPIH'!X16/'2e CPIH'!$C$9,"-")</f>
        <v>11.453864970645792</v>
      </c>
      <c r="X16" s="126">
        <f>IFERROR($F8*'2e CPIH'!Y16/'2e CPIH'!$C$9,"-")</f>
        <v>11.453864970645792</v>
      </c>
      <c r="Y16" s="126">
        <f>IFERROR($F8*'2e CPIH'!Z16/'2e CPIH'!$C$9,"-")</f>
        <v>11.673287671232876</v>
      </c>
      <c r="Z16" s="126">
        <f>IFERROR($F8*'2e CPIH'!AA16/'2e CPIH'!$C$9,"-")</f>
        <v>11.673287671232876</v>
      </c>
      <c r="AA16" s="126">
        <f>IFERROR($F8*'2e CPIH'!AB16/'2e CPIH'!$C$9,"-")</f>
        <v>11.857602739726026</v>
      </c>
      <c r="AB16" s="126" t="str">
        <f>IFERROR($F8*'2e CPIH'!AC16/'2e CPIH'!$C$9,"-")</f>
        <v>-</v>
      </c>
      <c r="AC16" s="126" t="str">
        <f>IFERROR($F8*'2e CPIH'!AD16/'2e CPIH'!$C$9,"-")</f>
        <v>-</v>
      </c>
      <c r="AD16" s="126" t="str">
        <f>IFERROR($F8*'2e CPIH'!AE16/'2e CPIH'!$C$9,"-")</f>
        <v>-</v>
      </c>
      <c r="AE16" s="126" t="str">
        <f>IFERROR($F8*'2e CPIH'!AF16/'2e CPIH'!$C$9,"-")</f>
        <v>-</v>
      </c>
      <c r="AF16" s="126" t="str">
        <f>IFERROR($F8*'2e CPIH'!AG16/'2e CPIH'!$C$9,"-")</f>
        <v>-</v>
      </c>
      <c r="AG16" s="126" t="str">
        <f>IFERROR($F8*'2e CPIH'!AH16/'2e CPIH'!$C$9,"-")</f>
        <v>-</v>
      </c>
      <c r="AH16" s="126" t="str">
        <f>IFERROR($F8*'2e CPIH'!AI16/'2e CPIH'!$C$9,"-")</f>
        <v>-</v>
      </c>
      <c r="AI16" s="126" t="str">
        <f>IFERROR($F8*'2e CPIH'!AJ16/'2e CPIH'!$C$9,"-")</f>
        <v>-</v>
      </c>
      <c r="AJ16" s="126" t="str">
        <f>IFERROR($F8*'2e CPIH'!AK16/'2e CPIH'!$C$9,"-")</f>
        <v>-</v>
      </c>
      <c r="AK16" s="126" t="str">
        <f>IFERROR($F8*'2e CPIH'!AL16/'2e CPIH'!$C$9,"-")</f>
        <v>-</v>
      </c>
      <c r="AL16" s="126" t="str">
        <f>IFERROR($F8*'2e CPIH'!AM16/'2e CPIH'!$C$9,"-")</f>
        <v>-</v>
      </c>
      <c r="AM16" s="126" t="str">
        <f>IFERROR($F8*'2e CPIH'!AN16/'2e CPIH'!$C$9,"-")</f>
        <v>-</v>
      </c>
      <c r="AN16" s="126" t="str">
        <f>IFERROR($F8*'2e CPIH'!AO16/'2e CPIH'!$C$9,"-")</f>
        <v>-</v>
      </c>
      <c r="AO16" s="126" t="str">
        <f>IFERROR($F8*'2e CPIH'!AP16/'2e CPIH'!$C$9,"-")</f>
        <v>-</v>
      </c>
      <c r="AP16" s="126" t="str">
        <f>IFERROR($F8*'2e CPIH'!AQ16/'2e CPIH'!$C$9,"-")</f>
        <v>-</v>
      </c>
      <c r="AQ16" s="126" t="str">
        <f>IFERROR($F8*'2e CPIH'!AR16/'2e CPIH'!$C$9,"-")</f>
        <v>-</v>
      </c>
      <c r="AR16" s="126" t="str">
        <f>IFERROR($F8*'2e CPIH'!AS16/'2e CPIH'!$C$9,"-")</f>
        <v>-</v>
      </c>
      <c r="AS16" s="126" t="str">
        <f>IFERROR($F8*'2e CPIH'!AT16/'2e CPIH'!$C$9,"-")</f>
        <v>-</v>
      </c>
      <c r="AT16" s="126" t="str">
        <f>IFERROR($F8*'2e CPIH'!AU16/'2e CPIH'!$C$9,"-")</f>
        <v>-</v>
      </c>
      <c r="AU16" s="126" t="str">
        <f>IFERROR($F8*'2e CPIH'!AV16/'2e CPIH'!$C$9,"-")</f>
        <v>-</v>
      </c>
      <c r="AV16" s="126" t="str">
        <f>IFERROR($F8*'2e CPIH'!AW16/'2e CPIH'!$C$9,"-")</f>
        <v>-</v>
      </c>
      <c r="AW16" s="126" t="str">
        <f>IFERROR($F8*'2e CPIH'!AX16/'2e CPIH'!$C$9,"-")</f>
        <v>-</v>
      </c>
      <c r="AX16" s="58"/>
    </row>
    <row r="17" ht="64.900000000000006" customHeight="1"/>
    <row r="18" ht="31.5" hidden="1" customHeight="1"/>
    <row r="19" ht="17.25" hidden="1" customHeight="1"/>
    <row r="20" ht="54" hidden="1" customHeight="1"/>
  </sheetData>
  <mergeCells count="10">
    <mergeCell ref="K10:AW10"/>
    <mergeCell ref="K11:AW11"/>
    <mergeCell ref="F11:I11"/>
    <mergeCell ref="B3:E3"/>
    <mergeCell ref="B10:B14"/>
    <mergeCell ref="C10:C14"/>
    <mergeCell ref="D10:D14"/>
    <mergeCell ref="E10:E11"/>
    <mergeCell ref="F10:I10"/>
    <mergeCell ref="C7:C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autoPageBreaks="0"/>
  </sheetPr>
  <dimension ref="B2:J42"/>
  <sheetViews>
    <sheetView zoomScaleNormal="100" workbookViewId="0"/>
  </sheetViews>
  <sheetFormatPr defaultRowHeight="14.25"/>
  <cols>
    <col min="2" max="2" width="26.42578125" customWidth="1"/>
    <col min="3" max="3" width="21.28515625" customWidth="1"/>
    <col min="4" max="4" width="87.5703125" customWidth="1"/>
  </cols>
  <sheetData>
    <row r="2" spans="2:7" s="7" customFormat="1" ht="12.4">
      <c r="B2" s="7" t="s">
        <v>49</v>
      </c>
    </row>
    <row r="3" spans="2:7" s="43" customFormat="1" ht="12.4">
      <c r="B3" s="57"/>
      <c r="C3" s="57"/>
      <c r="D3" s="57"/>
      <c r="E3" s="57"/>
      <c r="F3" s="57"/>
      <c r="G3" s="57"/>
    </row>
    <row r="4" spans="2:7" s="43" customFormat="1" ht="12.4">
      <c r="B4" s="194" t="s">
        <v>50</v>
      </c>
      <c r="C4" s="57"/>
      <c r="D4" s="57"/>
      <c r="E4" s="57"/>
      <c r="F4" s="57"/>
      <c r="G4" s="57"/>
    </row>
    <row r="5" spans="2:7" s="43" customFormat="1" ht="12.4">
      <c r="B5" s="194"/>
      <c r="C5" s="57"/>
      <c r="D5" s="57"/>
      <c r="E5" s="57"/>
      <c r="F5" s="57"/>
      <c r="G5" s="57"/>
    </row>
    <row r="6" spans="2:7" s="43" customFormat="1" ht="12.4">
      <c r="B6" s="194" t="s">
        <v>51</v>
      </c>
      <c r="C6" s="57"/>
      <c r="D6" s="57"/>
      <c r="E6" s="57"/>
      <c r="F6" s="57"/>
      <c r="G6" s="57"/>
    </row>
    <row r="7" spans="2:7" s="43" customFormat="1" ht="12.4">
      <c r="B7" s="57"/>
      <c r="C7" s="57"/>
      <c r="D7" s="57"/>
      <c r="E7" s="57"/>
      <c r="F7" s="57"/>
      <c r="G7" s="57"/>
    </row>
    <row r="8" spans="2:7" s="43" customFormat="1" ht="12.75" customHeight="1">
      <c r="B8" s="57"/>
      <c r="C8" s="57"/>
      <c r="D8" s="57"/>
      <c r="E8" s="57"/>
      <c r="F8" s="57"/>
      <c r="G8" s="57"/>
    </row>
    <row r="9" spans="2:7" s="43" customFormat="1" ht="12.4">
      <c r="B9" s="59"/>
      <c r="C9" s="60" t="s">
        <v>52</v>
      </c>
      <c r="D9" s="61"/>
      <c r="E9" s="57"/>
      <c r="F9" s="57"/>
      <c r="G9" s="57"/>
    </row>
    <row r="10" spans="2:7" s="43" customFormat="1" ht="12.4">
      <c r="B10" s="62"/>
      <c r="C10" s="60" t="s">
        <v>53</v>
      </c>
      <c r="D10" s="61"/>
      <c r="E10" s="58"/>
      <c r="F10" s="58"/>
      <c r="G10" s="58"/>
    </row>
    <row r="11" spans="2:7" s="43" customFormat="1" ht="12.4">
      <c r="B11" s="58"/>
      <c r="C11" s="58"/>
      <c r="D11" s="58"/>
      <c r="E11" s="58"/>
      <c r="F11" s="58"/>
      <c r="G11" s="58"/>
    </row>
    <row r="12" spans="2:7" s="43" customFormat="1" ht="12.4">
      <c r="B12" s="58" t="s">
        <v>54</v>
      </c>
      <c r="C12" s="63"/>
      <c r="D12" s="63"/>
      <c r="E12" s="58"/>
      <c r="F12" s="58"/>
      <c r="G12" s="58"/>
    </row>
    <row r="13" spans="2:7" s="43" customFormat="1" ht="12.4">
      <c r="B13" s="57"/>
      <c r="C13" s="57"/>
      <c r="D13" s="57"/>
      <c r="E13" s="57"/>
      <c r="F13" s="57"/>
      <c r="G13" s="57"/>
    </row>
    <row r="14" spans="2:7" s="7" customFormat="1" ht="12.4">
      <c r="B14" s="7" t="s">
        <v>55</v>
      </c>
    </row>
    <row r="15" spans="2:7" s="43" customFormat="1" ht="12.4">
      <c r="B15" s="57"/>
      <c r="C15" s="57"/>
      <c r="D15" s="57"/>
      <c r="E15" s="57"/>
      <c r="F15" s="57"/>
      <c r="G15" s="57"/>
    </row>
    <row r="16" spans="2:7" s="43" customFormat="1" ht="12.4">
      <c r="B16" s="64" t="s">
        <v>56</v>
      </c>
      <c r="C16" s="64" t="s">
        <v>57</v>
      </c>
      <c r="D16" s="64" t="s">
        <v>49</v>
      </c>
      <c r="E16" s="57"/>
      <c r="F16" s="57"/>
      <c r="G16" s="57"/>
    </row>
    <row r="17" spans="2:10" s="43" customFormat="1" ht="12.4">
      <c r="B17" s="65" t="s">
        <v>58</v>
      </c>
      <c r="C17" s="65" t="s">
        <v>59</v>
      </c>
      <c r="D17" s="66" t="s">
        <v>60</v>
      </c>
      <c r="E17" s="57"/>
      <c r="F17" s="57"/>
      <c r="G17" s="57"/>
      <c r="H17" s="57"/>
      <c r="I17" s="57"/>
      <c r="J17" s="57"/>
    </row>
    <row r="18" spans="2:10" s="43" customFormat="1" ht="12.4">
      <c r="B18" s="65" t="s">
        <v>61</v>
      </c>
      <c r="C18" s="65" t="s">
        <v>59</v>
      </c>
      <c r="D18" s="66" t="s">
        <v>62</v>
      </c>
      <c r="E18" s="57"/>
      <c r="F18" s="57"/>
      <c r="G18" s="57"/>
      <c r="H18" s="57"/>
      <c r="I18" s="57"/>
      <c r="J18" s="57"/>
    </row>
    <row r="19" spans="2:10" s="43" customFormat="1" ht="12.4">
      <c r="B19" s="211" t="s">
        <v>63</v>
      </c>
      <c r="C19" s="214"/>
      <c r="D19" s="215"/>
      <c r="E19" s="57"/>
      <c r="F19" s="57"/>
      <c r="G19" s="57"/>
      <c r="H19" s="57"/>
      <c r="I19" s="57"/>
      <c r="J19" s="57"/>
    </row>
    <row r="20" spans="2:10" s="43" customFormat="1" ht="12.4">
      <c r="B20" s="195" t="s">
        <v>64</v>
      </c>
      <c r="C20" s="195" t="s">
        <v>65</v>
      </c>
      <c r="D20" s="196" t="s">
        <v>66</v>
      </c>
      <c r="E20" s="57"/>
      <c r="F20" s="57"/>
      <c r="G20" s="57"/>
      <c r="H20" s="57"/>
      <c r="I20" s="57"/>
      <c r="J20" s="57"/>
    </row>
    <row r="21" spans="2:10" s="43" customFormat="1" ht="12.4">
      <c r="B21" s="197" t="s">
        <v>67</v>
      </c>
      <c r="C21" s="195" t="s">
        <v>65</v>
      </c>
      <c r="D21" s="198" t="s">
        <v>68</v>
      </c>
      <c r="E21" s="57"/>
      <c r="F21" s="57"/>
      <c r="G21" s="57"/>
      <c r="H21" s="57"/>
      <c r="I21" s="57"/>
      <c r="J21" s="57"/>
    </row>
    <row r="22" spans="2:10" s="43" customFormat="1" ht="12.4">
      <c r="B22" s="211" t="s">
        <v>69</v>
      </c>
      <c r="C22" s="212"/>
      <c r="D22" s="213"/>
      <c r="E22" s="57"/>
      <c r="F22" s="57"/>
      <c r="G22" s="57"/>
      <c r="H22" s="57"/>
      <c r="I22" s="57"/>
      <c r="J22" s="57"/>
    </row>
    <row r="23" spans="2:10" s="43" customFormat="1" ht="24.75">
      <c r="B23" s="195" t="s">
        <v>70</v>
      </c>
      <c r="C23" s="195" t="s">
        <v>71</v>
      </c>
      <c r="D23" s="195" t="s">
        <v>72</v>
      </c>
      <c r="E23" s="57"/>
      <c r="F23" s="57"/>
      <c r="G23" s="57"/>
      <c r="H23" s="57"/>
      <c r="I23" s="57"/>
      <c r="J23" s="57"/>
    </row>
    <row r="24" spans="2:10" s="43" customFormat="1" ht="24.75">
      <c r="B24" s="195" t="s">
        <v>73</v>
      </c>
      <c r="C24" s="195" t="s">
        <v>71</v>
      </c>
      <c r="D24" s="196" t="s">
        <v>74</v>
      </c>
      <c r="E24" s="57"/>
      <c r="F24" s="57"/>
      <c r="G24" s="57"/>
      <c r="H24" s="57"/>
      <c r="I24" s="57"/>
      <c r="J24" s="57"/>
    </row>
    <row r="25" spans="2:10" s="43" customFormat="1" ht="24.75">
      <c r="B25" s="195" t="s">
        <v>75</v>
      </c>
      <c r="C25" s="195" t="s">
        <v>71</v>
      </c>
      <c r="D25" s="196" t="s">
        <v>76</v>
      </c>
      <c r="E25" s="57"/>
      <c r="F25" s="57"/>
      <c r="G25" s="57"/>
      <c r="H25" s="57"/>
      <c r="I25" s="57"/>
      <c r="J25" s="57"/>
    </row>
    <row r="26" spans="2:10" s="43" customFormat="1" ht="24.75">
      <c r="B26" s="197" t="s">
        <v>77</v>
      </c>
      <c r="C26" s="195" t="s">
        <v>71</v>
      </c>
      <c r="D26" s="198" t="s">
        <v>78</v>
      </c>
      <c r="E26" s="57"/>
      <c r="F26" s="57"/>
      <c r="G26" s="57"/>
      <c r="H26" s="57"/>
      <c r="I26" s="57"/>
      <c r="J26" s="57"/>
    </row>
    <row r="27" spans="2:10" s="43" customFormat="1" ht="24.75">
      <c r="B27" s="197" t="s">
        <v>79</v>
      </c>
      <c r="C27" s="195" t="s">
        <v>71</v>
      </c>
      <c r="D27" s="196" t="s">
        <v>80</v>
      </c>
      <c r="E27" s="57"/>
      <c r="F27" s="57"/>
      <c r="G27" s="57"/>
      <c r="H27" s="57"/>
      <c r="I27" s="57"/>
      <c r="J27" s="57"/>
    </row>
    <row r="28" spans="2:10" s="43" customFormat="1" ht="24.75">
      <c r="B28" s="197" t="s">
        <v>81</v>
      </c>
      <c r="C28" s="195" t="s">
        <v>71</v>
      </c>
      <c r="D28" s="196" t="s">
        <v>82</v>
      </c>
      <c r="E28" s="57"/>
      <c r="F28" s="57"/>
      <c r="G28" s="57"/>
      <c r="H28" s="57"/>
      <c r="I28" s="57"/>
      <c r="J28" s="57"/>
    </row>
    <row r="29" spans="2:10" s="43" customFormat="1" ht="24.75">
      <c r="B29" s="197" t="s">
        <v>83</v>
      </c>
      <c r="C29" s="195" t="s">
        <v>71</v>
      </c>
      <c r="D29" s="196" t="s">
        <v>84</v>
      </c>
      <c r="E29" s="57"/>
      <c r="F29" s="57"/>
      <c r="G29" s="57"/>
      <c r="H29" s="57"/>
      <c r="I29" s="57"/>
      <c r="J29" s="57"/>
    </row>
    <row r="30" spans="2:10" s="43" customFormat="1" ht="24.75">
      <c r="B30" s="197" t="s">
        <v>85</v>
      </c>
      <c r="C30" s="195" t="s">
        <v>71</v>
      </c>
      <c r="D30" s="196" t="s">
        <v>86</v>
      </c>
      <c r="E30" s="57"/>
      <c r="F30" s="57"/>
      <c r="G30" s="57"/>
      <c r="H30" s="57"/>
      <c r="I30" s="57"/>
      <c r="J30" s="57"/>
    </row>
    <row r="31" spans="2:10" s="43" customFormat="1" ht="24.75">
      <c r="B31" s="197" t="s">
        <v>87</v>
      </c>
      <c r="C31" s="195" t="s">
        <v>71</v>
      </c>
      <c r="D31" s="196" t="s">
        <v>88</v>
      </c>
      <c r="E31" s="57"/>
      <c r="F31" s="57"/>
      <c r="G31" s="57"/>
      <c r="H31" s="57"/>
      <c r="I31" s="57"/>
      <c r="J31" s="57"/>
    </row>
    <row r="32" spans="2:10" s="43" customFormat="1" ht="12.4">
      <c r="B32" s="211" t="s">
        <v>89</v>
      </c>
      <c r="C32" s="212"/>
      <c r="D32" s="213"/>
      <c r="E32" s="57"/>
      <c r="F32" s="57"/>
      <c r="G32" s="57"/>
      <c r="H32" s="57"/>
      <c r="I32" s="57"/>
      <c r="J32" s="57"/>
    </row>
    <row r="33" spans="2:10" s="43" customFormat="1" ht="24.75">
      <c r="B33" s="195" t="s">
        <v>90</v>
      </c>
      <c r="C33" s="195" t="s">
        <v>71</v>
      </c>
      <c r="D33" s="196" t="s">
        <v>91</v>
      </c>
      <c r="E33" s="57"/>
      <c r="F33" s="57"/>
      <c r="G33" s="57"/>
      <c r="H33" s="57"/>
      <c r="I33" s="57"/>
      <c r="J33" s="57"/>
    </row>
    <row r="34" spans="2:10" s="43" customFormat="1" ht="24.75">
      <c r="B34" s="197" t="s">
        <v>92</v>
      </c>
      <c r="C34" s="195" t="s">
        <v>71</v>
      </c>
      <c r="D34" s="198" t="s">
        <v>93</v>
      </c>
      <c r="E34" s="57"/>
      <c r="F34" s="57"/>
      <c r="G34" s="57"/>
      <c r="H34" s="57"/>
      <c r="I34" s="57"/>
      <c r="J34" s="57"/>
    </row>
    <row r="35" spans="2:10" s="43" customFormat="1" ht="24.75">
      <c r="B35" s="196" t="s">
        <v>94</v>
      </c>
      <c r="C35" s="196" t="s">
        <v>71</v>
      </c>
      <c r="D35" s="196" t="s">
        <v>95</v>
      </c>
      <c r="E35" s="57"/>
      <c r="F35" s="57"/>
      <c r="G35" s="57"/>
      <c r="H35" s="57"/>
      <c r="I35" s="57"/>
      <c r="J35" s="57"/>
    </row>
    <row r="36" spans="2:10" s="43" customFormat="1" ht="12.4">
      <c r="B36" s="57"/>
      <c r="C36" s="57"/>
      <c r="D36" s="57"/>
      <c r="E36" s="57"/>
      <c r="F36" s="57"/>
      <c r="G36" s="57"/>
      <c r="H36" s="57"/>
      <c r="I36" s="57"/>
      <c r="J36" s="57"/>
    </row>
    <row r="37" spans="2:10" s="7" customFormat="1" ht="12.4">
      <c r="B37" s="7" t="s">
        <v>96</v>
      </c>
    </row>
    <row r="38" spans="2:10" s="43" customFormat="1" ht="12.4">
      <c r="B38" s="57"/>
      <c r="C38" s="57"/>
      <c r="D38" s="57"/>
      <c r="E38" s="57"/>
      <c r="F38" s="57"/>
      <c r="G38" s="57"/>
      <c r="H38" s="57"/>
      <c r="I38" s="57"/>
      <c r="J38" s="57"/>
    </row>
    <row r="39" spans="2:10" s="43" customFormat="1" ht="53.25" customHeight="1">
      <c r="B39" s="216" t="s">
        <v>97</v>
      </c>
      <c r="C39" s="216"/>
      <c r="D39" s="216"/>
      <c r="E39" s="216"/>
      <c r="F39" s="216"/>
      <c r="G39" s="216"/>
      <c r="H39" s="216"/>
      <c r="I39" s="216"/>
      <c r="J39" s="216"/>
    </row>
    <row r="41" spans="2:10" s="7" customFormat="1" ht="12.4">
      <c r="B41" s="7" t="s">
        <v>98</v>
      </c>
    </row>
    <row r="42" spans="2:10" s="193" customFormat="1" ht="12.4"/>
  </sheetData>
  <mergeCells count="4">
    <mergeCell ref="B22:D22"/>
    <mergeCell ref="B19:D19"/>
    <mergeCell ref="B32:D32"/>
    <mergeCell ref="B39:J39"/>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249977111117893"/>
    <pageSetUpPr autoPageBreaks="0"/>
  </sheetPr>
  <dimension ref="A1"/>
  <sheetViews>
    <sheetView zoomScaleNormal="100" workbookViewId="0"/>
  </sheetViews>
  <sheetFormatPr defaultRowHeight="14.25"/>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59999389629810485"/>
    <pageSetUpPr autoPageBreaks="0"/>
  </sheetPr>
  <dimension ref="A1:BC62"/>
  <sheetViews>
    <sheetView topLeftCell="W45" zoomScaleNormal="100" workbookViewId="0">
      <selection activeCell="AI59" sqref="AI59"/>
    </sheetView>
  </sheetViews>
  <sheetFormatPr defaultColWidth="0" defaultRowHeight="13.5" zeroHeight="1"/>
  <cols>
    <col min="1" max="1" width="9" style="152" customWidth="1"/>
    <col min="2" max="2" width="20" style="152" customWidth="1"/>
    <col min="3" max="3" width="46.5703125" style="152" bestFit="1" customWidth="1"/>
    <col min="4" max="4" width="48.5703125" style="152" customWidth="1"/>
    <col min="5" max="5" width="28.28515625" style="152" customWidth="1"/>
    <col min="6" max="6" width="32.28515625" style="152" customWidth="1"/>
    <col min="7" max="10" width="16.5703125" style="152" customWidth="1"/>
    <col min="11" max="11" width="1.28515625" style="152" customWidth="1"/>
    <col min="12" max="22" width="19" style="29" customWidth="1"/>
    <col min="23" max="50" width="19" style="152" customWidth="1"/>
    <col min="51" max="51" width="9" style="58" customWidth="1"/>
    <col min="52" max="52" width="0" style="29" hidden="1" customWidth="1"/>
    <col min="53" max="55" width="0" style="152" hidden="1" customWidth="1"/>
    <col min="56" max="16384" width="9" style="152" hidden="1"/>
  </cols>
  <sheetData>
    <row r="1" spans="1:55" s="21" customFormat="1" ht="12.75" customHeight="1">
      <c r="L1" s="67"/>
      <c r="M1" s="67"/>
      <c r="N1" s="67"/>
      <c r="O1" s="67"/>
      <c r="P1" s="67"/>
      <c r="Q1" s="67"/>
      <c r="R1" s="67"/>
      <c r="S1" s="67"/>
      <c r="T1" s="67"/>
      <c r="U1" s="67"/>
      <c r="V1" s="67"/>
    </row>
    <row r="2" spans="1:55" s="21" customFormat="1" ht="18.75" customHeight="1">
      <c r="B2" s="4" t="s">
        <v>99</v>
      </c>
      <c r="C2" s="4"/>
      <c r="D2" s="4"/>
      <c r="E2" s="4"/>
      <c r="F2" s="4"/>
      <c r="G2" s="4"/>
      <c r="H2" s="4"/>
      <c r="I2" s="4"/>
      <c r="J2" s="4"/>
      <c r="K2" s="4"/>
      <c r="L2" s="67"/>
      <c r="M2" s="67"/>
      <c r="N2" s="67"/>
      <c r="O2" s="67"/>
      <c r="P2" s="67"/>
      <c r="Q2" s="67"/>
      <c r="R2" s="67"/>
      <c r="S2" s="28"/>
      <c r="T2" s="67"/>
      <c r="U2" s="67"/>
      <c r="V2" s="67"/>
    </row>
    <row r="3" spans="1:55" s="24" customFormat="1" ht="12.4">
      <c r="A3" s="67"/>
      <c r="B3" s="235" t="s">
        <v>100</v>
      </c>
      <c r="C3" s="235"/>
      <c r="D3" s="235"/>
      <c r="E3" s="235"/>
      <c r="F3" s="235"/>
      <c r="G3" s="235"/>
      <c r="H3" s="235"/>
      <c r="I3" s="235"/>
      <c r="J3" s="235"/>
      <c r="K3" s="235"/>
      <c r="L3" s="235"/>
      <c r="M3" s="235"/>
      <c r="N3" s="68"/>
      <c r="O3" s="68"/>
      <c r="P3" s="68"/>
      <c r="Q3" s="68"/>
      <c r="R3" s="68"/>
      <c r="S3" s="68"/>
      <c r="T3" s="68"/>
      <c r="U3" s="68"/>
      <c r="V3" s="68"/>
      <c r="W3" s="68"/>
      <c r="X3" s="68"/>
      <c r="Y3" s="68"/>
      <c r="Z3" s="68"/>
      <c r="AA3" s="68"/>
      <c r="AB3" s="68"/>
      <c r="AC3" s="68"/>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row>
    <row r="4" spans="1:55" s="24" customFormat="1" ht="12.75"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row>
    <row r="5" spans="1:55" s="25" customFormat="1" ht="12.75" customHeight="1">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7"/>
      <c r="BB5" s="57"/>
      <c r="BC5" s="57"/>
    </row>
    <row r="6" spans="1:55" s="25" customFormat="1" ht="12.75" customHeight="1">
      <c r="A6" s="58"/>
      <c r="B6" s="40" t="s">
        <v>101</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7"/>
      <c r="BB6" s="57"/>
      <c r="BC6" s="57"/>
    </row>
    <row r="7" spans="1:55" s="25" customFormat="1" ht="12.4">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7"/>
      <c r="BB7" s="57"/>
      <c r="BC7" s="57"/>
    </row>
    <row r="8" spans="1:55" s="25" customFormat="1" ht="12" customHeight="1">
      <c r="A8" s="58"/>
      <c r="B8" s="226" t="s">
        <v>102</v>
      </c>
      <c r="C8" s="245" t="s">
        <v>103</v>
      </c>
      <c r="D8" s="226" t="s">
        <v>49</v>
      </c>
      <c r="E8" s="242" t="s">
        <v>104</v>
      </c>
      <c r="F8" s="226"/>
      <c r="G8" s="236" t="s">
        <v>105</v>
      </c>
      <c r="H8" s="237"/>
      <c r="I8" s="237"/>
      <c r="J8" s="238"/>
      <c r="K8" s="26"/>
      <c r="L8" s="248" t="s">
        <v>106</v>
      </c>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50"/>
      <c r="AY8" s="58"/>
      <c r="AZ8" s="57"/>
      <c r="BA8"/>
      <c r="BB8"/>
      <c r="BC8"/>
    </row>
    <row r="9" spans="1:55" s="25" customFormat="1" ht="54.75" customHeight="1">
      <c r="A9" s="58"/>
      <c r="B9" s="226"/>
      <c r="C9" s="246"/>
      <c r="D9" s="226"/>
      <c r="E9" s="243"/>
      <c r="F9" s="226"/>
      <c r="G9" s="239" t="s">
        <v>107</v>
      </c>
      <c r="H9" s="240"/>
      <c r="I9" s="240"/>
      <c r="J9" s="241"/>
      <c r="K9" s="26"/>
      <c r="L9" s="251" t="s">
        <v>108</v>
      </c>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3"/>
      <c r="AY9" s="58"/>
      <c r="AZ9" s="58"/>
      <c r="BA9" s="57"/>
      <c r="BB9" s="57"/>
      <c r="BC9" s="57"/>
    </row>
    <row r="10" spans="1:55" s="27" customFormat="1" ht="36.75" customHeight="1">
      <c r="A10" s="63"/>
      <c r="B10" s="226"/>
      <c r="C10" s="246"/>
      <c r="D10" s="226"/>
      <c r="E10" s="243"/>
      <c r="F10" s="69" t="s">
        <v>109</v>
      </c>
      <c r="G10" s="70" t="s">
        <v>110</v>
      </c>
      <c r="H10" s="70" t="s">
        <v>111</v>
      </c>
      <c r="I10" s="70" t="s">
        <v>112</v>
      </c>
      <c r="J10" s="70" t="s">
        <v>113</v>
      </c>
      <c r="K10" s="26"/>
      <c r="L10" s="70" t="s">
        <v>114</v>
      </c>
      <c r="M10" s="70" t="s">
        <v>115</v>
      </c>
      <c r="N10" s="70" t="s">
        <v>116</v>
      </c>
      <c r="O10" s="70" t="s">
        <v>117</v>
      </c>
      <c r="P10" s="70" t="s">
        <v>118</v>
      </c>
      <c r="Q10" s="70" t="s">
        <v>119</v>
      </c>
      <c r="R10" s="70" t="s">
        <v>120</v>
      </c>
      <c r="S10" s="70" t="s">
        <v>121</v>
      </c>
      <c r="T10" s="70" t="s">
        <v>122</v>
      </c>
      <c r="U10" s="70" t="s">
        <v>123</v>
      </c>
      <c r="V10" s="70" t="s">
        <v>124</v>
      </c>
      <c r="W10" s="70" t="s">
        <v>125</v>
      </c>
      <c r="X10" s="70" t="s">
        <v>126</v>
      </c>
      <c r="Y10" s="70" t="s">
        <v>127</v>
      </c>
      <c r="Z10" s="70" t="s">
        <v>128</v>
      </c>
      <c r="AA10" s="70" t="s">
        <v>129</v>
      </c>
      <c r="AB10" s="70" t="s">
        <v>130</v>
      </c>
      <c r="AC10" s="70" t="s">
        <v>131</v>
      </c>
      <c r="AD10" s="70" t="s">
        <v>132</v>
      </c>
      <c r="AE10" s="70" t="s">
        <v>133</v>
      </c>
      <c r="AF10" s="70" t="s">
        <v>134</v>
      </c>
      <c r="AG10" s="70" t="s">
        <v>135</v>
      </c>
      <c r="AH10" s="70" t="s">
        <v>136</v>
      </c>
      <c r="AI10" s="70" t="s">
        <v>137</v>
      </c>
      <c r="AJ10" s="70" t="s">
        <v>138</v>
      </c>
      <c r="AK10" s="70" t="s">
        <v>139</v>
      </c>
      <c r="AL10" s="70" t="s">
        <v>140</v>
      </c>
      <c r="AM10" s="70" t="s">
        <v>141</v>
      </c>
      <c r="AN10" s="70" t="s">
        <v>142</v>
      </c>
      <c r="AO10" s="70" t="s">
        <v>143</v>
      </c>
      <c r="AP10" s="70" t="s">
        <v>144</v>
      </c>
      <c r="AQ10" s="70" t="s">
        <v>145</v>
      </c>
      <c r="AR10" s="70" t="s">
        <v>146</v>
      </c>
      <c r="AS10" s="70" t="s">
        <v>147</v>
      </c>
      <c r="AT10" s="70" t="s">
        <v>148</v>
      </c>
      <c r="AU10" s="70" t="s">
        <v>149</v>
      </c>
      <c r="AV10" s="70" t="s">
        <v>150</v>
      </c>
      <c r="AW10" s="70" t="s">
        <v>151</v>
      </c>
      <c r="AX10" s="70" t="s">
        <v>152</v>
      </c>
      <c r="AY10" s="58"/>
      <c r="AZ10" s="58"/>
      <c r="BA10" s="166"/>
      <c r="BB10" s="166"/>
      <c r="BC10" s="166"/>
    </row>
    <row r="11" spans="1:55" s="25" customFormat="1" ht="17.25" customHeight="1">
      <c r="A11" s="58"/>
      <c r="B11" s="226"/>
      <c r="C11" s="246"/>
      <c r="D11" s="226"/>
      <c r="E11" s="243"/>
      <c r="F11" s="71" t="s">
        <v>153</v>
      </c>
      <c r="G11" s="72" t="s">
        <v>154</v>
      </c>
      <c r="H11" s="72" t="s">
        <v>155</v>
      </c>
      <c r="I11" s="72" t="s">
        <v>156</v>
      </c>
      <c r="J11" s="73" t="s">
        <v>157</v>
      </c>
      <c r="K11" s="26"/>
      <c r="L11" s="74" t="s">
        <v>158</v>
      </c>
      <c r="M11" s="72" t="s">
        <v>159</v>
      </c>
      <c r="N11" s="72" t="s">
        <v>160</v>
      </c>
      <c r="O11" s="72" t="s">
        <v>161</v>
      </c>
      <c r="P11" s="72" t="s">
        <v>162</v>
      </c>
      <c r="Q11" s="72" t="s">
        <v>163</v>
      </c>
      <c r="R11" s="72" t="s">
        <v>164</v>
      </c>
      <c r="S11" s="74" t="s">
        <v>165</v>
      </c>
      <c r="T11" s="72" t="s">
        <v>166</v>
      </c>
      <c r="U11" s="72" t="s">
        <v>167</v>
      </c>
      <c r="V11" s="72" t="s">
        <v>168</v>
      </c>
      <c r="W11" s="171" t="s">
        <v>169</v>
      </c>
      <c r="X11" s="72" t="s">
        <v>170</v>
      </c>
      <c r="Y11" s="171" t="s">
        <v>171</v>
      </c>
      <c r="Z11" s="72" t="s">
        <v>172</v>
      </c>
      <c r="AA11" s="73" t="s">
        <v>173</v>
      </c>
      <c r="AB11" s="72" t="s">
        <v>174</v>
      </c>
      <c r="AC11" s="73" t="s">
        <v>175</v>
      </c>
      <c r="AD11" s="72" t="s">
        <v>176</v>
      </c>
      <c r="AE11" s="73" t="s">
        <v>177</v>
      </c>
      <c r="AF11" s="72" t="s">
        <v>178</v>
      </c>
      <c r="AG11" s="73" t="s">
        <v>179</v>
      </c>
      <c r="AH11" s="72" t="s">
        <v>180</v>
      </c>
      <c r="AI11" s="73" t="s">
        <v>181</v>
      </c>
      <c r="AJ11" s="72" t="s">
        <v>182</v>
      </c>
      <c r="AK11" s="73" t="s">
        <v>183</v>
      </c>
      <c r="AL11" s="72" t="s">
        <v>184</v>
      </c>
      <c r="AM11" s="73" t="s">
        <v>185</v>
      </c>
      <c r="AN11" s="72" t="s">
        <v>186</v>
      </c>
      <c r="AO11" s="73" t="s">
        <v>187</v>
      </c>
      <c r="AP11" s="72" t="s">
        <v>188</v>
      </c>
      <c r="AQ11" s="73" t="s">
        <v>189</v>
      </c>
      <c r="AR11" s="72" t="s">
        <v>190</v>
      </c>
      <c r="AS11" s="73" t="s">
        <v>191</v>
      </c>
      <c r="AT11" s="72" t="s">
        <v>192</v>
      </c>
      <c r="AU11" s="73" t="s">
        <v>193</v>
      </c>
      <c r="AV11" s="72" t="s">
        <v>194</v>
      </c>
      <c r="AW11" s="73" t="s">
        <v>195</v>
      </c>
      <c r="AX11" s="72" t="s">
        <v>196</v>
      </c>
      <c r="AY11" s="58"/>
      <c r="AZ11" s="58"/>
      <c r="BA11" s="57"/>
      <c r="BB11" s="57"/>
      <c r="BC11" s="57"/>
    </row>
    <row r="12" spans="1:55" s="25" customFormat="1" ht="19.5" customHeight="1">
      <c r="A12" s="58"/>
      <c r="B12" s="226"/>
      <c r="C12" s="247"/>
      <c r="D12" s="226"/>
      <c r="E12" s="244"/>
      <c r="F12" s="71" t="s">
        <v>197</v>
      </c>
      <c r="G12" s="75" t="s">
        <v>198</v>
      </c>
      <c r="H12" s="72" t="s">
        <v>198</v>
      </c>
      <c r="I12" s="72" t="s">
        <v>199</v>
      </c>
      <c r="J12" s="72" t="s">
        <v>199</v>
      </c>
      <c r="K12" s="26"/>
      <c r="L12" s="72" t="s">
        <v>200</v>
      </c>
      <c r="M12" s="72" t="s">
        <v>201</v>
      </c>
      <c r="N12" s="72" t="s">
        <v>201</v>
      </c>
      <c r="O12" s="72" t="s">
        <v>202</v>
      </c>
      <c r="P12" s="72" t="s">
        <v>202</v>
      </c>
      <c r="Q12" s="72" t="s">
        <v>203</v>
      </c>
      <c r="R12" s="72" t="s">
        <v>203</v>
      </c>
      <c r="S12" s="72" t="s">
        <v>204</v>
      </c>
      <c r="T12" s="72" t="s">
        <v>204</v>
      </c>
      <c r="U12" s="72" t="s">
        <v>205</v>
      </c>
      <c r="V12" s="72" t="s">
        <v>205</v>
      </c>
      <c r="W12" s="72" t="s">
        <v>205</v>
      </c>
      <c r="X12" s="72" t="s">
        <v>206</v>
      </c>
      <c r="Y12" s="72" t="s">
        <v>206</v>
      </c>
      <c r="Z12" s="72" t="s">
        <v>206</v>
      </c>
      <c r="AA12" s="72" t="s">
        <v>206</v>
      </c>
      <c r="AB12" s="72" t="s">
        <v>207</v>
      </c>
      <c r="AC12" s="72" t="s">
        <v>207</v>
      </c>
      <c r="AD12" s="72" t="s">
        <v>207</v>
      </c>
      <c r="AE12" s="72" t="s">
        <v>207</v>
      </c>
      <c r="AF12" s="72" t="s">
        <v>208</v>
      </c>
      <c r="AG12" s="72" t="s">
        <v>208</v>
      </c>
      <c r="AH12" s="72" t="s">
        <v>208</v>
      </c>
      <c r="AI12" s="72" t="s">
        <v>208</v>
      </c>
      <c r="AJ12" s="72" t="s">
        <v>209</v>
      </c>
      <c r="AK12" s="72" t="s">
        <v>209</v>
      </c>
      <c r="AL12" s="72" t="s">
        <v>209</v>
      </c>
      <c r="AM12" s="72" t="s">
        <v>209</v>
      </c>
      <c r="AN12" s="72" t="s">
        <v>210</v>
      </c>
      <c r="AO12" s="72" t="s">
        <v>210</v>
      </c>
      <c r="AP12" s="72" t="s">
        <v>210</v>
      </c>
      <c r="AQ12" s="72" t="s">
        <v>210</v>
      </c>
      <c r="AR12" s="72" t="s">
        <v>211</v>
      </c>
      <c r="AS12" s="72" t="s">
        <v>211</v>
      </c>
      <c r="AT12" s="72" t="s">
        <v>211</v>
      </c>
      <c r="AU12" s="72" t="s">
        <v>211</v>
      </c>
      <c r="AV12" s="72" t="s">
        <v>212</v>
      </c>
      <c r="AW12" s="72" t="s">
        <v>212</v>
      </c>
      <c r="AX12" s="72" t="s">
        <v>212</v>
      </c>
      <c r="AY12" s="58"/>
      <c r="AZ12" s="58"/>
      <c r="BA12" s="57"/>
      <c r="BB12" s="57"/>
      <c r="BC12" s="57"/>
    </row>
    <row r="13" spans="1:55" s="25" customFormat="1" ht="12.4">
      <c r="A13" s="58"/>
      <c r="B13" s="227" t="s">
        <v>213</v>
      </c>
      <c r="C13" s="255" t="s">
        <v>214</v>
      </c>
      <c r="D13" s="52" t="s">
        <v>215</v>
      </c>
      <c r="E13" s="52" t="s">
        <v>216</v>
      </c>
      <c r="F13" s="233"/>
      <c r="G13" s="76">
        <f>IF('2c DCC'!F54=0,"-",'2c DCC'!F54)</f>
        <v>5.9060216182828906</v>
      </c>
      <c r="H13" s="76">
        <f>IF('2c DCC'!G54=0,"-",'2c DCC'!G54)</f>
        <v>5.7860216182828905</v>
      </c>
      <c r="I13" s="76">
        <f>IF('2c DCC'!H54=0,"-",'2c DCC'!H54)</f>
        <v>8.4153693638048175</v>
      </c>
      <c r="J13" s="76">
        <f>IF('2c DCC'!I54=0,"-",'2c DCC'!I54)</f>
        <v>8.5516161549312244</v>
      </c>
      <c r="K13" s="26"/>
      <c r="L13" s="76">
        <f>IF('2c DCC'!K54=0,"-",'2c DCC'!K54)</f>
        <v>8.5516161549312244</v>
      </c>
      <c r="M13" s="76">
        <f>IF('2c DCC'!L54=0,"-",'2c DCC'!L54)</f>
        <v>11.104851878142561</v>
      </c>
      <c r="N13" s="76">
        <f>IF('2c DCC'!M54=0,"-",'2c DCC'!M54)</f>
        <v>11.012800642584216</v>
      </c>
      <c r="O13" s="76">
        <f>IF('2c DCC'!N54=0,"-",'2c DCC'!N54)</f>
        <v>13.662374482953824</v>
      </c>
      <c r="P13" s="76">
        <f>IF('2c DCC'!O54=0,"-",'2c DCC'!O54)</f>
        <v>12.80454002319885</v>
      </c>
      <c r="Q13" s="76">
        <f>IF('2c DCC'!P54=0,"-",'2c DCC'!P54)</f>
        <v>12.478066292981234</v>
      </c>
      <c r="R13" s="76">
        <f>IF('2c DCC'!Q54=0,"-",'2c DCC'!Q54)</f>
        <v>13.030059643111718</v>
      </c>
      <c r="S13" s="76">
        <f>IF('2c DCC'!R54=0,"-",'2c DCC'!R54)</f>
        <v>13.114425773024294</v>
      </c>
      <c r="T13" s="76">
        <f>IF('2c DCC'!S54=0,"-",'2c DCC'!S54)</f>
        <v>13.286100625381531</v>
      </c>
      <c r="U13" s="76">
        <f>IF('2c DCC'!T54=0,"-",'2c DCC'!T54)</f>
        <v>14.484088178454057</v>
      </c>
      <c r="V13" s="76">
        <f>IF('2c DCC'!U54=0,"-",'2c DCC'!U54)</f>
        <v>14.015051325966125</v>
      </c>
      <c r="W13" s="76">
        <f>IF('2c DCC'!V54=0,"-",'2c DCC'!V54)</f>
        <v>14.015051325966125</v>
      </c>
      <c r="X13" s="76">
        <f>IF('2c DCC'!W54=0,"-",'2c DCC'!W54)</f>
        <v>14.825595615593317</v>
      </c>
      <c r="Y13" s="76">
        <f>IF('2c DCC'!X54=0,"-",'2c DCC'!X54)</f>
        <v>14.825595615593317</v>
      </c>
      <c r="Z13" s="76">
        <f>IF('2c DCC'!Y54=0,"-",'2c DCC'!Y54)</f>
        <v>14.526392122144435</v>
      </c>
      <c r="AA13" s="76">
        <f>IF('2c DCC'!Z54=0,"-",'2c DCC'!Z54)</f>
        <v>14.526392122144435</v>
      </c>
      <c r="AB13" s="76">
        <f>IF('2c DCC'!AA54=0,"-",'2c DCC'!AA54)</f>
        <v>15.157178796906251</v>
      </c>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7"/>
      <c r="BB13" s="57"/>
      <c r="BC13" s="57"/>
    </row>
    <row r="14" spans="1:55" s="25" customFormat="1" ht="12.4">
      <c r="A14" s="58"/>
      <c r="B14" s="254"/>
      <c r="C14" s="256"/>
      <c r="D14" s="52" t="s">
        <v>217</v>
      </c>
      <c r="E14" s="52" t="s">
        <v>216</v>
      </c>
      <c r="F14" s="258"/>
      <c r="G14" s="76">
        <f>IF('2b SEGB'!F33=0,"-",'2b SEGB'!F33)</f>
        <v>0.9765661704349663</v>
      </c>
      <c r="H14" s="76">
        <f>IF('2b SEGB'!G33=0,"-",'2b SEGB'!G33)</f>
        <v>0.99422403336222409</v>
      </c>
      <c r="I14" s="76">
        <f>IF('2b SEGB'!H33=0,"-",'2b SEGB'!H33)</f>
        <v>1.0458017167360125</v>
      </c>
      <c r="J14" s="76">
        <f>IF('2b SEGB'!I33=0,"-",'2b SEGB'!I33)</f>
        <v>1.0458017167360125</v>
      </c>
      <c r="K14" s="26"/>
      <c r="L14" s="76">
        <f>IF('2b SEGB'!K33=0,"-",'2b SEGB'!K33)</f>
        <v>1.0458017167360125</v>
      </c>
      <c r="M14" s="76">
        <f>IF('2b SEGB'!L33=0,"-",'2b SEGB'!L33)</f>
        <v>0.99308334451494196</v>
      </c>
      <c r="N14" s="76">
        <f>IF('2b SEGB'!M33=0,"-",'2b SEGB'!M33)</f>
        <v>1.0019685420102336</v>
      </c>
      <c r="O14" s="76">
        <f>IF('2b SEGB'!N33=0,"-",'2b SEGB'!N33)</f>
        <v>0.73849263586365788</v>
      </c>
      <c r="P14" s="76">
        <f>IF('2b SEGB'!O33=0,"-",'2b SEGB'!O33)</f>
        <v>0.73849263586365788</v>
      </c>
      <c r="Q14" s="76">
        <f>IF('2b SEGB'!P33=0,"-",'2b SEGB'!P33)</f>
        <v>0.73579134800364232</v>
      </c>
      <c r="R14" s="76">
        <f>IF('2b SEGB'!Q33=0,"-",'2b SEGB'!Q33)</f>
        <v>0.74230732827042012</v>
      </c>
      <c r="S14" s="76">
        <f>IF('2b SEGB'!R33=0,"-",'2b SEGB'!R33)</f>
        <v>0.6999312704421663</v>
      </c>
      <c r="T14" s="76">
        <f>IF('2b SEGB'!S33=0,"-",'2b SEGB'!S33)</f>
        <v>0.73248732532298766</v>
      </c>
      <c r="U14" s="76">
        <f>IF('2b SEGB'!T33=0,"-",'2b SEGB'!T33)</f>
        <v>0.72666378413833999</v>
      </c>
      <c r="V14" s="76">
        <f>IF('2b SEGB'!U33=0,"-",'2b SEGB'!U33)</f>
        <v>0.72666378413833999</v>
      </c>
      <c r="W14" s="76">
        <f>IF('2b SEGB'!V33=0,"-",'2b SEGB'!V33)</f>
        <v>0.72666378413833999</v>
      </c>
      <c r="X14" s="76">
        <f>IF('2b SEGB'!W33=0,"-",'2b SEGB'!W33)</f>
        <v>0.72561469579713644</v>
      </c>
      <c r="Y14" s="76">
        <f>IF('2b SEGB'!X33=0,"-",'2b SEGB'!X33)</f>
        <v>0.72561469579713644</v>
      </c>
      <c r="Z14" s="76">
        <f>IF('2b SEGB'!Y33=0,"-",'2b SEGB'!Y33)</f>
        <v>0.72561469579713644</v>
      </c>
      <c r="AA14" s="76">
        <f>IF('2b SEGB'!Z33=0,"-",'2b SEGB'!Z33)</f>
        <v>0.72561469579713644</v>
      </c>
      <c r="AB14" s="76">
        <f>IF('2b SEGB'!AA33=0,"-",'2b SEGB'!AA33)</f>
        <v>0.72170483169310518</v>
      </c>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7"/>
      <c r="BB14" s="57"/>
      <c r="BC14" s="57"/>
    </row>
    <row r="15" spans="1:55" s="25" customFormat="1" ht="12.4">
      <c r="A15" s="58"/>
      <c r="B15" s="254"/>
      <c r="C15" s="256"/>
      <c r="D15" s="187" t="s">
        <v>218</v>
      </c>
      <c r="E15" s="187" t="s">
        <v>216</v>
      </c>
      <c r="F15" s="258"/>
      <c r="G15" s="76">
        <f>IF('2d SMICoP'!F18=0,"-",'2d SMICoP'!F18)</f>
        <v>4.8255095738109948E-3</v>
      </c>
      <c r="H15" s="76">
        <f>IF('2d SMICoP'!G18=0,"-",'2d SMICoP'!G18)</f>
        <v>4.8255095738109948E-3</v>
      </c>
      <c r="I15" s="76">
        <f>IF('2d SMICoP'!H18=0,"-",'2d SMICoP'!H18)</f>
        <v>4.8255095738109948E-3</v>
      </c>
      <c r="J15" s="76">
        <f>IF('2d SMICoP'!I18=0,"-",'2d SMICoP'!I18)</f>
        <v>4.8255095738109948E-3</v>
      </c>
      <c r="K15" s="26"/>
      <c r="L15" s="76">
        <f>IF('2d SMICoP'!K18=0,"-",'2d SMICoP'!K18)</f>
        <v>4.8255095738109948E-3</v>
      </c>
      <c r="M15" s="76">
        <f>IF('2d SMICoP'!L18=0,"-",'2d SMICoP'!L18)</f>
        <v>4.792117924437885E-3</v>
      </c>
      <c r="N15" s="76">
        <f>IF('2d SMICoP'!M18=0,"-",'2d SMICoP'!M18)</f>
        <v>4.792117924437885E-3</v>
      </c>
      <c r="O15" s="76">
        <f>IF('2d SMICoP'!N18=0,"-",'2d SMICoP'!N18)</f>
        <v>4.7547499952452499E-3</v>
      </c>
      <c r="P15" s="76">
        <f>IF('2d SMICoP'!O18=0,"-",'2d SMICoP'!O18)</f>
        <v>4.7547499952452499E-3</v>
      </c>
      <c r="Q15" s="76">
        <f>IF('2d SMICoP'!P18=0,"-",'2d SMICoP'!P18)</f>
        <v>4.7341311922435986E-3</v>
      </c>
      <c r="R15" s="76">
        <f>IF('2d SMICoP'!Q18=0,"-",'2d SMICoP'!Q18)</f>
        <v>4.7341311922435986E-3</v>
      </c>
      <c r="S15" s="76">
        <f>IF('2d SMICoP'!R18=0,"-",'2d SMICoP'!R18)</f>
        <v>4.7082752646050701E-3</v>
      </c>
      <c r="T15" s="76">
        <f>IF('2d SMICoP'!S18=0,"-",'2d SMICoP'!S18)</f>
        <v>4.7082752646050701E-3</v>
      </c>
      <c r="U15" s="76">
        <f>IF('2d SMICoP'!T18=0,"-",'2d SMICoP'!T18)</f>
        <v>4.6715874054003553E-3</v>
      </c>
      <c r="V15" s="76">
        <f>IF('2d SMICoP'!U18=0,"-",'2d SMICoP'!U18)</f>
        <v>4.6715874054003553E-3</v>
      </c>
      <c r="W15" s="76">
        <f>IF('2d SMICoP'!V18=0,"-",'2d SMICoP'!V18)</f>
        <v>4.6715874054003553E-3</v>
      </c>
      <c r="X15" s="76">
        <f>IF('2d SMICoP'!W18=0,"-",'2d SMICoP'!W18)</f>
        <v>4.6656588843476468E-3</v>
      </c>
      <c r="Y15" s="76">
        <f>IF('2d SMICoP'!X18=0,"-",'2d SMICoP'!X18)</f>
        <v>4.6656588843476468E-3</v>
      </c>
      <c r="Z15" s="76">
        <f>IF('2d SMICoP'!Y18=0,"-",'2d SMICoP'!Y18)</f>
        <v>4.6656588843476468E-3</v>
      </c>
      <c r="AA15" s="76">
        <f>IF('2d SMICoP'!Z18=0,"-",'2d SMICoP'!Z18)</f>
        <v>4.6656588843476468E-3</v>
      </c>
      <c r="AB15" s="76">
        <f>IF('2d SMICoP'!AA18=0,"-",'2d SMICoP'!AA18)</f>
        <v>4.6428704082011668E-3</v>
      </c>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7"/>
      <c r="BB15" s="57"/>
      <c r="BC15" s="57"/>
    </row>
    <row r="16" spans="1:55" s="25" customFormat="1" ht="12.4">
      <c r="A16" s="58"/>
      <c r="B16" s="254"/>
      <c r="C16" s="256"/>
      <c r="D16" s="187" t="s">
        <v>219</v>
      </c>
      <c r="E16" s="187" t="s">
        <v>216</v>
      </c>
      <c r="F16" s="258"/>
      <c r="G16" s="76">
        <f>IF(SUM(G13:G15)=0, "-", SUM(G13:G15))</f>
        <v>6.8874132982916683</v>
      </c>
      <c r="H16" s="76">
        <f>IF(SUM(H13:H15)=0, "-", SUM(H13:H15))</f>
        <v>6.7850711612189256</v>
      </c>
      <c r="I16" s="76">
        <f>IF(SUM(I13:I15)=0, "-", SUM(I13:I15))</f>
        <v>9.4659965901146403</v>
      </c>
      <c r="J16" s="76">
        <f>IF(SUM(J13:J15)=0, "-", SUM(J13:J15))</f>
        <v>9.6022433812410473</v>
      </c>
      <c r="K16" s="26"/>
      <c r="L16" s="76">
        <f t="shared" ref="L16:Y16" si="0">IF(SUM(L13:L15)=0, "-", SUM(L13:L15))</f>
        <v>9.6022433812410473</v>
      </c>
      <c r="M16" s="76">
        <f t="shared" si="0"/>
        <v>12.102727340581941</v>
      </c>
      <c r="N16" s="76">
        <f t="shared" si="0"/>
        <v>12.019561302518888</v>
      </c>
      <c r="O16" s="76">
        <f t="shared" si="0"/>
        <v>14.405621868812727</v>
      </c>
      <c r="P16" s="76">
        <f t="shared" si="0"/>
        <v>13.547787409057753</v>
      </c>
      <c r="Q16" s="76">
        <f t="shared" si="0"/>
        <v>13.21859177217712</v>
      </c>
      <c r="R16" s="76">
        <f t="shared" si="0"/>
        <v>13.777101102574383</v>
      </c>
      <c r="S16" s="76">
        <f t="shared" si="0"/>
        <v>13.819065318731065</v>
      </c>
      <c r="T16" s="76">
        <f t="shared" si="0"/>
        <v>14.023296225969123</v>
      </c>
      <c r="U16" s="76">
        <f t="shared" si="0"/>
        <v>15.215423549997798</v>
      </c>
      <c r="V16" s="76">
        <f t="shared" si="0"/>
        <v>14.746386697509866</v>
      </c>
      <c r="W16" s="76">
        <f t="shared" si="0"/>
        <v>14.746386697509866</v>
      </c>
      <c r="X16" s="76">
        <f t="shared" si="0"/>
        <v>15.5558759702748</v>
      </c>
      <c r="Y16" s="76">
        <f t="shared" si="0"/>
        <v>15.5558759702748</v>
      </c>
      <c r="Z16" s="76">
        <f t="shared" ref="Z16:AA16" si="1">IF(SUM(Z13:Z15)=0, "-", SUM(Z13:Z15))</f>
        <v>15.256672476825917</v>
      </c>
      <c r="AA16" s="76">
        <f t="shared" si="1"/>
        <v>15.256672476825917</v>
      </c>
      <c r="AB16" s="76">
        <f t="shared" ref="AB16" si="2">IF(SUM(AB13:AB15)=0, "-", SUM(AB13:AB15))</f>
        <v>15.883526499007557</v>
      </c>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7"/>
      <c r="BB16" s="57"/>
      <c r="BC16" s="57"/>
    </row>
    <row r="17" spans="1:52" s="25" customFormat="1" ht="12.4">
      <c r="A17" s="58"/>
      <c r="B17" s="254"/>
      <c r="C17" s="256"/>
      <c r="D17" s="187" t="s">
        <v>220</v>
      </c>
      <c r="E17" s="187" t="s">
        <v>221</v>
      </c>
      <c r="F17" s="258"/>
      <c r="G17" s="76">
        <f>IFERROR('2e CPIH'!G16/'2e CPIH'!$C$9,"-")</f>
        <v>1</v>
      </c>
      <c r="H17" s="76">
        <f>IFERROR('2e CPIH'!H16/'2e CPIH'!$C$9,"-")</f>
        <v>1.0127201565557731</v>
      </c>
      <c r="I17" s="76">
        <f>IFERROR('2e CPIH'!I16/'2e CPIH'!$C$9,"-")</f>
        <v>1.0273972602739725</v>
      </c>
      <c r="J17" s="76">
        <f>IFERROR('2e CPIH'!J16/'2e CPIH'!$C$9,"-")</f>
        <v>1.0362035225048924</v>
      </c>
      <c r="K17" s="26"/>
      <c r="L17" s="76">
        <f>IFERROR('2e CPIH'!L16/'2e CPIH'!$C$9,"-")</f>
        <v>1.0362035225048924</v>
      </c>
      <c r="M17" s="76">
        <f>IFERROR('2e CPIH'!M16/'2e CPIH'!$C$9,"-")</f>
        <v>1.047945205479452</v>
      </c>
      <c r="N17" s="76">
        <f>IFERROR('2e CPIH'!N16/'2e CPIH'!$C$9,"-")</f>
        <v>1.0557729941291585</v>
      </c>
      <c r="O17" s="76">
        <f>IFERROR('2e CPIH'!O16/'2e CPIH'!$C$9,"-")</f>
        <v>1.0616438356164384</v>
      </c>
      <c r="P17" s="76">
        <f>IFERROR('2e CPIH'!P16/'2e CPIH'!$C$9,"-")</f>
        <v>1.0645792563600782</v>
      </c>
      <c r="Q17" s="76">
        <f>IFERROR('2e CPIH'!Q16/'2e CPIH'!$C$9,"-")</f>
        <v>1.0704500978473581</v>
      </c>
      <c r="R17" s="76">
        <f>IFERROR('2e CPIH'!R16/'2e CPIH'!$C$9,"-")</f>
        <v>1.0900195694716244</v>
      </c>
      <c r="S17" s="76">
        <f>IFERROR('2e CPIH'!S16/'2e CPIH'!$C$9,"-")</f>
        <v>1.1223091976516635</v>
      </c>
      <c r="T17" s="76">
        <f>IFERROR('2e CPIH'!T16/'2e CPIH'!$C$9,"-")</f>
        <v>1.1790606653620352</v>
      </c>
      <c r="U17" s="76">
        <f>IFERROR('2e CPIH'!U16/'2e CPIH'!$C$9,"-")</f>
        <v>1.226027397260274</v>
      </c>
      <c r="V17" s="76">
        <f>IFERROR('2e CPIH'!V16/'2e CPIH'!$C$9,"-")</f>
        <v>1.2661448140900196</v>
      </c>
      <c r="W17" s="76">
        <f>IFERROR('2e CPIH'!W16/'2e CPIH'!$C$9,"-")</f>
        <v>1.2661448140900196</v>
      </c>
      <c r="X17" s="76">
        <f>IFERROR('2e CPIH'!X16/'2e CPIH'!$C$9,"-")</f>
        <v>1.2769080234833659</v>
      </c>
      <c r="Y17" s="76">
        <f>IFERROR('2e CPIH'!Y16/'2e CPIH'!$C$9,"-")</f>
        <v>1.2769080234833659</v>
      </c>
      <c r="Z17" s="76">
        <f>IFERROR('2e CPIH'!Z16/'2e CPIH'!$C$9,"-")</f>
        <v>1.3013698630136985</v>
      </c>
      <c r="AA17" s="76">
        <f>IFERROR('2e CPIH'!AA16/'2e CPIH'!$C$9,"-")</f>
        <v>1.3013698630136985</v>
      </c>
      <c r="AB17" s="76">
        <f>IFERROR('2e CPIH'!AB16/'2e CPIH'!$C$9,"-")</f>
        <v>1.321917808219178</v>
      </c>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row>
    <row r="18" spans="1:52" s="25" customFormat="1" ht="12.4">
      <c r="A18" s="58"/>
      <c r="B18" s="228"/>
      <c r="C18" s="257"/>
      <c r="D18" s="187" t="s">
        <v>222</v>
      </c>
      <c r="E18" s="187" t="s">
        <v>216</v>
      </c>
      <c r="F18" s="258"/>
      <c r="G18" s="76">
        <f>IF(G16="-","-",G16-($G$16*G17))</f>
        <v>0</v>
      </c>
      <c r="H18" s="76">
        <f t="shared" ref="H18:L18" si="3">IF(H16="-","-",H16-($G$16*H17))</f>
        <v>-0.18995111249132623</v>
      </c>
      <c r="I18" s="76">
        <f t="shared" si="3"/>
        <v>2.3898870370752556</v>
      </c>
      <c r="J18" s="76">
        <f t="shared" si="3"/>
        <v>2.4654814606041811</v>
      </c>
      <c r="K18" s="26"/>
      <c r="L18" s="76">
        <f t="shared" si="3"/>
        <v>2.4654814606041811</v>
      </c>
      <c r="M18" s="76">
        <f t="shared" ref="M18" si="4">IF(M16="-","-",M16-($G$16*M17))</f>
        <v>4.8850955964817686</v>
      </c>
      <c r="N18" s="76">
        <f t="shared" ref="N18" si="5">IF(N16="-","-",N16-($G$16*N17))</f>
        <v>4.7480163427765101</v>
      </c>
      <c r="O18" s="76">
        <f>IF(O16="-","-",O16-($G$16*O17))</f>
        <v>7.093641997338695</v>
      </c>
      <c r="P18" s="76">
        <f t="shared" ref="P18" si="6">IF(P16="-","-",P16-($G$16*P17))</f>
        <v>6.2155900817178944</v>
      </c>
      <c r="Q18" s="76">
        <f t="shared" ref="Q18" si="7">IF(Q16="-","-",Q16-($G$16*Q17))</f>
        <v>5.8459595331056082</v>
      </c>
      <c r="R18" s="76">
        <f t="shared" ref="R18" si="8">IF(R16="-","-",R16-($G$16*R17))</f>
        <v>6.2696858243973583</v>
      </c>
      <c r="S18" s="76">
        <f t="shared" ref="S18" si="9">IF(S16="-","-",S16-($G$16*S17))</f>
        <v>6.0892580260299454</v>
      </c>
      <c r="T18" s="76">
        <f t="shared" ref="T18" si="10">IF(T16="-","-",T16-($G$16*T17))</f>
        <v>5.9026181198620193</v>
      </c>
      <c r="U18" s="76">
        <f t="shared" ref="U18" si="11">IF(U16="-","-",U16-($G$16*U17))</f>
        <v>6.771266150037464</v>
      </c>
      <c r="V18" s="76">
        <f t="shared" ref="V18:Y18" si="12">IF(V16="-","-",V16-($G$16*V17))</f>
        <v>6.0259240673832331</v>
      </c>
      <c r="W18" s="76">
        <f t="shared" si="12"/>
        <v>6.0259240673832331</v>
      </c>
      <c r="X18" s="76">
        <f t="shared" si="12"/>
        <v>6.7612826686401366</v>
      </c>
      <c r="Y18" s="76">
        <f t="shared" si="12"/>
        <v>6.7612826686401366</v>
      </c>
      <c r="Z18" s="76">
        <f t="shared" ref="Z18:AA18" si="13">IF(Z16="-","-",Z16-($G$16*Z17))</f>
        <v>6.2936003763093638</v>
      </c>
      <c r="AA18" s="76">
        <f t="shared" si="13"/>
        <v>6.2936003763093638</v>
      </c>
      <c r="AB18" s="76">
        <f t="shared" ref="AB18" si="14">IF(AB16="-","-",AB16-($G$16*AB17))</f>
        <v>6.7789322074302145</v>
      </c>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row>
    <row r="19" spans="1:52" s="25" customFormat="1" ht="12.4">
      <c r="A19" s="58"/>
      <c r="B19" s="227" t="s">
        <v>223</v>
      </c>
      <c r="C19" s="255" t="s">
        <v>214</v>
      </c>
      <c r="D19" s="52" t="s">
        <v>215</v>
      </c>
      <c r="E19" s="52" t="s">
        <v>216</v>
      </c>
      <c r="F19" s="258"/>
      <c r="G19" s="76">
        <f>IF('2c DCC'!F55=0,"-",'2c DCC'!F55)</f>
        <v>4.5260216182828907</v>
      </c>
      <c r="H19" s="76">
        <f>IF('2c DCC'!G55=0,"-",'2c DCC'!G55)</f>
        <v>4.4300216182828898</v>
      </c>
      <c r="I19" s="76">
        <f>IF('2c DCC'!H55=0,"-",'2c DCC'!H55)</f>
        <v>6.5073693638048171</v>
      </c>
      <c r="J19" s="76">
        <f>IF('2c DCC'!I55=0,"-",'2c DCC'!I55)</f>
        <v>6.6215397542612262</v>
      </c>
      <c r="K19" s="26"/>
      <c r="L19" s="76">
        <f>IF('2c DCC'!K55=0,"-",'2c DCC'!K55)</f>
        <v>6.6215397542612262</v>
      </c>
      <c r="M19" s="76">
        <f>IF('2c DCC'!L55=0,"-",'2c DCC'!L55)</f>
        <v>8.705416394354847</v>
      </c>
      <c r="N19" s="76">
        <f>IF('2c DCC'!M55=0,"-",'2c DCC'!M55)</f>
        <v>8.4956047001320023</v>
      </c>
      <c r="O19" s="76">
        <f>IF('2c DCC'!N55=0,"-",'2c DCC'!N55)</f>
        <v>10.500573436950896</v>
      </c>
      <c r="P19" s="76">
        <f>IF('2c DCC'!O55=0,"-",'2c DCC'!O55)</f>
        <v>9.8035943577862135</v>
      </c>
      <c r="Q19" s="76">
        <f>IF('2c DCC'!P55=0,"-",'2c DCC'!P55)</f>
        <v>9.5737808938045479</v>
      </c>
      <c r="R19" s="76">
        <f>IF('2c DCC'!Q55=0,"-",'2c DCC'!Q55)</f>
        <v>9.9029095394177755</v>
      </c>
      <c r="S19" s="76">
        <f>IF('2c DCC'!R55=0,"-",'2c DCC'!R55)</f>
        <v>9.8990111467388058</v>
      </c>
      <c r="T19" s="76">
        <f>IF('2c DCC'!S55=0,"-",'2c DCC'!S55)</f>
        <v>10.018665782600447</v>
      </c>
      <c r="U19" s="76">
        <f>IF('2c DCC'!T55=0,"-",'2c DCC'!T55)</f>
        <v>10.923303669691526</v>
      </c>
      <c r="V19" s="76">
        <f>IF('2c DCC'!U55=0,"-",'2c DCC'!U55)</f>
        <v>10.599645795131831</v>
      </c>
      <c r="W19" s="76">
        <f>IF('2c DCC'!V55=0,"-",'2c DCC'!V55)</f>
        <v>10.599645795131831</v>
      </c>
      <c r="X19" s="76">
        <f>IF('2c DCC'!W55=0,"-",'2c DCC'!W55)</f>
        <v>11.140382840481635</v>
      </c>
      <c r="Y19" s="76">
        <f>IF('2c DCC'!X55=0,"-",'2c DCC'!X55)</f>
        <v>11.140382840481635</v>
      </c>
      <c r="Z19" s="76">
        <f>IF('2c DCC'!Y55=0,"-",'2c DCC'!Y55)</f>
        <v>10.91895024241601</v>
      </c>
      <c r="AA19" s="76">
        <f>IF('2c DCC'!Z55=0,"-",'2c DCC'!Z55)</f>
        <v>10.91895024241601</v>
      </c>
      <c r="AB19" s="76">
        <f>IF('2c DCC'!AA55=0,"-",'2c DCC'!AA55)</f>
        <v>11.295061963523581</v>
      </c>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row>
    <row r="20" spans="1:52" s="25" customFormat="1" ht="12.4">
      <c r="A20" s="58"/>
      <c r="B20" s="254"/>
      <c r="C20" s="256"/>
      <c r="D20" s="52" t="s">
        <v>217</v>
      </c>
      <c r="E20" s="52" t="s">
        <v>216</v>
      </c>
      <c r="F20" s="258"/>
      <c r="G20" s="76">
        <f>IF('2b SEGB'!F34=0,"-",'2b SEGB'!F34)</f>
        <v>0.9765661704349663</v>
      </c>
      <c r="H20" s="76">
        <f>IF('2b SEGB'!G34=0,"-",'2b SEGB'!G34)</f>
        <v>0.9942240333622242</v>
      </c>
      <c r="I20" s="76">
        <f>IF('2b SEGB'!H34=0,"-",'2b SEGB'!H34)</f>
        <v>1.0458017167360125</v>
      </c>
      <c r="J20" s="76">
        <f>IF('2b SEGB'!I34=0,"-",'2b SEGB'!I34)</f>
        <v>1.0458017167360125</v>
      </c>
      <c r="K20" s="26"/>
      <c r="L20" s="76">
        <f>IF('2b SEGB'!K34=0,"-",'2b SEGB'!K34)</f>
        <v>1.0458017167360125</v>
      </c>
      <c r="M20" s="76">
        <f>IF('2b SEGB'!L34=0,"-",'2b SEGB'!L34)</f>
        <v>1.0019685420102333</v>
      </c>
      <c r="N20" s="76">
        <f>IF('2b SEGB'!M34=0,"-",'2b SEGB'!M34)</f>
        <v>1.0019685420102333</v>
      </c>
      <c r="O20" s="76">
        <f>IF('2b SEGB'!N34=0,"-",'2b SEGB'!N34)</f>
        <v>0.73849263586365799</v>
      </c>
      <c r="P20" s="76">
        <f>IF('2b SEGB'!O34=0,"-",'2b SEGB'!O34)</f>
        <v>0.73849263586365799</v>
      </c>
      <c r="Q20" s="76">
        <f>IF('2b SEGB'!P34=0,"-",'2b SEGB'!P34)</f>
        <v>0.73579134800364243</v>
      </c>
      <c r="R20" s="76">
        <f>IF('2b SEGB'!Q34=0,"-",'2b SEGB'!Q34)</f>
        <v>0.74230732827042023</v>
      </c>
      <c r="S20" s="76">
        <f>IF('2b SEGB'!R34=0,"-",'2b SEGB'!R34)</f>
        <v>0.69993127044216641</v>
      </c>
      <c r="T20" s="76">
        <f>IF('2b SEGB'!S34=0,"-",'2b SEGB'!S34)</f>
        <v>0.72651257157053983</v>
      </c>
      <c r="U20" s="76">
        <f>IF('2b SEGB'!T34=0,"-",'2b SEGB'!T34)</f>
        <v>0.7207878387726655</v>
      </c>
      <c r="V20" s="76">
        <f>IF('2b SEGB'!U34=0,"-",'2b SEGB'!U34)</f>
        <v>0.7207878387726655</v>
      </c>
      <c r="W20" s="76">
        <f>IF('2b SEGB'!V34=0,"-",'2b SEGB'!V34)</f>
        <v>0.7207878387726655</v>
      </c>
      <c r="X20" s="76">
        <f>IF('2b SEGB'!W34=0,"-",'2b SEGB'!W34)</f>
        <v>0.71981219733305291</v>
      </c>
      <c r="Y20" s="76">
        <f>IF('2b SEGB'!X34=0,"-",'2b SEGB'!X34)</f>
        <v>0.71981219733305291</v>
      </c>
      <c r="Z20" s="76">
        <f>IF('2b SEGB'!Y34=0,"-",'2b SEGB'!Y34)</f>
        <v>0.71981219733305291</v>
      </c>
      <c r="AA20" s="76">
        <f>IF('2b SEGB'!Z34=0,"-",'2b SEGB'!Z34)</f>
        <v>0.71981219733305291</v>
      </c>
      <c r="AB20" s="76">
        <f>IF('2b SEGB'!AA34=0,"-",'2b SEGB'!AA34)</f>
        <v>0.71611539380733003</v>
      </c>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row>
    <row r="21" spans="1:52" s="25" customFormat="1" ht="12.4">
      <c r="A21" s="58"/>
      <c r="B21" s="254"/>
      <c r="C21" s="256"/>
      <c r="D21" s="187" t="s">
        <v>218</v>
      </c>
      <c r="E21" s="187" t="s">
        <v>216</v>
      </c>
      <c r="F21" s="258"/>
      <c r="G21" s="76">
        <f>IF('2d SMICoP'!F19=0,"-",'2d SMICoP'!F19)</f>
        <v>4.8255095738109948E-3</v>
      </c>
      <c r="H21" s="76">
        <f>IF('2d SMICoP'!G19=0,"-",'2d SMICoP'!G19)</f>
        <v>4.8255095738109948E-3</v>
      </c>
      <c r="I21" s="76">
        <f>IF('2d SMICoP'!H19=0,"-",'2d SMICoP'!H19)</f>
        <v>4.8255095738109948E-3</v>
      </c>
      <c r="J21" s="76">
        <f>IF('2d SMICoP'!I19=0,"-",'2d SMICoP'!I19)</f>
        <v>4.8255095738109948E-3</v>
      </c>
      <c r="K21" s="26"/>
      <c r="L21" s="76">
        <f>IF('2d SMICoP'!K19=0,"-",'2d SMICoP'!K19)</f>
        <v>4.8255095738109948E-3</v>
      </c>
      <c r="M21" s="76">
        <f>IF('2d SMICoP'!L19=0,"-",'2d SMICoP'!L19)</f>
        <v>4.792117924437885E-3</v>
      </c>
      <c r="N21" s="76">
        <f>IF('2d SMICoP'!M19=0,"-",'2d SMICoP'!M19)</f>
        <v>4.792117924437885E-3</v>
      </c>
      <c r="O21" s="76">
        <f>IF('2d SMICoP'!N19=0,"-",'2d SMICoP'!N19)</f>
        <v>4.7547499952452499E-3</v>
      </c>
      <c r="P21" s="76">
        <f>IF('2d SMICoP'!O19=0,"-",'2d SMICoP'!O19)</f>
        <v>4.7547499952452499E-3</v>
      </c>
      <c r="Q21" s="76">
        <f>IF('2d SMICoP'!P19=0,"-",'2d SMICoP'!P19)</f>
        <v>4.7341311922435994E-3</v>
      </c>
      <c r="R21" s="76">
        <f>IF('2d SMICoP'!Q19=0,"-",'2d SMICoP'!Q19)</f>
        <v>4.7341311922435994E-3</v>
      </c>
      <c r="S21" s="76">
        <f>IF('2d SMICoP'!R19=0,"-",'2d SMICoP'!R19)</f>
        <v>4.7082752646050701E-3</v>
      </c>
      <c r="T21" s="76">
        <f>IF('2d SMICoP'!S19=0,"-",'2d SMICoP'!S19)</f>
        <v>4.7082752646050701E-3</v>
      </c>
      <c r="U21" s="76">
        <f>IF('2d SMICoP'!T19=0,"-",'2d SMICoP'!T19)</f>
        <v>4.6715874054003553E-3</v>
      </c>
      <c r="V21" s="76">
        <f>IF('2d SMICoP'!U19=0,"-",'2d SMICoP'!U19)</f>
        <v>4.6715874054003553E-3</v>
      </c>
      <c r="W21" s="76">
        <f>IF('2d SMICoP'!V19=0,"-",'2d SMICoP'!V19)</f>
        <v>4.6715874054003553E-3</v>
      </c>
      <c r="X21" s="76">
        <f>IF('2d SMICoP'!W19=0,"-",'2d SMICoP'!W19)</f>
        <v>4.6656588843476477E-3</v>
      </c>
      <c r="Y21" s="76">
        <f>IF('2d SMICoP'!X19=0,"-",'2d SMICoP'!X19)</f>
        <v>4.6656588843476477E-3</v>
      </c>
      <c r="Z21" s="76">
        <f>IF('2d SMICoP'!Y19=0,"-",'2d SMICoP'!Y19)</f>
        <v>4.6656588843476477E-3</v>
      </c>
      <c r="AA21" s="76">
        <f>IF('2d SMICoP'!Z19=0,"-",'2d SMICoP'!Z19)</f>
        <v>4.6656588843476477E-3</v>
      </c>
      <c r="AB21" s="76">
        <f>IF('2d SMICoP'!AA19=0,"-",'2d SMICoP'!AA19)</f>
        <v>4.6428704082011668E-3</v>
      </c>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row>
    <row r="22" spans="1:52" s="25" customFormat="1" ht="12.4">
      <c r="A22" s="58"/>
      <c r="B22" s="254"/>
      <c r="C22" s="256"/>
      <c r="D22" s="52" t="s">
        <v>219</v>
      </c>
      <c r="E22" s="52" t="s">
        <v>216</v>
      </c>
      <c r="F22" s="258"/>
      <c r="G22" s="76">
        <f>IF(SUM(G19:G21)=0,"-",SUM(G19:G21))</f>
        <v>5.5074132982916684</v>
      </c>
      <c r="H22" s="76">
        <f>IF(SUM(H19:H21)=0,"-",SUM(H19:H21))</f>
        <v>5.4290711612189249</v>
      </c>
      <c r="I22" s="76">
        <f>IF(SUM(I19:I21)=0,"-",SUM(I19:I21))</f>
        <v>7.5579965901146409</v>
      </c>
      <c r="J22" s="76">
        <f>IF(SUM(J19:J21)=0,"-",SUM(J19:J21))</f>
        <v>7.67216698057105</v>
      </c>
      <c r="K22" s="26"/>
      <c r="L22" s="76">
        <f t="shared" ref="L22:Y22" si="15">IF(SUM(L19:L21)=0,"-",SUM(L19:L21))</f>
        <v>7.67216698057105</v>
      </c>
      <c r="M22" s="76">
        <f t="shared" si="15"/>
        <v>9.7121770542895192</v>
      </c>
      <c r="N22" s="76">
        <f t="shared" si="15"/>
        <v>9.5023653600666744</v>
      </c>
      <c r="O22" s="76">
        <f t="shared" si="15"/>
        <v>11.243820822809798</v>
      </c>
      <c r="P22" s="76">
        <f t="shared" si="15"/>
        <v>10.546841743645116</v>
      </c>
      <c r="Q22" s="76">
        <f t="shared" si="15"/>
        <v>10.314306373000434</v>
      </c>
      <c r="R22" s="76">
        <f t="shared" si="15"/>
        <v>10.64995099888044</v>
      </c>
      <c r="S22" s="76">
        <f t="shared" si="15"/>
        <v>10.603650692445576</v>
      </c>
      <c r="T22" s="76">
        <f t="shared" si="15"/>
        <v>10.749886629435592</v>
      </c>
      <c r="U22" s="76">
        <f t="shared" si="15"/>
        <v>11.648763095869592</v>
      </c>
      <c r="V22" s="76">
        <f t="shared" si="15"/>
        <v>11.325105221309897</v>
      </c>
      <c r="W22" s="76">
        <f t="shared" si="15"/>
        <v>11.325105221309897</v>
      </c>
      <c r="X22" s="76">
        <f t="shared" si="15"/>
        <v>11.864860696699035</v>
      </c>
      <c r="Y22" s="76">
        <f t="shared" si="15"/>
        <v>11.864860696699035</v>
      </c>
      <c r="Z22" s="76">
        <f t="shared" ref="Z22:AA22" si="16">IF(SUM(Z19:Z21)=0,"-",SUM(Z19:Z21))</f>
        <v>11.643428098633409</v>
      </c>
      <c r="AA22" s="76">
        <f t="shared" si="16"/>
        <v>11.643428098633409</v>
      </c>
      <c r="AB22" s="76">
        <f t="shared" ref="AB22" si="17">IF(SUM(AB19:AB21)=0,"-",SUM(AB19:AB21))</f>
        <v>12.015820227739113</v>
      </c>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row>
    <row r="23" spans="1:52" s="25" customFormat="1" ht="12.4">
      <c r="A23" s="58"/>
      <c r="B23" s="254"/>
      <c r="C23" s="256"/>
      <c r="D23" s="187" t="s">
        <v>220</v>
      </c>
      <c r="E23" s="187" t="s">
        <v>221</v>
      </c>
      <c r="F23" s="258"/>
      <c r="G23" s="76">
        <f>G17</f>
        <v>1</v>
      </c>
      <c r="H23" s="76">
        <f>H17</f>
        <v>1.0127201565557731</v>
      </c>
      <c r="I23" s="76">
        <f>I17</f>
        <v>1.0273972602739725</v>
      </c>
      <c r="J23" s="76">
        <f>J17</f>
        <v>1.0362035225048924</v>
      </c>
      <c r="K23" s="26"/>
      <c r="L23" s="76">
        <f t="shared" ref="L23:Y23" si="18">L17</f>
        <v>1.0362035225048924</v>
      </c>
      <c r="M23" s="76">
        <f t="shared" si="18"/>
        <v>1.047945205479452</v>
      </c>
      <c r="N23" s="76">
        <f t="shared" si="18"/>
        <v>1.0557729941291585</v>
      </c>
      <c r="O23" s="76">
        <f t="shared" si="18"/>
        <v>1.0616438356164384</v>
      </c>
      <c r="P23" s="76">
        <f t="shared" si="18"/>
        <v>1.0645792563600782</v>
      </c>
      <c r="Q23" s="76">
        <f t="shared" si="18"/>
        <v>1.0704500978473581</v>
      </c>
      <c r="R23" s="76">
        <f t="shared" si="18"/>
        <v>1.0900195694716244</v>
      </c>
      <c r="S23" s="76">
        <f t="shared" si="18"/>
        <v>1.1223091976516635</v>
      </c>
      <c r="T23" s="76">
        <f t="shared" si="18"/>
        <v>1.1790606653620352</v>
      </c>
      <c r="U23" s="76">
        <f t="shared" si="18"/>
        <v>1.226027397260274</v>
      </c>
      <c r="V23" s="76">
        <f t="shared" si="18"/>
        <v>1.2661448140900196</v>
      </c>
      <c r="W23" s="76">
        <f t="shared" si="18"/>
        <v>1.2661448140900196</v>
      </c>
      <c r="X23" s="76">
        <f t="shared" si="18"/>
        <v>1.2769080234833659</v>
      </c>
      <c r="Y23" s="76">
        <f t="shared" si="18"/>
        <v>1.2769080234833659</v>
      </c>
      <c r="Z23" s="76">
        <f t="shared" ref="Z23:AA23" si="19">Z17</f>
        <v>1.3013698630136985</v>
      </c>
      <c r="AA23" s="76">
        <f t="shared" si="19"/>
        <v>1.3013698630136985</v>
      </c>
      <c r="AB23" s="76">
        <f t="shared" ref="AB23" si="20">AB17</f>
        <v>1.321917808219178</v>
      </c>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row>
    <row r="24" spans="1:52" s="25" customFormat="1" ht="12.4">
      <c r="A24" s="58"/>
      <c r="B24" s="228"/>
      <c r="C24" s="257"/>
      <c r="D24" s="187" t="s">
        <v>222</v>
      </c>
      <c r="E24" s="187" t="s">
        <v>216</v>
      </c>
      <c r="F24" s="234"/>
      <c r="G24" s="76">
        <f>IF(G22="-","-",G22-($G$22*G23))</f>
        <v>0</v>
      </c>
      <c r="H24" s="76">
        <f t="shared" ref="H24:J24" si="21">IF(H22="-","-",H22-($G$22*H23))</f>
        <v>-0.14839729644435984</v>
      </c>
      <c r="I24" s="76">
        <f t="shared" si="21"/>
        <v>1.899695256253338</v>
      </c>
      <c r="J24" s="76">
        <f t="shared" si="21"/>
        <v>1.9653659209909353</v>
      </c>
      <c r="K24" s="26"/>
      <c r="L24" s="76">
        <f>IF(L22="-","-",L22-($G$22*L23))</f>
        <v>1.9653659209909353</v>
      </c>
      <c r="M24" s="76">
        <f t="shared" ref="M24" si="22">IF(M22="-","-",M22-($G$22*M23))</f>
        <v>3.94070969375099</v>
      </c>
      <c r="N24" s="76">
        <f t="shared" ref="N24" si="23">IF(N22="-","-",N22-($G$22*N23))</f>
        <v>3.6877871322225353</v>
      </c>
      <c r="O24" s="76">
        <f>IF(O22="-","-",O22-($G$22*O23))</f>
        <v>5.396909444486452</v>
      </c>
      <c r="P24" s="76">
        <f t="shared" ref="P24" si="24">IF(P22="-","-",P22-($G$22*P23))</f>
        <v>4.6837637900821658</v>
      </c>
      <c r="Q24" s="76">
        <f t="shared" ref="Q24" si="25">IF(Q22="-","-",Q22-($G$22*Q23))</f>
        <v>4.418895268958277</v>
      </c>
      <c r="R24" s="76">
        <f t="shared" ref="R24" si="26">IF(R22="-","-",R22-($G$22*R23))</f>
        <v>4.6467627265742566</v>
      </c>
      <c r="S24" s="76">
        <f t="shared" ref="S24" si="27">IF(S22="-","-",S22-($G$22*S23))</f>
        <v>4.4226300925037529</v>
      </c>
      <c r="T24" s="76">
        <f>IF(T22="-","-",T22-($G$22*T23))</f>
        <v>4.2563122415280965</v>
      </c>
      <c r="U24" s="76">
        <f t="shared" ref="U24" si="28">IF(U22="-","-",U22-($G$22*U23))</f>
        <v>4.896523504128437</v>
      </c>
      <c r="V24" s="76">
        <f t="shared" ref="V24:Y24" si="29">IF(V22="-","-",V22-($G$22*V23))</f>
        <v>4.3519224346274914</v>
      </c>
      <c r="W24" s="76">
        <f t="shared" si="29"/>
        <v>4.3519224346274914</v>
      </c>
      <c r="X24" s="76">
        <f t="shared" si="29"/>
        <v>4.8324004674714152</v>
      </c>
      <c r="Y24" s="76">
        <f t="shared" si="29"/>
        <v>4.8324004674714152</v>
      </c>
      <c r="Z24" s="76">
        <f t="shared" ref="Z24:AA24" si="30">IF(Z22="-","-",Z22-($G$22*Z23))</f>
        <v>4.4762464090757588</v>
      </c>
      <c r="AA24" s="76">
        <f t="shared" si="30"/>
        <v>4.4762464090757588</v>
      </c>
      <c r="AB24" s="76">
        <f t="shared" ref="AB24" si="31">IF(AB22="-","-",AB22-($G$22*AB23))</f>
        <v>4.735472511504236</v>
      </c>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row>
    <row r="25" spans="1:52" s="25" customFormat="1" ht="12.4">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row>
    <row r="26" spans="1:52" s="25" customFormat="1" ht="12.4">
      <c r="A26" s="58"/>
      <c r="B26" s="40" t="s">
        <v>224</v>
      </c>
      <c r="C26" s="40"/>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row>
    <row r="27" spans="1:52" s="25" customFormat="1" ht="12.4">
      <c r="A27" s="58"/>
      <c r="B27" s="40"/>
      <c r="C27" s="40"/>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row>
    <row r="28" spans="1:52" s="25" customFormat="1" ht="25.5" customHeight="1">
      <c r="A28" s="58"/>
      <c r="B28" s="77" t="s">
        <v>102</v>
      </c>
      <c r="C28" s="46" t="s">
        <v>103</v>
      </c>
      <c r="D28" s="77" t="s">
        <v>49</v>
      </c>
      <c r="E28" s="77" t="s">
        <v>104</v>
      </c>
      <c r="F28" s="77" t="s">
        <v>109</v>
      </c>
      <c r="G28" s="217"/>
      <c r="H28" s="218"/>
      <c r="I28" s="219"/>
      <c r="J28" s="75" t="s">
        <v>113</v>
      </c>
      <c r="K28" s="26"/>
      <c r="L28" s="75" t="s">
        <v>114</v>
      </c>
      <c r="M28" s="75" t="s">
        <v>115</v>
      </c>
      <c r="N28" s="75" t="s">
        <v>116</v>
      </c>
      <c r="O28" s="75" t="s">
        <v>117</v>
      </c>
      <c r="P28" s="75" t="s">
        <v>118</v>
      </c>
      <c r="Q28" s="75" t="s">
        <v>119</v>
      </c>
      <c r="R28" s="75" t="s">
        <v>120</v>
      </c>
      <c r="S28" s="75" t="s">
        <v>121</v>
      </c>
      <c r="T28" s="75" t="s">
        <v>122</v>
      </c>
      <c r="U28" s="75" t="s">
        <v>123</v>
      </c>
      <c r="V28" s="75" t="s">
        <v>124</v>
      </c>
      <c r="W28" s="75" t="s">
        <v>125</v>
      </c>
      <c r="X28" s="75" t="s">
        <v>126</v>
      </c>
      <c r="Y28" s="75" t="s">
        <v>127</v>
      </c>
      <c r="Z28" s="75" t="s">
        <v>128</v>
      </c>
      <c r="AA28" s="75" t="s">
        <v>225</v>
      </c>
      <c r="AB28" s="75" t="s">
        <v>130</v>
      </c>
      <c r="AC28" s="75" t="s">
        <v>131</v>
      </c>
      <c r="AD28" s="75" t="s">
        <v>132</v>
      </c>
      <c r="AE28" s="75" t="s">
        <v>133</v>
      </c>
      <c r="AF28" s="75" t="s">
        <v>134</v>
      </c>
      <c r="AG28" s="75" t="s">
        <v>135</v>
      </c>
      <c r="AH28" s="75" t="s">
        <v>136</v>
      </c>
      <c r="AI28" s="75" t="s">
        <v>137</v>
      </c>
      <c r="AJ28" s="75" t="s">
        <v>138</v>
      </c>
      <c r="AK28" s="75" t="s">
        <v>139</v>
      </c>
      <c r="AL28" s="75" t="s">
        <v>140</v>
      </c>
      <c r="AM28" s="75" t="s">
        <v>141</v>
      </c>
      <c r="AN28" s="75" t="s">
        <v>142</v>
      </c>
      <c r="AO28" s="75" t="s">
        <v>143</v>
      </c>
      <c r="AP28" s="75" t="s">
        <v>144</v>
      </c>
      <c r="AQ28" s="75" t="s">
        <v>145</v>
      </c>
      <c r="AR28" s="75" t="s">
        <v>146</v>
      </c>
      <c r="AS28" s="75" t="s">
        <v>147</v>
      </c>
      <c r="AT28" s="75" t="s">
        <v>148</v>
      </c>
      <c r="AU28" s="75" t="s">
        <v>149</v>
      </c>
      <c r="AV28" s="75" t="s">
        <v>150</v>
      </c>
      <c r="AW28" s="75" t="s">
        <v>151</v>
      </c>
      <c r="AX28" s="75" t="s">
        <v>152</v>
      </c>
      <c r="AY28" s="58"/>
      <c r="AZ28" s="58"/>
    </row>
    <row r="29" spans="1:52" s="25" customFormat="1" ht="12.4">
      <c r="A29" s="58"/>
      <c r="B29" s="52" t="s">
        <v>213</v>
      </c>
      <c r="C29" s="229" t="s">
        <v>226</v>
      </c>
      <c r="D29" s="227" t="s">
        <v>227</v>
      </c>
      <c r="E29" s="227" t="s">
        <v>216</v>
      </c>
      <c r="F29" s="233"/>
      <c r="G29" s="220"/>
      <c r="H29" s="221"/>
      <c r="I29" s="222"/>
      <c r="J29" s="78">
        <f>IF('2a Non pass-through costs'!G8="","-",'2a Non pass-through costs'!G8)</f>
        <v>9.02</v>
      </c>
      <c r="K29" s="26"/>
      <c r="L29" s="78">
        <f>IF('2a Non pass-through costs'!I8="","-",'2a Non pass-through costs'!I8)</f>
        <v>9.02</v>
      </c>
      <c r="M29" s="78">
        <f>IF('2a Non pass-through costs'!J8="","-",'2a Non pass-through costs'!J8)</f>
        <v>9.02</v>
      </c>
      <c r="N29" s="78">
        <f>IF('2a Non pass-through costs'!K8="","-",'2a Non pass-through costs'!K8)</f>
        <v>9.26</v>
      </c>
      <c r="O29" s="78">
        <f>IF('2a Non pass-through costs'!L8="","-",'2a Non pass-through costs'!L8)</f>
        <v>9.4986124349857892</v>
      </c>
      <c r="P29" s="78">
        <f>IF('2a Non pass-through costs'!M8="","-",'2a Non pass-through costs'!M8)</f>
        <v>10.64014630951915</v>
      </c>
      <c r="Q29" s="78">
        <f>IF('2a Non pass-through costs'!N8="","-",'2a Non pass-through costs'!N8)</f>
        <v>10.64014630951915</v>
      </c>
      <c r="R29" s="78">
        <f>IF('2a Non pass-through costs'!O8="","-",'2a Non pass-through costs'!O8)</f>
        <v>10.26</v>
      </c>
      <c r="S29" s="78">
        <f>IF('2a Non pass-through costs'!P8="","-",'2a Non pass-through costs'!P8)</f>
        <v>9.06</v>
      </c>
      <c r="T29" s="78">
        <f>IF('2a Non pass-through costs'!Q8="","-",'2a Non pass-through costs'!Q8)</f>
        <v>10.17</v>
      </c>
      <c r="U29" s="78">
        <f>IF('2a Non pass-through costs'!R8="","-",'2a Non pass-through costs'!R8)</f>
        <v>10.55</v>
      </c>
      <c r="V29" s="78">
        <f>IF('2a Non pass-through costs'!S8="","-",'2a Non pass-through costs'!S8)</f>
        <v>9.48</v>
      </c>
      <c r="W29" s="78">
        <f>IF('2a Non pass-through costs'!T8="","-",'2a Non pass-through costs'!T8)</f>
        <v>9.48</v>
      </c>
      <c r="X29" s="78">
        <f>IF('2a Non pass-through costs'!U8="","-",'2a Non pass-through costs'!U8)</f>
        <v>9.3000000000000007</v>
      </c>
      <c r="Y29" s="78">
        <f>IF('2a Non pass-through costs'!V8="","-",'2a Non pass-through costs'!V8)</f>
        <v>9.3000000000000007</v>
      </c>
      <c r="Z29" s="78">
        <f>IF('2a Non pass-through costs'!W8="","-",'2a Non pass-through costs'!W8)</f>
        <v>12.91</v>
      </c>
      <c r="AA29" s="78">
        <f>IF('2a Non pass-through costs'!X8="","-",'2a Non pass-through costs'!X8)</f>
        <v>12.91</v>
      </c>
      <c r="AB29" s="78">
        <f>IF('2a Non pass-through costs'!Y8="","-",'2a Non pass-through costs'!Y8)</f>
        <v>13.04</v>
      </c>
      <c r="AC29" s="78">
        <f>IF('2a Non pass-through costs'!Z8="","-",'2a Non pass-through costs'!Z8)</f>
        <v>1.6670018591082374</v>
      </c>
      <c r="AD29" s="78">
        <f>IF('2a Non pass-through costs'!AA8="","-",'2a Non pass-through costs'!AA8)</f>
        <v>-2.0699999999999998</v>
      </c>
      <c r="AE29" s="78">
        <f>IF('2a Non pass-through costs'!AB8="","-",'2a Non pass-through costs'!AB8)</f>
        <v>-2.0699999999999998</v>
      </c>
      <c r="AF29" s="78">
        <f>IF('2a Non pass-through costs'!AC8="","-",'2a Non pass-through costs'!AC8)</f>
        <v>-3.0616745019999998</v>
      </c>
      <c r="AG29" s="78" t="str">
        <f>IF('2a Non pass-through costs'!AD8="","-",'2a Non pass-through costs'!AD8)</f>
        <v>-</v>
      </c>
      <c r="AH29" s="78" t="str">
        <f>IF('2a Non pass-through costs'!AE8="","-",'2a Non pass-through costs'!AE8)</f>
        <v>-</v>
      </c>
      <c r="AI29" s="78" t="str">
        <f>IF('2a Non pass-through costs'!AF8="","-",'2a Non pass-through costs'!AF8)</f>
        <v>-</v>
      </c>
      <c r="AJ29" s="78" t="str">
        <f>IF('2a Non pass-through costs'!AG8="","-",'2a Non pass-through costs'!AG8)</f>
        <v>-</v>
      </c>
      <c r="AK29" s="78" t="str">
        <f>IF('2a Non pass-through costs'!AH8="","-",'2a Non pass-through costs'!AH8)</f>
        <v>-</v>
      </c>
      <c r="AL29" s="78" t="str">
        <f>IF('2a Non pass-through costs'!AI8="","-",'2a Non pass-through costs'!AI8)</f>
        <v>-</v>
      </c>
      <c r="AM29" s="78" t="str">
        <f>IF('2a Non pass-through costs'!AJ8="","-",'2a Non pass-through costs'!AJ8)</f>
        <v>-</v>
      </c>
      <c r="AN29" s="78" t="str">
        <f>IF('2a Non pass-through costs'!AK8="","-",'2a Non pass-through costs'!AK8)</f>
        <v>-</v>
      </c>
      <c r="AO29" s="78" t="str">
        <f>IF('2a Non pass-through costs'!AL8="","-",'2a Non pass-through costs'!AL8)</f>
        <v>-</v>
      </c>
      <c r="AP29" s="78" t="str">
        <f>IF('2a Non pass-through costs'!AM8="","-",'2a Non pass-through costs'!AM8)</f>
        <v>-</v>
      </c>
      <c r="AQ29" s="78" t="str">
        <f>IF('2a Non pass-through costs'!AN8="","-",'2a Non pass-through costs'!AN8)</f>
        <v>-</v>
      </c>
      <c r="AR29" s="78" t="str">
        <f>IF('2a Non pass-through costs'!AO8="","-",'2a Non pass-through costs'!AO8)</f>
        <v>-</v>
      </c>
      <c r="AS29" s="78" t="str">
        <f>IF('2a Non pass-through costs'!AP8="","-",'2a Non pass-through costs'!AP8)</f>
        <v>-</v>
      </c>
      <c r="AT29" s="78" t="str">
        <f>IF('2a Non pass-through costs'!AQ8="","-",'2a Non pass-through costs'!AQ8)</f>
        <v>-</v>
      </c>
      <c r="AU29" s="78" t="str">
        <f>IF('2a Non pass-through costs'!AR8="","-",'2a Non pass-through costs'!AR8)</f>
        <v>-</v>
      </c>
      <c r="AV29" s="78" t="str">
        <f>IF('2a Non pass-through costs'!AS8="","-",'2a Non pass-through costs'!AS8)</f>
        <v>-</v>
      </c>
      <c r="AW29" s="78" t="str">
        <f>IF('2a Non pass-through costs'!AT8="","-",'2a Non pass-through costs'!AT8)</f>
        <v>-</v>
      </c>
      <c r="AX29" s="78" t="str">
        <f>IF('2a Non pass-through costs'!AU8="","-",'2a Non pass-through costs'!AU8)</f>
        <v>-</v>
      </c>
      <c r="AY29" s="58"/>
      <c r="AZ29" s="58"/>
    </row>
    <row r="30" spans="1:52" s="25" customFormat="1" ht="12.4">
      <c r="A30" s="58"/>
      <c r="B30" s="52" t="s">
        <v>223</v>
      </c>
      <c r="C30" s="230"/>
      <c r="D30" s="228"/>
      <c r="E30" s="228"/>
      <c r="F30" s="234"/>
      <c r="G30" s="223"/>
      <c r="H30" s="224"/>
      <c r="I30" s="225"/>
      <c r="J30" s="78">
        <f>IF('2a Non pass-through costs'!G9="","-",'2a Non pass-through costs'!G9)</f>
        <v>10.7</v>
      </c>
      <c r="K30" s="26"/>
      <c r="L30" s="78">
        <f>IF('2a Non pass-through costs'!I9="","-",'2a Non pass-through costs'!I9)</f>
        <v>10.7</v>
      </c>
      <c r="M30" s="78">
        <f>IF('2a Non pass-through costs'!J9="","-",'2a Non pass-through costs'!J9)</f>
        <v>10.7</v>
      </c>
      <c r="N30" s="78">
        <f>IF('2a Non pass-through costs'!K9="","-",'2a Non pass-through costs'!K9)</f>
        <v>11.24</v>
      </c>
      <c r="O30" s="78">
        <f>IF('2a Non pass-through costs'!L9="","-",'2a Non pass-through costs'!L9)</f>
        <v>11.773847615869055</v>
      </c>
      <c r="P30" s="78">
        <f>IF('2a Non pass-through costs'!M9="","-",'2a Non pass-through costs'!M9)</f>
        <v>6.4812260764723026</v>
      </c>
      <c r="Q30" s="78">
        <f>IF('2a Non pass-through costs'!N9="","-",'2a Non pass-through costs'!N9)</f>
        <v>6.4812260764723026</v>
      </c>
      <c r="R30" s="78">
        <f>IF('2a Non pass-through costs'!O9="","-",'2a Non pass-through costs'!O9)</f>
        <v>3.33</v>
      </c>
      <c r="S30" s="78">
        <f>IF('2a Non pass-through costs'!P9="","-",'2a Non pass-through costs'!P9)</f>
        <v>-1.04</v>
      </c>
      <c r="T30" s="78">
        <f>IF('2a Non pass-through costs'!Q9="","-",'2a Non pass-through costs'!Q9)</f>
        <v>-0.8</v>
      </c>
      <c r="U30" s="78">
        <f>IF('2a Non pass-through costs'!R9="","-",'2a Non pass-through costs'!R9)</f>
        <v>-0.88</v>
      </c>
      <c r="V30" s="78">
        <f>IF('2a Non pass-through costs'!S9="","-",'2a Non pass-through costs'!S9)</f>
        <v>-2.69</v>
      </c>
      <c r="W30" s="78">
        <f>IF('2a Non pass-through costs'!T9="","-",'2a Non pass-through costs'!T9)</f>
        <v>-2.69</v>
      </c>
      <c r="X30" s="78">
        <f>IF('2a Non pass-through costs'!U9="","-",'2a Non pass-through costs'!U9)</f>
        <v>-3.81</v>
      </c>
      <c r="Y30" s="78">
        <f>IF('2a Non pass-through costs'!V9="","-",'2a Non pass-through costs'!V9)</f>
        <v>-3.81</v>
      </c>
      <c r="Z30" s="78">
        <f>IF('2a Non pass-through costs'!W9="","-",'2a Non pass-through costs'!W9)</f>
        <v>-1.32</v>
      </c>
      <c r="AA30" s="78">
        <f>IF('2a Non pass-through costs'!X9="","-",'2a Non pass-through costs'!X9)</f>
        <v>-1.32</v>
      </c>
      <c r="AB30" s="78">
        <f>IF('2a Non pass-through costs'!Y9="","-",'2a Non pass-through costs'!Y9)</f>
        <v>-1.85</v>
      </c>
      <c r="AC30" s="78">
        <f>IF('2a Non pass-through costs'!Z9="","-",'2a Non pass-through costs'!Z9)</f>
        <v>-5.4445461929239141</v>
      </c>
      <c r="AD30" s="78">
        <f>IF('2a Non pass-through costs'!AA9="","-",'2a Non pass-through costs'!AA9)</f>
        <v>-3.66</v>
      </c>
      <c r="AE30" s="78">
        <f>IF('2a Non pass-through costs'!AB9="","-",'2a Non pass-through costs'!AB9)</f>
        <v>-3.66</v>
      </c>
      <c r="AF30" s="78">
        <f>IF('2a Non pass-through costs'!AC9="","-",'2a Non pass-through costs'!AC9)</f>
        <v>-5.9302043610000004</v>
      </c>
      <c r="AG30" s="78" t="str">
        <f>IF('2a Non pass-through costs'!AD9="","-",'2a Non pass-through costs'!AD9)</f>
        <v>-</v>
      </c>
      <c r="AH30" s="78" t="str">
        <f>IF('2a Non pass-through costs'!AE9="","-",'2a Non pass-through costs'!AE9)</f>
        <v>-</v>
      </c>
      <c r="AI30" s="78" t="str">
        <f>IF('2a Non pass-through costs'!AF9="","-",'2a Non pass-through costs'!AF9)</f>
        <v>-</v>
      </c>
      <c r="AJ30" s="78" t="str">
        <f>IF('2a Non pass-through costs'!AG9="","-",'2a Non pass-through costs'!AG9)</f>
        <v>-</v>
      </c>
      <c r="AK30" s="78" t="str">
        <f>IF('2a Non pass-through costs'!AH9="","-",'2a Non pass-through costs'!AH9)</f>
        <v>-</v>
      </c>
      <c r="AL30" s="78" t="str">
        <f>IF('2a Non pass-through costs'!AI9="","-",'2a Non pass-through costs'!AI9)</f>
        <v>-</v>
      </c>
      <c r="AM30" s="78" t="str">
        <f>IF('2a Non pass-through costs'!AJ9="","-",'2a Non pass-through costs'!AJ9)</f>
        <v>-</v>
      </c>
      <c r="AN30" s="78" t="str">
        <f>IF('2a Non pass-through costs'!AK9="","-",'2a Non pass-through costs'!AK9)</f>
        <v>-</v>
      </c>
      <c r="AO30" s="78" t="str">
        <f>IF('2a Non pass-through costs'!AL9="","-",'2a Non pass-through costs'!AL9)</f>
        <v>-</v>
      </c>
      <c r="AP30" s="78" t="str">
        <f>IF('2a Non pass-through costs'!AM9="","-",'2a Non pass-through costs'!AM9)</f>
        <v>-</v>
      </c>
      <c r="AQ30" s="78" t="str">
        <f>IF('2a Non pass-through costs'!AN9="","-",'2a Non pass-through costs'!AN9)</f>
        <v>-</v>
      </c>
      <c r="AR30" s="78" t="str">
        <f>IF('2a Non pass-through costs'!AO9="","-",'2a Non pass-through costs'!AO9)</f>
        <v>-</v>
      </c>
      <c r="AS30" s="78" t="str">
        <f>IF('2a Non pass-through costs'!AP9="","-",'2a Non pass-through costs'!AP9)</f>
        <v>-</v>
      </c>
      <c r="AT30" s="78" t="str">
        <f>IF('2a Non pass-through costs'!AQ9="","-",'2a Non pass-through costs'!AQ9)</f>
        <v>-</v>
      </c>
      <c r="AU30" s="78" t="str">
        <f>IF('2a Non pass-through costs'!AR9="","-",'2a Non pass-through costs'!AR9)</f>
        <v>-</v>
      </c>
      <c r="AV30" s="78" t="str">
        <f>IF('2a Non pass-through costs'!AS9="","-",'2a Non pass-through costs'!AS9)</f>
        <v>-</v>
      </c>
      <c r="AW30" s="78" t="str">
        <f>IF('2a Non pass-through costs'!AT9="","-",'2a Non pass-through costs'!AT9)</f>
        <v>-</v>
      </c>
      <c r="AX30" s="78" t="str">
        <f>IF('2a Non pass-through costs'!AU9="","-",'2a Non pass-through costs'!AU9)</f>
        <v>-</v>
      </c>
      <c r="AY30" s="58"/>
      <c r="AZ30" s="58"/>
    </row>
    <row r="31" spans="1:52" s="25" customFormat="1" ht="12.4">
      <c r="A31" s="58"/>
      <c r="B31" s="52" t="s">
        <v>213</v>
      </c>
      <c r="C31" s="229" t="s">
        <v>228</v>
      </c>
      <c r="D31" s="227" t="s">
        <v>227</v>
      </c>
      <c r="E31" s="227" t="s">
        <v>216</v>
      </c>
      <c r="F31" s="233"/>
      <c r="G31" s="220"/>
      <c r="H31" s="221"/>
      <c r="I31" s="222"/>
      <c r="J31" s="78" t="str">
        <f>IF('2a Non pass-through costs'!G10="","-",'2a Non pass-through costs'!G10)</f>
        <v>-</v>
      </c>
      <c r="K31" s="26"/>
      <c r="L31" s="78" t="str">
        <f>IF('2a Non pass-through costs'!I10="","-",'2a Non pass-through costs'!I10)</f>
        <v>-</v>
      </c>
      <c r="M31" s="78" t="str">
        <f>IF('2a Non pass-through costs'!J10="","-",'2a Non pass-through costs'!J10)</f>
        <v>-</v>
      </c>
      <c r="N31" s="78" t="str">
        <f>IF('2a Non pass-through costs'!K10="","-",'2a Non pass-through costs'!K10)</f>
        <v>-</v>
      </c>
      <c r="O31" s="78" t="str">
        <f>IF('2a Non pass-through costs'!L10="","-",'2a Non pass-through costs'!L10)</f>
        <v>-</v>
      </c>
      <c r="P31" s="78">
        <f>IF('2a Non pass-through costs'!M10="","-",'2a Non pass-through costs'!M10)</f>
        <v>0</v>
      </c>
      <c r="Q31" s="78">
        <f>IF('2a Non pass-through costs'!N10="","-",'2a Non pass-through costs'!N10)</f>
        <v>0</v>
      </c>
      <c r="R31" s="78">
        <f>IF('2a Non pass-through costs'!O10="","-",'2a Non pass-through costs'!O10)</f>
        <v>-2.6105662978165212</v>
      </c>
      <c r="S31" s="78">
        <f>IF('2a Non pass-through costs'!P10="","-",'2a Non pass-through costs'!P10)</f>
        <v>-1.26</v>
      </c>
      <c r="T31" s="78">
        <f>IF('2a Non pass-through costs'!Q10="","-",'2a Non pass-through costs'!Q10)</f>
        <v>-5.26</v>
      </c>
      <c r="U31" s="78">
        <f>IF('2a Non pass-through costs'!R10="","-",'2a Non pass-through costs'!R10)</f>
        <v>-6.25</v>
      </c>
      <c r="V31" s="78">
        <f>IF('2a Non pass-through costs'!S10="","-",'2a Non pass-through costs'!S10)</f>
        <v>-6.02</v>
      </c>
      <c r="W31" s="78">
        <f>IF('2a Non pass-through costs'!T10="","-",'2a Non pass-through costs'!T10)</f>
        <v>-6.02</v>
      </c>
      <c r="X31" s="78">
        <f>IF('2a Non pass-through costs'!U10="","-",'2a Non pass-through costs'!U10)</f>
        <v>-7.89</v>
      </c>
      <c r="Y31" s="78">
        <f>IF('2a Non pass-through costs'!V10="","-",'2a Non pass-through costs'!V10)</f>
        <v>-7.89</v>
      </c>
      <c r="Z31" s="78">
        <f>IF('2a Non pass-through costs'!W10="","-",'2a Non pass-through costs'!W10)</f>
        <v>-10.84</v>
      </c>
      <c r="AA31" s="78">
        <f>IF('2a Non pass-through costs'!X10="","-",'2a Non pass-through costs'!X10)</f>
        <v>-10.84</v>
      </c>
      <c r="AB31" s="78">
        <f>IF('2a Non pass-through costs'!Y10="","-",'2a Non pass-through costs'!Y10)</f>
        <v>-11.84</v>
      </c>
      <c r="AC31" s="78">
        <f>IF('2a Non pass-through costs'!Z10="","-",'2a Non pass-through costs'!Z10)</f>
        <v>0.10390263632931146</v>
      </c>
      <c r="AD31" s="78">
        <f>IF('2a Non pass-through costs'!AA10="","-",'2a Non pass-through costs'!AA10)</f>
        <v>-3.16</v>
      </c>
      <c r="AE31" s="78">
        <f>IF('2a Non pass-through costs'!AB10="","-",'2a Non pass-through costs'!AB10)</f>
        <v>-3.16</v>
      </c>
      <c r="AF31" s="78">
        <f>IF('2a Non pass-through costs'!AC10="","-",'2a Non pass-through costs'!AC10)</f>
        <v>-5.2275331950000004</v>
      </c>
      <c r="AG31" s="78" t="str">
        <f>IF('2a Non pass-through costs'!AD10="","-",'2a Non pass-through costs'!AD10)</f>
        <v>-</v>
      </c>
      <c r="AH31" s="78" t="str">
        <f>IF('2a Non pass-through costs'!AE10="","-",'2a Non pass-through costs'!AE10)</f>
        <v>-</v>
      </c>
      <c r="AI31" s="78" t="str">
        <f>IF('2a Non pass-through costs'!AF10="","-",'2a Non pass-through costs'!AF10)</f>
        <v>-</v>
      </c>
      <c r="AJ31" s="78" t="str">
        <f>IF('2a Non pass-through costs'!AG10="","-",'2a Non pass-through costs'!AG10)</f>
        <v>-</v>
      </c>
      <c r="AK31" s="78" t="str">
        <f>IF('2a Non pass-through costs'!AH10="","-",'2a Non pass-through costs'!AH10)</f>
        <v>-</v>
      </c>
      <c r="AL31" s="78" t="str">
        <f>IF('2a Non pass-through costs'!AI10="","-",'2a Non pass-through costs'!AI10)</f>
        <v>-</v>
      </c>
      <c r="AM31" s="78" t="str">
        <f>IF('2a Non pass-through costs'!AJ10="","-",'2a Non pass-through costs'!AJ10)</f>
        <v>-</v>
      </c>
      <c r="AN31" s="78" t="str">
        <f>IF('2a Non pass-through costs'!AK10="","-",'2a Non pass-through costs'!AK10)</f>
        <v>-</v>
      </c>
      <c r="AO31" s="78" t="str">
        <f>IF('2a Non pass-through costs'!AL10="","-",'2a Non pass-through costs'!AL10)</f>
        <v>-</v>
      </c>
      <c r="AP31" s="78" t="str">
        <f>IF('2a Non pass-through costs'!AM10="","-",'2a Non pass-through costs'!AM10)</f>
        <v>-</v>
      </c>
      <c r="AQ31" s="78" t="str">
        <f>IF('2a Non pass-through costs'!AN10="","-",'2a Non pass-through costs'!AN10)</f>
        <v>-</v>
      </c>
      <c r="AR31" s="78" t="str">
        <f>IF('2a Non pass-through costs'!AO10="","-",'2a Non pass-through costs'!AO10)</f>
        <v>-</v>
      </c>
      <c r="AS31" s="78" t="str">
        <f>IF('2a Non pass-through costs'!AP10="","-",'2a Non pass-through costs'!AP10)</f>
        <v>-</v>
      </c>
      <c r="AT31" s="78" t="str">
        <f>IF('2a Non pass-through costs'!AQ10="","-",'2a Non pass-through costs'!AQ10)</f>
        <v>-</v>
      </c>
      <c r="AU31" s="78" t="str">
        <f>IF('2a Non pass-through costs'!AR10="","-",'2a Non pass-through costs'!AR10)</f>
        <v>-</v>
      </c>
      <c r="AV31" s="78" t="str">
        <f>IF('2a Non pass-through costs'!AS10="","-",'2a Non pass-through costs'!AS10)</f>
        <v>-</v>
      </c>
      <c r="AW31" s="78" t="str">
        <f>IF('2a Non pass-through costs'!AT10="","-",'2a Non pass-through costs'!AT10)</f>
        <v>-</v>
      </c>
      <c r="AX31" s="78" t="str">
        <f>IF('2a Non pass-through costs'!AU10="","-",'2a Non pass-through costs'!AU10)</f>
        <v>-</v>
      </c>
      <c r="AY31" s="58"/>
      <c r="AZ31" s="58"/>
    </row>
    <row r="32" spans="1:52" s="25" customFormat="1" ht="12.4">
      <c r="A32" s="58"/>
      <c r="B32" s="52" t="s">
        <v>223</v>
      </c>
      <c r="C32" s="230"/>
      <c r="D32" s="228"/>
      <c r="E32" s="228"/>
      <c r="F32" s="234"/>
      <c r="G32" s="223"/>
      <c r="H32" s="224"/>
      <c r="I32" s="225"/>
      <c r="J32" s="78" t="str">
        <f>IF('2a Non pass-through costs'!G11="","-",'2a Non pass-through costs'!G11)</f>
        <v>-</v>
      </c>
      <c r="K32" s="26"/>
      <c r="L32" s="78" t="str">
        <f>IF('2a Non pass-through costs'!I11="","-",'2a Non pass-through costs'!I11)</f>
        <v>-</v>
      </c>
      <c r="M32" s="78" t="str">
        <f>IF('2a Non pass-through costs'!J11="","-",'2a Non pass-through costs'!J11)</f>
        <v>-</v>
      </c>
      <c r="N32" s="78" t="str">
        <f>IF('2a Non pass-through costs'!K11="","-",'2a Non pass-through costs'!K11)</f>
        <v>-</v>
      </c>
      <c r="O32" s="78" t="str">
        <f>IF('2a Non pass-through costs'!L11="","-",'2a Non pass-through costs'!L11)</f>
        <v>-</v>
      </c>
      <c r="P32" s="78">
        <f>IF('2a Non pass-through costs'!M11="","-",'2a Non pass-through costs'!M11)</f>
        <v>0</v>
      </c>
      <c r="Q32" s="78">
        <f>IF('2a Non pass-through costs'!N11="","-",'2a Non pass-through costs'!N11)</f>
        <v>0</v>
      </c>
      <c r="R32" s="78">
        <f>IF('2a Non pass-through costs'!O11="","-",'2a Non pass-through costs'!O11)</f>
        <v>-15.859334646899347</v>
      </c>
      <c r="S32" s="78">
        <f>IF('2a Non pass-through costs'!P11="","-",'2a Non pass-through costs'!P11)</f>
        <v>-17.54</v>
      </c>
      <c r="T32" s="78">
        <f>IF('2a Non pass-through costs'!Q11="","-",'2a Non pass-through costs'!Q11)</f>
        <v>-23.43</v>
      </c>
      <c r="U32" s="78">
        <f>IF('2a Non pass-through costs'!R11="","-",'2a Non pass-through costs'!R11)</f>
        <v>-26.33</v>
      </c>
      <c r="V32" s="78">
        <f>IF('2a Non pass-through costs'!S11="","-",'2a Non pass-through costs'!S11)</f>
        <v>-26.79</v>
      </c>
      <c r="W32" s="78">
        <f>IF('2a Non pass-through costs'!T11="","-",'2a Non pass-through costs'!T11)</f>
        <v>-26.79</v>
      </c>
      <c r="X32" s="78">
        <f>IF('2a Non pass-through costs'!U11="","-",'2a Non pass-through costs'!U11)</f>
        <v>-31.42</v>
      </c>
      <c r="Y32" s="78">
        <f>IF('2a Non pass-through costs'!V11="","-",'2a Non pass-through costs'!V11)</f>
        <v>-31.42</v>
      </c>
      <c r="Z32" s="78">
        <f>IF('2a Non pass-through costs'!W11="","-",'2a Non pass-through costs'!W11)</f>
        <v>-45.12</v>
      </c>
      <c r="AA32" s="78">
        <f>IF('2a Non pass-through costs'!X11="","-",'2a Non pass-through costs'!X11)</f>
        <v>-45.12</v>
      </c>
      <c r="AB32" s="78">
        <f>IF('2a Non pass-through costs'!Y11="","-",'2a Non pass-through costs'!Y11)</f>
        <v>-48.73</v>
      </c>
      <c r="AC32" s="78">
        <f>IF('2a Non pass-through costs'!Z11="","-",'2a Non pass-through costs'!Z11)</f>
        <v>-18.433633913574564</v>
      </c>
      <c r="AD32" s="78">
        <f>IF('2a Non pass-through costs'!AA11="","-",'2a Non pass-through costs'!AA11)</f>
        <v>-6.45</v>
      </c>
      <c r="AE32" s="78">
        <f>IF('2a Non pass-through costs'!AB11="","-",'2a Non pass-through costs'!AB11)</f>
        <v>-6.45</v>
      </c>
      <c r="AF32" s="78">
        <f>IF('2a Non pass-through costs'!AC11="","-",'2a Non pass-through costs'!AC11)</f>
        <v>-8.9919152459999996</v>
      </c>
      <c r="AG32" s="78" t="str">
        <f>IF('2a Non pass-through costs'!AD11="","-",'2a Non pass-through costs'!AD11)</f>
        <v>-</v>
      </c>
      <c r="AH32" s="78" t="str">
        <f>IF('2a Non pass-through costs'!AE11="","-",'2a Non pass-through costs'!AE11)</f>
        <v>-</v>
      </c>
      <c r="AI32" s="78" t="str">
        <f>IF('2a Non pass-through costs'!AF11="","-",'2a Non pass-through costs'!AF11)</f>
        <v>-</v>
      </c>
      <c r="AJ32" s="78" t="str">
        <f>IF('2a Non pass-through costs'!AG11="","-",'2a Non pass-through costs'!AG11)</f>
        <v>-</v>
      </c>
      <c r="AK32" s="78" t="str">
        <f>IF('2a Non pass-through costs'!AH11="","-",'2a Non pass-through costs'!AH11)</f>
        <v>-</v>
      </c>
      <c r="AL32" s="78" t="str">
        <f>IF('2a Non pass-through costs'!AI11="","-",'2a Non pass-through costs'!AI11)</f>
        <v>-</v>
      </c>
      <c r="AM32" s="78" t="str">
        <f>IF('2a Non pass-through costs'!AJ11="","-",'2a Non pass-through costs'!AJ11)</f>
        <v>-</v>
      </c>
      <c r="AN32" s="78" t="str">
        <f>IF('2a Non pass-through costs'!AK11="","-",'2a Non pass-through costs'!AK11)</f>
        <v>-</v>
      </c>
      <c r="AO32" s="78" t="str">
        <f>IF('2a Non pass-through costs'!AL11="","-",'2a Non pass-through costs'!AL11)</f>
        <v>-</v>
      </c>
      <c r="AP32" s="78" t="str">
        <f>IF('2a Non pass-through costs'!AM11="","-",'2a Non pass-through costs'!AM11)</f>
        <v>-</v>
      </c>
      <c r="AQ32" s="78" t="str">
        <f>IF('2a Non pass-through costs'!AN11="","-",'2a Non pass-through costs'!AN11)</f>
        <v>-</v>
      </c>
      <c r="AR32" s="78" t="str">
        <f>IF('2a Non pass-through costs'!AO11="","-",'2a Non pass-through costs'!AO11)</f>
        <v>-</v>
      </c>
      <c r="AS32" s="78" t="str">
        <f>IF('2a Non pass-through costs'!AP11="","-",'2a Non pass-through costs'!AP11)</f>
        <v>-</v>
      </c>
      <c r="AT32" s="78" t="str">
        <f>IF('2a Non pass-through costs'!AQ11="","-",'2a Non pass-through costs'!AQ11)</f>
        <v>-</v>
      </c>
      <c r="AU32" s="78" t="str">
        <f>IF('2a Non pass-through costs'!AR11="","-",'2a Non pass-through costs'!AR11)</f>
        <v>-</v>
      </c>
      <c r="AV32" s="78" t="str">
        <f>IF('2a Non pass-through costs'!AS11="","-",'2a Non pass-through costs'!AS11)</f>
        <v>-</v>
      </c>
      <c r="AW32" s="78" t="str">
        <f>IF('2a Non pass-through costs'!AT11="","-",'2a Non pass-through costs'!AT11)</f>
        <v>-</v>
      </c>
      <c r="AX32" s="78" t="str">
        <f>IF('2a Non pass-through costs'!AU11="","-",'2a Non pass-through costs'!AU11)</f>
        <v>-</v>
      </c>
      <c r="AY32" s="58"/>
      <c r="AZ32" s="58"/>
    </row>
    <row r="33" spans="1:52" s="25" customFormat="1" ht="14.25">
      <c r="A33" s="58"/>
      <c r="B33" s="58"/>
      <c r="C33" s="51"/>
      <c r="D33" s="153"/>
      <c r="E33" s="153"/>
      <c r="F33" s="154"/>
      <c r="G33" s="155"/>
      <c r="H33" s="155"/>
      <c r="I33" s="155"/>
      <c r="J33" s="6"/>
      <c r="K33" s="6"/>
      <c r="L33" s="6"/>
      <c r="M33" s="6"/>
      <c r="N33" s="6"/>
      <c r="O33" s="6"/>
      <c r="P33" s="6"/>
      <c r="Q33" s="58"/>
      <c r="R33" s="6"/>
      <c r="S33" s="156"/>
      <c r="T33" s="156"/>
      <c r="U33" s="15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58"/>
      <c r="AZ33" s="58"/>
    </row>
    <row r="34" spans="1:52" s="25" customFormat="1" ht="14.25">
      <c r="A34" s="58"/>
      <c r="B34" s="40" t="s">
        <v>229</v>
      </c>
      <c r="C34" s="51"/>
      <c r="D34" s="153"/>
      <c r="E34" s="153"/>
      <c r="F34" s="154"/>
      <c r="G34" s="155"/>
      <c r="H34" s="155"/>
      <c r="I34" s="155"/>
      <c r="J34" s="6"/>
      <c r="K34" s="6"/>
      <c r="L34" s="6"/>
      <c r="M34" s="6"/>
      <c r="N34" s="6"/>
      <c r="O34" s="6"/>
      <c r="P34" s="6"/>
      <c r="Q34" s="6"/>
      <c r="R34" s="6"/>
      <c r="S34" s="156"/>
      <c r="T34" s="156"/>
      <c r="U34" s="15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58"/>
      <c r="AZ34" s="58"/>
    </row>
    <row r="35" spans="1:52" s="25" customFormat="1" ht="14.25">
      <c r="A35" s="58"/>
      <c r="B35" s="58"/>
      <c r="C35" s="51"/>
      <c r="D35" s="153"/>
      <c r="E35" s="153"/>
      <c r="F35" s="154"/>
      <c r="G35" s="155"/>
      <c r="H35" s="155"/>
      <c r="I35" s="155"/>
      <c r="J35" s="6"/>
      <c r="K35" s="6"/>
      <c r="L35" s="6"/>
      <c r="M35" s="6"/>
      <c r="N35" s="6"/>
      <c r="O35" s="6"/>
      <c r="P35" s="6"/>
      <c r="Q35" s="6"/>
      <c r="R35" s="6"/>
      <c r="S35" s="6"/>
      <c r="T35" s="15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58"/>
      <c r="AZ35" s="58"/>
    </row>
    <row r="36" spans="1:52" s="25" customFormat="1" ht="34.5" customHeight="1">
      <c r="A36" s="58"/>
      <c r="B36" s="77" t="s">
        <v>102</v>
      </c>
      <c r="C36" s="46" t="s">
        <v>103</v>
      </c>
      <c r="D36" s="77" t="s">
        <v>49</v>
      </c>
      <c r="E36" s="77" t="s">
        <v>104</v>
      </c>
      <c r="F36" s="77" t="s">
        <v>109</v>
      </c>
      <c r="G36" s="217"/>
      <c r="H36" s="218"/>
      <c r="I36" s="219"/>
      <c r="J36" s="75" t="s">
        <v>113</v>
      </c>
      <c r="K36" s="26"/>
      <c r="L36" s="75" t="s">
        <v>114</v>
      </c>
      <c r="M36" s="75" t="s">
        <v>115</v>
      </c>
      <c r="N36" s="75" t="s">
        <v>116</v>
      </c>
      <c r="O36" s="75" t="s">
        <v>117</v>
      </c>
      <c r="P36" s="75" t="s">
        <v>118</v>
      </c>
      <c r="Q36" s="75" t="s">
        <v>119</v>
      </c>
      <c r="R36" s="75" t="s">
        <v>120</v>
      </c>
      <c r="S36" s="75" t="s">
        <v>121</v>
      </c>
      <c r="T36" s="75" t="s">
        <v>122</v>
      </c>
      <c r="U36" s="75" t="s">
        <v>123</v>
      </c>
      <c r="V36" s="75" t="s">
        <v>124</v>
      </c>
      <c r="W36" s="75" t="s">
        <v>125</v>
      </c>
      <c r="X36" s="75" t="s">
        <v>126</v>
      </c>
      <c r="Y36" s="75" t="s">
        <v>127</v>
      </c>
      <c r="Z36" s="75" t="s">
        <v>128</v>
      </c>
      <c r="AA36" s="75" t="s">
        <v>225</v>
      </c>
      <c r="AB36" s="75" t="s">
        <v>130</v>
      </c>
      <c r="AC36" s="75" t="s">
        <v>131</v>
      </c>
      <c r="AD36" s="75" t="s">
        <v>132</v>
      </c>
      <c r="AE36" s="75" t="s">
        <v>133</v>
      </c>
      <c r="AF36" s="75" t="s">
        <v>134</v>
      </c>
      <c r="AG36" s="75" t="s">
        <v>135</v>
      </c>
      <c r="AH36" s="75" t="s">
        <v>136</v>
      </c>
      <c r="AI36" s="75" t="s">
        <v>137</v>
      </c>
      <c r="AJ36" s="75" t="s">
        <v>138</v>
      </c>
      <c r="AK36" s="75" t="s">
        <v>139</v>
      </c>
      <c r="AL36" s="75" t="s">
        <v>140</v>
      </c>
      <c r="AM36" s="75" t="s">
        <v>141</v>
      </c>
      <c r="AN36" s="75" t="s">
        <v>142</v>
      </c>
      <c r="AO36" s="75" t="s">
        <v>143</v>
      </c>
      <c r="AP36" s="75" t="s">
        <v>144</v>
      </c>
      <c r="AQ36" s="75" t="s">
        <v>145</v>
      </c>
      <c r="AR36" s="75" t="s">
        <v>146</v>
      </c>
      <c r="AS36" s="75" t="s">
        <v>147</v>
      </c>
      <c r="AT36" s="75" t="s">
        <v>148</v>
      </c>
      <c r="AU36" s="75" t="s">
        <v>149</v>
      </c>
      <c r="AV36" s="75" t="s">
        <v>150</v>
      </c>
      <c r="AW36" s="75" t="s">
        <v>151</v>
      </c>
      <c r="AX36" s="75" t="s">
        <v>152</v>
      </c>
      <c r="AY36" s="58"/>
      <c r="AZ36" s="58"/>
    </row>
    <row r="37" spans="1:52" s="25" customFormat="1" ht="12.4">
      <c r="A37" s="58"/>
      <c r="B37" s="52" t="s">
        <v>213</v>
      </c>
      <c r="C37" s="229" t="s">
        <v>228</v>
      </c>
      <c r="D37" s="227" t="s">
        <v>230</v>
      </c>
      <c r="E37" s="227" t="s">
        <v>216</v>
      </c>
      <c r="F37" s="233"/>
      <c r="G37" s="220"/>
      <c r="H37" s="221"/>
      <c r="I37" s="222"/>
      <c r="J37" s="78">
        <f>IF('2g PPM cost offset'!I15="","-",'2g PPM cost offset'!I15)</f>
        <v>8.2378180039138957</v>
      </c>
      <c r="K37" s="26"/>
      <c r="L37" s="78">
        <f>IF('2g PPM cost offset'!K15="","-",'2g PPM cost offset'!K15)</f>
        <v>8.2378180039138957</v>
      </c>
      <c r="M37" s="78">
        <f>IF('2g PPM cost offset'!L15="","-",'2g PPM cost offset'!L15)</f>
        <v>8.3311643835616422</v>
      </c>
      <c r="N37" s="78">
        <f>IF('2g PPM cost offset'!M15="","-",'2g PPM cost offset'!M15)</f>
        <v>8.3933953033268107</v>
      </c>
      <c r="O37" s="78">
        <f>IF('2g PPM cost offset'!N15="","-",'2g PPM cost offset'!N15)</f>
        <v>8.4400684931506849</v>
      </c>
      <c r="P37" s="78">
        <f>IF('2g PPM cost offset'!O15="","-",'2g PPM cost offset'!O15)</f>
        <v>8.4634050880626219</v>
      </c>
      <c r="Q37" s="78">
        <f>IF('2g PPM cost offset'!P15="","-",'2g PPM cost offset'!P15)</f>
        <v>8.5100782778864978</v>
      </c>
      <c r="R37" s="78">
        <f>IF('2g PPM cost offset'!Q15="","-",'2g PPM cost offset'!Q15)</f>
        <v>8.6656555772994146</v>
      </c>
      <c r="S37" s="78">
        <f>IF('2g PPM cost offset'!R15="","-",'2g PPM cost offset'!R15)</f>
        <v>8.9223581213307241</v>
      </c>
      <c r="T37" s="78">
        <f>IF('2g PPM cost offset'!S15="","-",'2g PPM cost offset'!S15)</f>
        <v>9.3735322896281801</v>
      </c>
      <c r="U37" s="78">
        <f>IF('2g PPM cost offset'!T15="","-",'2g PPM cost offset'!T15)</f>
        <v>9.7469178082191785</v>
      </c>
      <c r="V37" s="78">
        <f>IF('2g PPM cost offset'!U15="","-",'2g PPM cost offset'!U15)</f>
        <v>10.065851272015655</v>
      </c>
      <c r="W37" s="78">
        <f>IF('2g PPM cost offset'!V15="","-",'2g PPM cost offset'!V15)</f>
        <v>10.065851272015655</v>
      </c>
      <c r="X37" s="78">
        <f>IF('2g PPM cost offset'!W15="","-",'2g PPM cost offset'!W15)</f>
        <v>10.15141878669276</v>
      </c>
      <c r="Y37" s="78">
        <f>IF('2g PPM cost offset'!X15="","-",'2g PPM cost offset'!X15)</f>
        <v>10.15141878669276</v>
      </c>
      <c r="Z37" s="78">
        <f>IF('2g PPM cost offset'!Y15="","-",'2g PPM cost offset'!Y15)</f>
        <v>10.345890410958905</v>
      </c>
      <c r="AA37" s="78">
        <f>IF('2g PPM cost offset'!Z15="","-",'2g PPM cost offset'!Z15)</f>
        <v>10.345890410958905</v>
      </c>
      <c r="AB37" s="78">
        <f>IF('2g PPM cost offset'!AA15="","-",'2g PPM cost offset'!AA15)</f>
        <v>10.509246575342466</v>
      </c>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row>
    <row r="38" spans="1:52" s="25" customFormat="1" ht="12.4">
      <c r="A38" s="58"/>
      <c r="B38" s="52" t="s">
        <v>223</v>
      </c>
      <c r="C38" s="230"/>
      <c r="D38" s="228"/>
      <c r="E38" s="228"/>
      <c r="F38" s="234"/>
      <c r="G38" s="223"/>
      <c r="H38" s="224"/>
      <c r="I38" s="225"/>
      <c r="J38" s="78">
        <f>IF('2g PPM cost offset'!I16="","-",'2g PPM cost offset'!I16)</f>
        <v>9.2947455968688857</v>
      </c>
      <c r="K38" s="26"/>
      <c r="L38" s="78">
        <f>IF('2g PPM cost offset'!K16="","-",'2g PPM cost offset'!K16)</f>
        <v>9.2947455968688857</v>
      </c>
      <c r="M38" s="78">
        <f>IF('2g PPM cost offset'!L16="","-",'2g PPM cost offset'!L16)</f>
        <v>9.4000684931506839</v>
      </c>
      <c r="N38" s="78">
        <f>IF('2g PPM cost offset'!M16="","-",'2g PPM cost offset'!M16)</f>
        <v>9.470283757338553</v>
      </c>
      <c r="O38" s="78">
        <f>IF('2g PPM cost offset'!N16="","-",'2g PPM cost offset'!N16)</f>
        <v>9.5229452054794521</v>
      </c>
      <c r="P38" s="78">
        <f>IF('2g PPM cost offset'!O16="","-",'2g PPM cost offset'!O16)</f>
        <v>9.5492759295499017</v>
      </c>
      <c r="Q38" s="78">
        <f>IF('2g PPM cost offset'!P16="","-",'2g PPM cost offset'!P16)</f>
        <v>9.6019373776908026</v>
      </c>
      <c r="R38" s="78">
        <f>IF('2g PPM cost offset'!Q16="","-",'2g PPM cost offset'!Q16)</f>
        <v>9.7774755381604717</v>
      </c>
      <c r="S38" s="78">
        <f>IF('2g PPM cost offset'!R16="","-",'2g PPM cost offset'!R16)</f>
        <v>10.067113502935422</v>
      </c>
      <c r="T38" s="78">
        <f>IF('2g PPM cost offset'!S16="","-",'2g PPM cost offset'!S16)</f>
        <v>10.576174168297456</v>
      </c>
      <c r="U38" s="78">
        <f>IF('2g PPM cost offset'!T16="","-",'2g PPM cost offset'!T16)</f>
        <v>10.997465753424658</v>
      </c>
      <c r="V38" s="78">
        <f>IF('2g PPM cost offset'!U16="","-",'2g PPM cost offset'!U16)</f>
        <v>11.357318982387476</v>
      </c>
      <c r="W38" s="78">
        <f>IF('2g PPM cost offset'!V16="","-",'2g PPM cost offset'!V16)</f>
        <v>11.357318982387476</v>
      </c>
      <c r="X38" s="78">
        <f>IF('2g PPM cost offset'!W16="","-",'2g PPM cost offset'!W16)</f>
        <v>11.453864970645792</v>
      </c>
      <c r="Y38" s="78">
        <f>IF('2g PPM cost offset'!X16="","-",'2g PPM cost offset'!X16)</f>
        <v>11.453864970645792</v>
      </c>
      <c r="Z38" s="78">
        <f>IF('2g PPM cost offset'!Y16="","-",'2g PPM cost offset'!Y16)</f>
        <v>11.673287671232876</v>
      </c>
      <c r="AA38" s="78">
        <f>IF('2g PPM cost offset'!Z16="","-",'2g PPM cost offset'!Z16)</f>
        <v>11.673287671232876</v>
      </c>
      <c r="AB38" s="78">
        <f>IF('2g PPM cost offset'!AA16="","-",'2g PPM cost offset'!AA16)</f>
        <v>11.857602739726026</v>
      </c>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row>
    <row r="39" spans="1:52" s="25" customFormat="1" ht="12" customHeight="1">
      <c r="A39" s="58"/>
      <c r="B39" s="52" t="s">
        <v>213</v>
      </c>
      <c r="C39" s="229" t="s">
        <v>228</v>
      </c>
      <c r="D39" s="227" t="s">
        <v>231</v>
      </c>
      <c r="E39" s="227" t="s">
        <v>216</v>
      </c>
      <c r="F39" s="233"/>
      <c r="G39" s="220"/>
      <c r="H39" s="221"/>
      <c r="I39" s="222"/>
      <c r="J39" s="79" t="str">
        <f>IFERROR(IF(J31&gt;0,J31,MIN(J31+J37,0)),"-")</f>
        <v>-</v>
      </c>
      <c r="K39" s="26"/>
      <c r="L39" s="79" t="str">
        <f t="shared" ref="L39:V39" si="32">IFERROR(IF(L31&gt;0,L31,MIN(L31+L37,0)),"-")</f>
        <v>-</v>
      </c>
      <c r="M39" s="79" t="str">
        <f t="shared" si="32"/>
        <v>-</v>
      </c>
      <c r="N39" s="79" t="str">
        <f t="shared" si="32"/>
        <v>-</v>
      </c>
      <c r="O39" s="79" t="str">
        <f t="shared" si="32"/>
        <v>-</v>
      </c>
      <c r="P39" s="79">
        <f t="shared" si="32"/>
        <v>0</v>
      </c>
      <c r="Q39" s="79">
        <f t="shared" si="32"/>
        <v>0</v>
      </c>
      <c r="R39" s="79">
        <f t="shared" si="32"/>
        <v>0</v>
      </c>
      <c r="S39" s="79">
        <f t="shared" si="32"/>
        <v>0</v>
      </c>
      <c r="T39" s="79">
        <f t="shared" si="32"/>
        <v>0</v>
      </c>
      <c r="U39" s="79">
        <f t="shared" si="32"/>
        <v>0</v>
      </c>
      <c r="V39" s="79">
        <f t="shared" si="32"/>
        <v>0</v>
      </c>
      <c r="W39" s="79">
        <f t="shared" ref="W39:Z39" si="33">IFERROR(IF(W31&gt;0,W31,MIN(W31+W37,0)),"-")</f>
        <v>0</v>
      </c>
      <c r="X39" s="79">
        <f t="shared" si="33"/>
        <v>0</v>
      </c>
      <c r="Y39" s="79">
        <f t="shared" si="33"/>
        <v>0</v>
      </c>
      <c r="Z39" s="79">
        <f t="shared" si="33"/>
        <v>-0.49410958904109492</v>
      </c>
      <c r="AA39" s="79">
        <f t="shared" ref="AA39:AB39" si="34">IFERROR(IF(AA31&gt;0,AA31,MIN(AA31+AA37,0)),"-")</f>
        <v>-0.49410958904109492</v>
      </c>
      <c r="AB39" s="79">
        <f t="shared" si="34"/>
        <v>-1.3307534246575337</v>
      </c>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row>
    <row r="40" spans="1:52" s="25" customFormat="1" ht="12.4">
      <c r="A40" s="58"/>
      <c r="B40" s="52" t="s">
        <v>223</v>
      </c>
      <c r="C40" s="230"/>
      <c r="D40" s="228"/>
      <c r="E40" s="228"/>
      <c r="F40" s="234"/>
      <c r="G40" s="223"/>
      <c r="H40" s="224"/>
      <c r="I40" s="225"/>
      <c r="J40" s="78" t="str">
        <f>IFERROR(IF(J32&gt;0,J32,MIN(J32+J38,0)),"-")</f>
        <v>-</v>
      </c>
      <c r="K40" s="26"/>
      <c r="L40" s="78" t="str">
        <f t="shared" ref="L40:V40" si="35">IFERROR(IF(L32&gt;0,L32,MIN(L32+L38,0)),"-")</f>
        <v>-</v>
      </c>
      <c r="M40" s="78" t="str">
        <f t="shared" si="35"/>
        <v>-</v>
      </c>
      <c r="N40" s="78" t="str">
        <f t="shared" si="35"/>
        <v>-</v>
      </c>
      <c r="O40" s="78" t="str">
        <f t="shared" si="35"/>
        <v>-</v>
      </c>
      <c r="P40" s="78">
        <f t="shared" si="35"/>
        <v>0</v>
      </c>
      <c r="Q40" s="78">
        <f t="shared" si="35"/>
        <v>0</v>
      </c>
      <c r="R40" s="78">
        <f t="shared" si="35"/>
        <v>-6.0818591087388754</v>
      </c>
      <c r="S40" s="78">
        <f t="shared" si="35"/>
        <v>-7.472886497064577</v>
      </c>
      <c r="T40" s="78">
        <f t="shared" si="35"/>
        <v>-12.853825831702544</v>
      </c>
      <c r="U40" s="78">
        <f t="shared" si="35"/>
        <v>-15.33253424657534</v>
      </c>
      <c r="V40" s="78">
        <f t="shared" si="35"/>
        <v>-15.432681017612524</v>
      </c>
      <c r="W40" s="78">
        <f t="shared" ref="W40:Z40" si="36">IFERROR(IF(W32&gt;0,W32,MIN(W32+W38,0)),"-")</f>
        <v>-15.432681017612524</v>
      </c>
      <c r="X40" s="78">
        <f t="shared" si="36"/>
        <v>-19.966135029354209</v>
      </c>
      <c r="Y40" s="78">
        <f t="shared" si="36"/>
        <v>-19.966135029354209</v>
      </c>
      <c r="Z40" s="78">
        <f t="shared" si="36"/>
        <v>-33.44671232876712</v>
      </c>
      <c r="AA40" s="78">
        <f t="shared" ref="AA40:AB40" si="37">IFERROR(IF(AA32&gt;0,AA32,MIN(AA32+AA38,0)),"-")</f>
        <v>-33.44671232876712</v>
      </c>
      <c r="AB40" s="78">
        <f t="shared" si="37"/>
        <v>-36.872397260273971</v>
      </c>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row>
    <row r="41" spans="1:52" s="25" customFormat="1" ht="12.4">
      <c r="A41" s="58"/>
      <c r="B41" s="58"/>
      <c r="C41" s="58"/>
      <c r="D41" s="58"/>
      <c r="E41" s="58"/>
      <c r="F41" s="58"/>
      <c r="G41" s="58"/>
      <c r="H41" s="58"/>
      <c r="I41" s="58"/>
      <c r="J41" s="58"/>
      <c r="K41" s="58"/>
      <c r="L41" s="58"/>
      <c r="M41" s="58"/>
      <c r="N41" s="58"/>
      <c r="O41" s="58"/>
      <c r="P41" s="58"/>
      <c r="Q41" s="58"/>
      <c r="R41" s="58"/>
      <c r="S41" s="83"/>
      <c r="T41" s="83"/>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row>
    <row r="42" spans="1:52" s="25" customFormat="1" ht="12.4">
      <c r="A42" s="58"/>
      <c r="B42" s="58"/>
      <c r="C42" s="58"/>
      <c r="D42" s="58"/>
      <c r="E42" s="58"/>
      <c r="F42" s="58"/>
      <c r="G42" s="58"/>
      <c r="H42" s="58"/>
      <c r="I42" s="58"/>
      <c r="J42" s="58"/>
      <c r="K42" s="58"/>
      <c r="L42" s="58"/>
      <c r="M42" s="58"/>
      <c r="N42" s="58"/>
      <c r="O42" s="58"/>
      <c r="P42" s="58"/>
      <c r="Q42" s="58"/>
      <c r="R42" s="58"/>
      <c r="S42" s="58"/>
      <c r="T42" s="83"/>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row>
    <row r="43" spans="1:52" s="25" customFormat="1" ht="12.4">
      <c r="A43" s="58"/>
      <c r="B43" s="40" t="s">
        <v>232</v>
      </c>
      <c r="C43" s="40"/>
      <c r="D43" s="58"/>
      <c r="E43" s="58"/>
      <c r="F43" s="58"/>
      <c r="G43" s="58"/>
      <c r="H43" s="58"/>
      <c r="I43" s="58"/>
      <c r="J43" s="58"/>
      <c r="K43" s="58"/>
      <c r="L43" s="58"/>
      <c r="M43" s="58"/>
      <c r="N43" s="58"/>
      <c r="O43" s="58"/>
      <c r="P43" s="58"/>
      <c r="Q43" s="58"/>
      <c r="R43" s="58"/>
      <c r="S43" s="58"/>
      <c r="T43" s="83"/>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row>
    <row r="44" spans="1:52" s="25" customFormat="1" ht="12.4">
      <c r="A44" s="58"/>
      <c r="B44" s="40"/>
      <c r="C44" s="40"/>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row>
    <row r="45" spans="1:52" s="25" customFormat="1" ht="31.5" customHeight="1">
      <c r="A45" s="58"/>
      <c r="B45" s="77" t="s">
        <v>102</v>
      </c>
      <c r="C45" s="46" t="s">
        <v>103</v>
      </c>
      <c r="D45" s="77" t="s">
        <v>49</v>
      </c>
      <c r="E45" s="80" t="s">
        <v>104</v>
      </c>
      <c r="F45" s="80" t="s">
        <v>109</v>
      </c>
      <c r="G45" s="75" t="s">
        <v>110</v>
      </c>
      <c r="H45" s="75" t="s">
        <v>111</v>
      </c>
      <c r="I45" s="75" t="s">
        <v>112</v>
      </c>
      <c r="J45" s="75" t="s">
        <v>113</v>
      </c>
      <c r="K45" s="26"/>
      <c r="L45" s="75" t="s">
        <v>114</v>
      </c>
      <c r="M45" s="75" t="s">
        <v>115</v>
      </c>
      <c r="N45" s="75" t="s">
        <v>116</v>
      </c>
      <c r="O45" s="75" t="s">
        <v>117</v>
      </c>
      <c r="P45" s="75" t="s">
        <v>118</v>
      </c>
      <c r="Q45" s="75" t="s">
        <v>119</v>
      </c>
      <c r="R45" s="75" t="s">
        <v>120</v>
      </c>
      <c r="S45" s="75" t="s">
        <v>121</v>
      </c>
      <c r="T45" s="75" t="s">
        <v>122</v>
      </c>
      <c r="U45" s="75" t="s">
        <v>123</v>
      </c>
      <c r="V45" s="75" t="s">
        <v>124</v>
      </c>
      <c r="W45" s="75" t="s">
        <v>125</v>
      </c>
      <c r="X45" s="75" t="s">
        <v>126</v>
      </c>
      <c r="Y45" s="75" t="s">
        <v>127</v>
      </c>
      <c r="Z45" s="75" t="s">
        <v>128</v>
      </c>
      <c r="AA45" s="75" t="s">
        <v>225</v>
      </c>
      <c r="AB45" s="75" t="s">
        <v>130</v>
      </c>
      <c r="AC45" s="75" t="s">
        <v>131</v>
      </c>
      <c r="AD45" s="75" t="s">
        <v>132</v>
      </c>
      <c r="AE45" s="75" t="s">
        <v>133</v>
      </c>
      <c r="AF45" s="75" t="s">
        <v>134</v>
      </c>
      <c r="AG45" s="75" t="s">
        <v>135</v>
      </c>
      <c r="AH45" s="75" t="s">
        <v>136</v>
      </c>
      <c r="AI45" s="75" t="s">
        <v>137</v>
      </c>
      <c r="AJ45" s="75" t="s">
        <v>138</v>
      </c>
      <c r="AK45" s="75" t="s">
        <v>139</v>
      </c>
      <c r="AL45" s="75" t="s">
        <v>140</v>
      </c>
      <c r="AM45" s="75" t="s">
        <v>141</v>
      </c>
      <c r="AN45" s="75" t="s">
        <v>142</v>
      </c>
      <c r="AO45" s="75" t="s">
        <v>143</v>
      </c>
      <c r="AP45" s="75" t="s">
        <v>144</v>
      </c>
      <c r="AQ45" s="75" t="s">
        <v>145</v>
      </c>
      <c r="AR45" s="75" t="s">
        <v>146</v>
      </c>
      <c r="AS45" s="75" t="s">
        <v>147</v>
      </c>
      <c r="AT45" s="75" t="s">
        <v>148</v>
      </c>
      <c r="AU45" s="75" t="s">
        <v>149</v>
      </c>
      <c r="AV45" s="75" t="s">
        <v>150</v>
      </c>
      <c r="AW45" s="75" t="s">
        <v>151</v>
      </c>
      <c r="AX45" s="75" t="s">
        <v>152</v>
      </c>
      <c r="AY45" s="58"/>
      <c r="AZ45" s="58"/>
    </row>
    <row r="46" spans="1:52" s="25" customFormat="1" ht="12.4">
      <c r="A46" s="58"/>
      <c r="B46" s="52" t="s">
        <v>213</v>
      </c>
      <c r="C46" s="229" t="s">
        <v>226</v>
      </c>
      <c r="D46" s="231" t="s">
        <v>233</v>
      </c>
      <c r="E46" s="227" t="s">
        <v>216</v>
      </c>
      <c r="F46" s="233"/>
      <c r="G46" s="81">
        <f>IFERROR((G18+G29),"-")</f>
        <v>0</v>
      </c>
      <c r="H46" s="76">
        <f>IFERROR((H18+H29),"-")</f>
        <v>-0.18995111249132623</v>
      </c>
      <c r="I46" s="76">
        <f>IFERROR((I18+I29),"-")</f>
        <v>2.3898870370752556</v>
      </c>
      <c r="J46" s="76">
        <f>IFERROR((J18+J29),"-")</f>
        <v>11.485481460604181</v>
      </c>
      <c r="K46" s="26"/>
      <c r="L46" s="76">
        <f t="shared" ref="L46:Z46" si="38">IFERROR((L18+L29),"-")</f>
        <v>11.485481460604181</v>
      </c>
      <c r="M46" s="76">
        <f t="shared" si="38"/>
        <v>13.905095596481768</v>
      </c>
      <c r="N46" s="76">
        <f t="shared" si="38"/>
        <v>14.008016342776511</v>
      </c>
      <c r="O46" s="76">
        <f t="shared" si="38"/>
        <v>16.592254432324484</v>
      </c>
      <c r="P46" s="76">
        <f t="shared" si="38"/>
        <v>16.855736391237045</v>
      </c>
      <c r="Q46" s="76">
        <f t="shared" si="38"/>
        <v>16.48610584262476</v>
      </c>
      <c r="R46" s="76">
        <f t="shared" si="38"/>
        <v>16.529685824397358</v>
      </c>
      <c r="S46" s="76">
        <f t="shared" si="38"/>
        <v>15.149258026029946</v>
      </c>
      <c r="T46" s="76">
        <f t="shared" si="38"/>
        <v>16.072618119862021</v>
      </c>
      <c r="U46" s="76">
        <f t="shared" si="38"/>
        <v>17.321266150037467</v>
      </c>
      <c r="V46" s="76">
        <f t="shared" si="38"/>
        <v>15.505924067383233</v>
      </c>
      <c r="W46" s="76">
        <f t="shared" si="38"/>
        <v>15.505924067383233</v>
      </c>
      <c r="X46" s="76">
        <f t="shared" si="38"/>
        <v>16.061282668640139</v>
      </c>
      <c r="Y46" s="76">
        <f t="shared" si="38"/>
        <v>16.061282668640139</v>
      </c>
      <c r="Z46" s="76">
        <f t="shared" si="38"/>
        <v>19.203600376309364</v>
      </c>
      <c r="AA46" s="76">
        <f t="shared" ref="AA46" si="39">IFERROR((AA18+AA29),"-")</f>
        <v>19.203600376309364</v>
      </c>
      <c r="AB46" s="76">
        <f>IFERROR((AB18+AB29),"-")</f>
        <v>19.818932207430215</v>
      </c>
      <c r="AC46" s="76">
        <f t="shared" ref="AC46" si="40">IFERROR(AC29,"-")</f>
        <v>1.6670018591082374</v>
      </c>
      <c r="AD46" s="76">
        <f t="shared" ref="AD46:AX46" si="41">IFERROR(AD29,"-")</f>
        <v>-2.0699999999999998</v>
      </c>
      <c r="AE46" s="76">
        <f t="shared" si="41"/>
        <v>-2.0699999999999998</v>
      </c>
      <c r="AF46" s="76">
        <f t="shared" si="41"/>
        <v>-3.0616745019999998</v>
      </c>
      <c r="AG46" s="76" t="str">
        <f t="shared" si="41"/>
        <v>-</v>
      </c>
      <c r="AH46" s="76" t="str">
        <f t="shared" si="41"/>
        <v>-</v>
      </c>
      <c r="AI46" s="76" t="str">
        <f t="shared" si="41"/>
        <v>-</v>
      </c>
      <c r="AJ46" s="76" t="str">
        <f t="shared" si="41"/>
        <v>-</v>
      </c>
      <c r="AK46" s="76" t="str">
        <f t="shared" si="41"/>
        <v>-</v>
      </c>
      <c r="AL46" s="76" t="str">
        <f t="shared" si="41"/>
        <v>-</v>
      </c>
      <c r="AM46" s="76" t="str">
        <f t="shared" si="41"/>
        <v>-</v>
      </c>
      <c r="AN46" s="76" t="str">
        <f t="shared" si="41"/>
        <v>-</v>
      </c>
      <c r="AO46" s="76" t="str">
        <f t="shared" si="41"/>
        <v>-</v>
      </c>
      <c r="AP46" s="76" t="str">
        <f t="shared" si="41"/>
        <v>-</v>
      </c>
      <c r="AQ46" s="76" t="str">
        <f t="shared" si="41"/>
        <v>-</v>
      </c>
      <c r="AR46" s="76" t="str">
        <f t="shared" si="41"/>
        <v>-</v>
      </c>
      <c r="AS46" s="76" t="str">
        <f t="shared" si="41"/>
        <v>-</v>
      </c>
      <c r="AT46" s="76" t="str">
        <f t="shared" si="41"/>
        <v>-</v>
      </c>
      <c r="AU46" s="76" t="str">
        <f t="shared" si="41"/>
        <v>-</v>
      </c>
      <c r="AV46" s="76" t="str">
        <f t="shared" si="41"/>
        <v>-</v>
      </c>
      <c r="AW46" s="76" t="str">
        <f t="shared" si="41"/>
        <v>-</v>
      </c>
      <c r="AX46" s="76" t="str">
        <f t="shared" si="41"/>
        <v>-</v>
      </c>
      <c r="AY46" s="58"/>
      <c r="AZ46" s="58"/>
    </row>
    <row r="47" spans="1:52" s="25" customFormat="1" ht="12.4">
      <c r="A47" s="58"/>
      <c r="B47" s="52" t="s">
        <v>223</v>
      </c>
      <c r="C47" s="230"/>
      <c r="D47" s="232"/>
      <c r="E47" s="228"/>
      <c r="F47" s="234"/>
      <c r="G47" s="81">
        <f>IFERROR(G24+G30,G24)</f>
        <v>0</v>
      </c>
      <c r="H47" s="76">
        <f t="shared" ref="H47:V47" si="42">IFERROR(H24+H30,"-")</f>
        <v>-0.14839729644435984</v>
      </c>
      <c r="I47" s="76">
        <f t="shared" si="42"/>
        <v>1.899695256253338</v>
      </c>
      <c r="J47" s="76">
        <f t="shared" si="42"/>
        <v>12.665365920990935</v>
      </c>
      <c r="K47" s="26"/>
      <c r="L47" s="76">
        <f t="shared" si="42"/>
        <v>12.665365920990935</v>
      </c>
      <c r="M47" s="76">
        <f t="shared" si="42"/>
        <v>14.640709693750988</v>
      </c>
      <c r="N47" s="76">
        <f t="shared" si="42"/>
        <v>14.927787132222536</v>
      </c>
      <c r="O47" s="76">
        <f>IFERROR(O24+O30,"-")</f>
        <v>17.170757060355506</v>
      </c>
      <c r="P47" s="76">
        <f>IFERROR(P24+P30,"-")</f>
        <v>11.164989866554468</v>
      </c>
      <c r="Q47" s="76">
        <f t="shared" si="42"/>
        <v>10.900121345430581</v>
      </c>
      <c r="R47" s="76">
        <f t="shared" si="42"/>
        <v>7.9767627265742567</v>
      </c>
      <c r="S47" s="76">
        <f t="shared" si="42"/>
        <v>3.3826300925037529</v>
      </c>
      <c r="T47" s="76">
        <f>IFERROR(T24+T30,"-")</f>
        <v>3.4563122415280967</v>
      </c>
      <c r="U47" s="76">
        <f t="shared" si="42"/>
        <v>4.0165235041284371</v>
      </c>
      <c r="V47" s="76">
        <f t="shared" si="42"/>
        <v>1.6619224346274915</v>
      </c>
      <c r="W47" s="76">
        <f t="shared" ref="W47:Z47" si="43">IFERROR(W24+W30,"-")</f>
        <v>1.6619224346274915</v>
      </c>
      <c r="X47" s="76">
        <f t="shared" si="43"/>
        <v>1.0224004674714151</v>
      </c>
      <c r="Y47" s="76">
        <f t="shared" si="43"/>
        <v>1.0224004674714151</v>
      </c>
      <c r="Z47" s="76">
        <f t="shared" si="43"/>
        <v>3.1562464090757585</v>
      </c>
      <c r="AA47" s="76">
        <f t="shared" ref="AA47" si="44">IFERROR(AA24+AA30,"-")</f>
        <v>3.1562464090757585</v>
      </c>
      <c r="AB47" s="76">
        <f>IFERROR(AB24+AB30,"-")</f>
        <v>2.8854725115042359</v>
      </c>
      <c r="AC47" s="76">
        <f t="shared" ref="AC47" si="45">IFERROR(AC30,"-")</f>
        <v>-5.4445461929239141</v>
      </c>
      <c r="AD47" s="76">
        <f t="shared" ref="AD47:AX47" si="46">IFERROR(AD30,"-")</f>
        <v>-3.66</v>
      </c>
      <c r="AE47" s="76">
        <f t="shared" si="46"/>
        <v>-3.66</v>
      </c>
      <c r="AF47" s="76">
        <f t="shared" si="46"/>
        <v>-5.9302043610000004</v>
      </c>
      <c r="AG47" s="76" t="str">
        <f t="shared" si="46"/>
        <v>-</v>
      </c>
      <c r="AH47" s="76" t="str">
        <f t="shared" si="46"/>
        <v>-</v>
      </c>
      <c r="AI47" s="76" t="str">
        <f t="shared" si="46"/>
        <v>-</v>
      </c>
      <c r="AJ47" s="76" t="str">
        <f t="shared" si="46"/>
        <v>-</v>
      </c>
      <c r="AK47" s="76" t="str">
        <f t="shared" si="46"/>
        <v>-</v>
      </c>
      <c r="AL47" s="76" t="str">
        <f t="shared" si="46"/>
        <v>-</v>
      </c>
      <c r="AM47" s="76" t="str">
        <f t="shared" si="46"/>
        <v>-</v>
      </c>
      <c r="AN47" s="76" t="str">
        <f t="shared" si="46"/>
        <v>-</v>
      </c>
      <c r="AO47" s="76" t="str">
        <f t="shared" si="46"/>
        <v>-</v>
      </c>
      <c r="AP47" s="76" t="str">
        <f t="shared" si="46"/>
        <v>-</v>
      </c>
      <c r="AQ47" s="76" t="str">
        <f t="shared" si="46"/>
        <v>-</v>
      </c>
      <c r="AR47" s="76" t="str">
        <f t="shared" si="46"/>
        <v>-</v>
      </c>
      <c r="AS47" s="76" t="str">
        <f t="shared" si="46"/>
        <v>-</v>
      </c>
      <c r="AT47" s="76" t="str">
        <f t="shared" si="46"/>
        <v>-</v>
      </c>
      <c r="AU47" s="76" t="str">
        <f t="shared" si="46"/>
        <v>-</v>
      </c>
      <c r="AV47" s="76" t="str">
        <f t="shared" si="46"/>
        <v>-</v>
      </c>
      <c r="AW47" s="76" t="str">
        <f t="shared" si="46"/>
        <v>-</v>
      </c>
      <c r="AX47" s="76" t="str">
        <f t="shared" si="46"/>
        <v>-</v>
      </c>
      <c r="AY47" s="58"/>
      <c r="AZ47" s="58"/>
    </row>
    <row r="48" spans="1:52" s="25" customFormat="1" ht="12.4">
      <c r="A48" s="58"/>
      <c r="B48" s="52" t="s">
        <v>213</v>
      </c>
      <c r="C48" s="229" t="s">
        <v>228</v>
      </c>
      <c r="D48" s="231" t="s">
        <v>233</v>
      </c>
      <c r="E48" s="227" t="s">
        <v>216</v>
      </c>
      <c r="F48" s="233"/>
      <c r="G48" s="82">
        <f>IFERROR((G18+G31),G18)</f>
        <v>0</v>
      </c>
      <c r="H48" s="82">
        <f>IFERROR((H18+H31),H18)</f>
        <v>-0.18995111249132623</v>
      </c>
      <c r="I48" s="82">
        <f>IFERROR((I18+I31),I18)</f>
        <v>2.3898870370752556</v>
      </c>
      <c r="J48" s="82">
        <f>IFERROR((J18+J39),J18)</f>
        <v>2.4654814606041811</v>
      </c>
      <c r="K48" s="49"/>
      <c r="L48" s="76">
        <f t="shared" ref="L48:Z48" si="47">IFERROR((L18+L39),L18)</f>
        <v>2.4654814606041811</v>
      </c>
      <c r="M48" s="76">
        <f t="shared" si="47"/>
        <v>4.8850955964817686</v>
      </c>
      <c r="N48" s="76">
        <f t="shared" si="47"/>
        <v>4.7480163427765101</v>
      </c>
      <c r="O48" s="76">
        <f t="shared" si="47"/>
        <v>7.093641997338695</v>
      </c>
      <c r="P48" s="76">
        <f t="shared" si="47"/>
        <v>6.2155900817178944</v>
      </c>
      <c r="Q48" s="76">
        <f t="shared" si="47"/>
        <v>5.8459595331056082</v>
      </c>
      <c r="R48" s="76">
        <f t="shared" si="47"/>
        <v>6.2696858243973583</v>
      </c>
      <c r="S48" s="76">
        <f t="shared" si="47"/>
        <v>6.0892580260299454</v>
      </c>
      <c r="T48" s="76">
        <f t="shared" si="47"/>
        <v>5.9026181198620193</v>
      </c>
      <c r="U48" s="76">
        <f t="shared" si="47"/>
        <v>6.771266150037464</v>
      </c>
      <c r="V48" s="76">
        <f t="shared" si="47"/>
        <v>6.0259240673832331</v>
      </c>
      <c r="W48" s="76">
        <f t="shared" si="47"/>
        <v>6.0259240673832331</v>
      </c>
      <c r="X48" s="76">
        <f t="shared" si="47"/>
        <v>6.7612826686401366</v>
      </c>
      <c r="Y48" s="76">
        <f t="shared" si="47"/>
        <v>6.7612826686401366</v>
      </c>
      <c r="Z48" s="76">
        <f t="shared" si="47"/>
        <v>5.7994907872682688</v>
      </c>
      <c r="AA48" s="76">
        <f t="shared" ref="AA48" si="48">IFERROR((AA18+AA39),AA18)</f>
        <v>5.7994907872682688</v>
      </c>
      <c r="AB48" s="76">
        <f>IFERROR((AB18+AB39),AB18)</f>
        <v>5.4481787827726809</v>
      </c>
      <c r="AC48" s="76">
        <f t="shared" ref="AC48" si="49">IFERROR(AC31,"-")</f>
        <v>0.10390263632931146</v>
      </c>
      <c r="AD48" s="76">
        <f t="shared" ref="AD48:AX48" si="50">IFERROR(AD31,"-")</f>
        <v>-3.16</v>
      </c>
      <c r="AE48" s="76">
        <f t="shared" si="50"/>
        <v>-3.16</v>
      </c>
      <c r="AF48" s="76">
        <f t="shared" si="50"/>
        <v>-5.2275331950000004</v>
      </c>
      <c r="AG48" s="76" t="str">
        <f t="shared" si="50"/>
        <v>-</v>
      </c>
      <c r="AH48" s="76" t="str">
        <f t="shared" si="50"/>
        <v>-</v>
      </c>
      <c r="AI48" s="76" t="str">
        <f t="shared" si="50"/>
        <v>-</v>
      </c>
      <c r="AJ48" s="76" t="str">
        <f t="shared" si="50"/>
        <v>-</v>
      </c>
      <c r="AK48" s="76" t="str">
        <f t="shared" si="50"/>
        <v>-</v>
      </c>
      <c r="AL48" s="76" t="str">
        <f t="shared" si="50"/>
        <v>-</v>
      </c>
      <c r="AM48" s="76" t="str">
        <f t="shared" si="50"/>
        <v>-</v>
      </c>
      <c r="AN48" s="76" t="str">
        <f t="shared" si="50"/>
        <v>-</v>
      </c>
      <c r="AO48" s="76" t="str">
        <f t="shared" si="50"/>
        <v>-</v>
      </c>
      <c r="AP48" s="76" t="str">
        <f t="shared" si="50"/>
        <v>-</v>
      </c>
      <c r="AQ48" s="76" t="str">
        <f t="shared" si="50"/>
        <v>-</v>
      </c>
      <c r="AR48" s="76" t="str">
        <f t="shared" si="50"/>
        <v>-</v>
      </c>
      <c r="AS48" s="76" t="str">
        <f t="shared" si="50"/>
        <v>-</v>
      </c>
      <c r="AT48" s="76" t="str">
        <f t="shared" si="50"/>
        <v>-</v>
      </c>
      <c r="AU48" s="76" t="str">
        <f t="shared" si="50"/>
        <v>-</v>
      </c>
      <c r="AV48" s="76" t="str">
        <f t="shared" si="50"/>
        <v>-</v>
      </c>
      <c r="AW48" s="76" t="str">
        <f t="shared" si="50"/>
        <v>-</v>
      </c>
      <c r="AX48" s="76" t="str">
        <f t="shared" si="50"/>
        <v>-</v>
      </c>
      <c r="AY48" s="58"/>
      <c r="AZ48" s="58"/>
    </row>
    <row r="49" spans="1:52" s="25" customFormat="1" ht="12.4">
      <c r="A49" s="58"/>
      <c r="B49" s="52" t="s">
        <v>223</v>
      </c>
      <c r="C49" s="230"/>
      <c r="D49" s="232"/>
      <c r="E49" s="228"/>
      <c r="F49" s="234"/>
      <c r="G49" s="82">
        <f t="shared" ref="G49" si="51">IFERROR((G24+G32),G24)</f>
        <v>0</v>
      </c>
      <c r="H49" s="82">
        <f t="shared" ref="H49:I49" si="52">IFERROR((H24+H32),H24)</f>
        <v>-0.14839729644435984</v>
      </c>
      <c r="I49" s="82">
        <f t="shared" si="52"/>
        <v>1.899695256253338</v>
      </c>
      <c r="J49" s="82">
        <f>IFERROR((J24+J40),J24)</f>
        <v>1.9653659209909353</v>
      </c>
      <c r="K49" s="49"/>
      <c r="L49" s="76">
        <f t="shared" ref="L49:V49" si="53">IFERROR((L24+L40),L24)</f>
        <v>1.9653659209909353</v>
      </c>
      <c r="M49" s="76">
        <f t="shared" si="53"/>
        <v>3.94070969375099</v>
      </c>
      <c r="N49" s="76">
        <f t="shared" si="53"/>
        <v>3.6877871322225353</v>
      </c>
      <c r="O49" s="76">
        <f t="shared" si="53"/>
        <v>5.396909444486452</v>
      </c>
      <c r="P49" s="76">
        <f t="shared" si="53"/>
        <v>4.6837637900821658</v>
      </c>
      <c r="Q49" s="76">
        <f t="shared" si="53"/>
        <v>4.418895268958277</v>
      </c>
      <c r="R49" s="76">
        <f t="shared" si="53"/>
        <v>-1.4350963821646188</v>
      </c>
      <c r="S49" s="76">
        <f t="shared" si="53"/>
        <v>-3.050256404560824</v>
      </c>
      <c r="T49" s="76">
        <f t="shared" si="53"/>
        <v>-8.5975135901744473</v>
      </c>
      <c r="U49" s="76">
        <f t="shared" si="53"/>
        <v>-10.436010742446904</v>
      </c>
      <c r="V49" s="76">
        <f t="shared" si="53"/>
        <v>-11.080758582985032</v>
      </c>
      <c r="W49" s="76">
        <f t="shared" ref="W49:Z49" si="54">IFERROR((W24+W40),W24)</f>
        <v>-11.080758582985032</v>
      </c>
      <c r="X49" s="76">
        <f t="shared" si="54"/>
        <v>-15.133734561882793</v>
      </c>
      <c r="Y49" s="76">
        <f t="shared" si="54"/>
        <v>-15.133734561882793</v>
      </c>
      <c r="Z49" s="76">
        <f t="shared" si="54"/>
        <v>-28.97046591969136</v>
      </c>
      <c r="AA49" s="76">
        <f t="shared" ref="AA49" si="55">IFERROR((AA24+AA40),AA24)</f>
        <v>-28.97046591969136</v>
      </c>
      <c r="AB49" s="76">
        <f>IFERROR((AB24+AB40),AB24)</f>
        <v>-32.136924748769736</v>
      </c>
      <c r="AC49" s="76">
        <f t="shared" ref="AC49" si="56">IFERROR(AC32,"-")</f>
        <v>-18.433633913574564</v>
      </c>
      <c r="AD49" s="76">
        <f t="shared" ref="AD49:AX49" si="57">IFERROR(AD32,"-")</f>
        <v>-6.45</v>
      </c>
      <c r="AE49" s="76">
        <f t="shared" si="57"/>
        <v>-6.45</v>
      </c>
      <c r="AF49" s="76">
        <f t="shared" si="57"/>
        <v>-8.9919152459999996</v>
      </c>
      <c r="AG49" s="76" t="str">
        <f t="shared" si="57"/>
        <v>-</v>
      </c>
      <c r="AH49" s="76" t="str">
        <f t="shared" si="57"/>
        <v>-</v>
      </c>
      <c r="AI49" s="76" t="str">
        <f t="shared" si="57"/>
        <v>-</v>
      </c>
      <c r="AJ49" s="76" t="str">
        <f t="shared" si="57"/>
        <v>-</v>
      </c>
      <c r="AK49" s="76" t="str">
        <f t="shared" si="57"/>
        <v>-</v>
      </c>
      <c r="AL49" s="76" t="str">
        <f t="shared" si="57"/>
        <v>-</v>
      </c>
      <c r="AM49" s="76" t="str">
        <f t="shared" si="57"/>
        <v>-</v>
      </c>
      <c r="AN49" s="76" t="str">
        <f t="shared" si="57"/>
        <v>-</v>
      </c>
      <c r="AO49" s="76" t="str">
        <f t="shared" si="57"/>
        <v>-</v>
      </c>
      <c r="AP49" s="76" t="str">
        <f t="shared" si="57"/>
        <v>-</v>
      </c>
      <c r="AQ49" s="76" t="str">
        <f t="shared" si="57"/>
        <v>-</v>
      </c>
      <c r="AR49" s="76" t="str">
        <f t="shared" si="57"/>
        <v>-</v>
      </c>
      <c r="AS49" s="76" t="str">
        <f t="shared" si="57"/>
        <v>-</v>
      </c>
      <c r="AT49" s="76" t="str">
        <f t="shared" si="57"/>
        <v>-</v>
      </c>
      <c r="AU49" s="76" t="str">
        <f t="shared" si="57"/>
        <v>-</v>
      </c>
      <c r="AV49" s="76" t="str">
        <f t="shared" si="57"/>
        <v>-</v>
      </c>
      <c r="AW49" s="76" t="str">
        <f t="shared" si="57"/>
        <v>-</v>
      </c>
      <c r="AX49" s="76" t="str">
        <f t="shared" si="57"/>
        <v>-</v>
      </c>
      <c r="AY49" s="58"/>
      <c r="AZ49" s="58"/>
    </row>
    <row r="50" spans="1:52" s="25" customFormat="1" ht="12.4">
      <c r="A50" s="58"/>
      <c r="B50" s="57"/>
      <c r="C50" s="57"/>
      <c r="D50" s="57"/>
      <c r="E50" s="57"/>
      <c r="F50" s="57"/>
      <c r="G50" s="58"/>
      <c r="H50" s="58"/>
      <c r="I50" s="58"/>
      <c r="J50" s="58"/>
      <c r="K50" s="58"/>
      <c r="L50" s="58"/>
      <c r="M50" s="58"/>
      <c r="N50" s="58"/>
      <c r="O50" s="58"/>
      <c r="P50" s="58"/>
      <c r="Q50" s="58"/>
      <c r="R50" s="58"/>
      <c r="S50" s="83"/>
      <c r="T50" s="83"/>
      <c r="U50" s="83"/>
      <c r="V50" s="83"/>
      <c r="W50" s="83"/>
      <c r="X50" s="83"/>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row>
    <row r="51" spans="1:52" s="25" customFormat="1" ht="12.4">
      <c r="A51" s="58"/>
      <c r="B51" s="40" t="s">
        <v>234</v>
      </c>
      <c r="C51" s="40"/>
      <c r="D51" s="58"/>
      <c r="E51" s="58"/>
      <c r="F51" s="58"/>
      <c r="G51" s="58"/>
      <c r="H51" s="58"/>
      <c r="I51" s="58"/>
      <c r="J51" s="58"/>
      <c r="K51" s="58"/>
      <c r="L51" s="58"/>
      <c r="M51" s="58"/>
      <c r="N51" s="58"/>
      <c r="O51" s="83"/>
      <c r="P51" s="83"/>
      <c r="Q51" s="58"/>
      <c r="R51" s="58"/>
      <c r="S51" s="83"/>
      <c r="T51" s="83"/>
      <c r="U51" s="83"/>
      <c r="V51" s="83"/>
      <c r="W51" s="83"/>
      <c r="X51" s="83"/>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row>
    <row r="52" spans="1:52" s="25" customFormat="1" ht="12.4">
      <c r="A52" s="58"/>
      <c r="B52" s="40"/>
      <c r="C52" s="40"/>
      <c r="D52" s="58"/>
      <c r="E52" s="58"/>
      <c r="F52" s="58"/>
      <c r="G52" s="58"/>
      <c r="H52" s="58"/>
      <c r="I52" s="58"/>
      <c r="J52" s="58"/>
      <c r="K52" s="58"/>
      <c r="L52" s="58"/>
      <c r="M52" s="58"/>
      <c r="N52" s="58"/>
      <c r="O52" s="58"/>
      <c r="P52" s="58"/>
      <c r="Q52" s="58"/>
      <c r="R52" s="58"/>
      <c r="S52" s="83"/>
      <c r="T52" s="127"/>
      <c r="U52" s="83"/>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row>
    <row r="53" spans="1:52" s="25" customFormat="1" ht="42.75" customHeight="1">
      <c r="A53" s="58"/>
      <c r="B53" s="226" t="s">
        <v>235</v>
      </c>
      <c r="C53" s="80" t="s">
        <v>236</v>
      </c>
      <c r="D53" s="84" t="s">
        <v>237</v>
      </c>
      <c r="E53" s="85">
        <f>'2f Scaling factor'!E7</f>
        <v>0.69</v>
      </c>
      <c r="F53" s="58"/>
      <c r="G53" s="58"/>
      <c r="H53" s="58"/>
      <c r="I53" s="58"/>
      <c r="J53" s="58"/>
      <c r="K53" s="58"/>
      <c r="L53" s="58"/>
      <c r="M53" s="58"/>
      <c r="N53" s="58"/>
      <c r="O53" s="58"/>
      <c r="P53" s="58"/>
      <c r="Q53" s="58"/>
      <c r="R53" s="58"/>
      <c r="S53" s="58"/>
      <c r="T53" s="129"/>
      <c r="U53" s="83"/>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row>
    <row r="54" spans="1:52" s="25" customFormat="1" ht="37.15">
      <c r="A54" s="58"/>
      <c r="B54" s="226"/>
      <c r="C54" s="80" t="s">
        <v>228</v>
      </c>
      <c r="D54" s="84" t="s">
        <v>238</v>
      </c>
      <c r="E54" s="85">
        <f>'2f Scaling factor'!E7</f>
        <v>0.69</v>
      </c>
      <c r="F54" s="58"/>
      <c r="G54" s="58"/>
      <c r="H54" s="58"/>
      <c r="I54" s="58"/>
      <c r="J54" s="58"/>
      <c r="K54" s="58"/>
      <c r="L54" s="58"/>
      <c r="M54" s="58"/>
      <c r="N54" s="58"/>
      <c r="O54" s="58"/>
      <c r="P54" s="58"/>
      <c r="Q54" s="58"/>
      <c r="R54" s="58"/>
      <c r="S54" s="58"/>
      <c r="T54" s="83"/>
      <c r="U54" s="83"/>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row>
    <row r="55" spans="1:52" s="25" customFormat="1" ht="12.4">
      <c r="A55" s="58"/>
      <c r="B55" s="58"/>
      <c r="C55" s="58"/>
      <c r="D55" s="58"/>
      <c r="E55" s="58"/>
      <c r="F55" s="58"/>
      <c r="G55" s="58"/>
      <c r="H55" s="58"/>
      <c r="I55" s="58"/>
      <c r="J55" s="58"/>
      <c r="K55" s="58"/>
      <c r="L55" s="58"/>
      <c r="M55" s="58"/>
      <c r="N55" s="58"/>
      <c r="O55" s="58"/>
      <c r="P55" s="58"/>
      <c r="Q55" s="58"/>
      <c r="R55" s="58"/>
      <c r="S55" s="58"/>
      <c r="T55" s="83"/>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row>
    <row r="56" spans="1:52" s="25" customFormat="1" ht="24.75">
      <c r="A56" s="58"/>
      <c r="B56" s="77" t="s">
        <v>102</v>
      </c>
      <c r="C56" s="46" t="s">
        <v>103</v>
      </c>
      <c r="D56" s="77" t="s">
        <v>49</v>
      </c>
      <c r="E56" s="80" t="s">
        <v>104</v>
      </c>
      <c r="F56" s="80" t="s">
        <v>109</v>
      </c>
      <c r="G56" s="75" t="s">
        <v>110</v>
      </c>
      <c r="H56" s="75" t="s">
        <v>111</v>
      </c>
      <c r="I56" s="75" t="s">
        <v>112</v>
      </c>
      <c r="J56" s="75" t="s">
        <v>113</v>
      </c>
      <c r="K56" s="26"/>
      <c r="L56" s="75" t="s">
        <v>114</v>
      </c>
      <c r="M56" s="75" t="s">
        <v>115</v>
      </c>
      <c r="N56" s="75" t="s">
        <v>116</v>
      </c>
      <c r="O56" s="75" t="s">
        <v>117</v>
      </c>
      <c r="P56" s="75" t="s">
        <v>118</v>
      </c>
      <c r="Q56" s="75" t="s">
        <v>119</v>
      </c>
      <c r="R56" s="75" t="s">
        <v>120</v>
      </c>
      <c r="S56" s="75" t="s">
        <v>121</v>
      </c>
      <c r="T56" s="75" t="s">
        <v>122</v>
      </c>
      <c r="U56" s="75" t="s">
        <v>123</v>
      </c>
      <c r="V56" s="75" t="s">
        <v>124</v>
      </c>
      <c r="W56" s="75" t="s">
        <v>125</v>
      </c>
      <c r="X56" s="75" t="s">
        <v>126</v>
      </c>
      <c r="Y56" s="75" t="s">
        <v>127</v>
      </c>
      <c r="Z56" s="75" t="s">
        <v>128</v>
      </c>
      <c r="AA56" s="75" t="s">
        <v>225</v>
      </c>
      <c r="AB56" s="75" t="s">
        <v>130</v>
      </c>
      <c r="AC56" s="75" t="s">
        <v>131</v>
      </c>
      <c r="AD56" s="75" t="s">
        <v>132</v>
      </c>
      <c r="AE56" s="75" t="s">
        <v>133</v>
      </c>
      <c r="AF56" s="75" t="s">
        <v>134</v>
      </c>
      <c r="AG56" s="75" t="s">
        <v>135</v>
      </c>
      <c r="AH56" s="75" t="s">
        <v>136</v>
      </c>
      <c r="AI56" s="75" t="s">
        <v>137</v>
      </c>
      <c r="AJ56" s="75" t="s">
        <v>138</v>
      </c>
      <c r="AK56" s="75" t="s">
        <v>139</v>
      </c>
      <c r="AL56" s="75" t="s">
        <v>140</v>
      </c>
      <c r="AM56" s="75" t="s">
        <v>141</v>
      </c>
      <c r="AN56" s="75" t="s">
        <v>142</v>
      </c>
      <c r="AO56" s="75" t="s">
        <v>143</v>
      </c>
      <c r="AP56" s="75" t="s">
        <v>144</v>
      </c>
      <c r="AQ56" s="75" t="s">
        <v>145</v>
      </c>
      <c r="AR56" s="75" t="s">
        <v>146</v>
      </c>
      <c r="AS56" s="75" t="s">
        <v>147</v>
      </c>
      <c r="AT56" s="75" t="s">
        <v>148</v>
      </c>
      <c r="AU56" s="75" t="s">
        <v>149</v>
      </c>
      <c r="AV56" s="75" t="s">
        <v>150</v>
      </c>
      <c r="AW56" s="75" t="s">
        <v>151</v>
      </c>
      <c r="AX56" s="75" t="s">
        <v>152</v>
      </c>
      <c r="AY56" s="58"/>
      <c r="AZ56" s="57"/>
    </row>
    <row r="57" spans="1:52" s="25" customFormat="1" ht="12.4">
      <c r="A57" s="58"/>
      <c r="B57" s="52" t="s">
        <v>213</v>
      </c>
      <c r="C57" s="229" t="s">
        <v>226</v>
      </c>
      <c r="D57" s="231" t="s">
        <v>234</v>
      </c>
      <c r="E57" s="227" t="s">
        <v>239</v>
      </c>
      <c r="F57" s="233"/>
      <c r="G57" s="76">
        <f>IFERROR(G46*$E$53,"-")</f>
        <v>0</v>
      </c>
      <c r="H57" s="76">
        <f t="shared" ref="H57:J57" si="58">IFERROR(H46*$E$53,"-")</f>
        <v>-0.1310662676190151</v>
      </c>
      <c r="I57" s="76">
        <f t="shared" si="58"/>
        <v>1.6490220555819262</v>
      </c>
      <c r="J57" s="76">
        <f t="shared" si="58"/>
        <v>7.9249822078168837</v>
      </c>
      <c r="K57" s="26"/>
      <c r="L57" s="76">
        <f>IFERROR(L46*$E$53,"-")</f>
        <v>7.9249822078168837</v>
      </c>
      <c r="M57" s="76">
        <f t="shared" ref="M57:U57" si="59">IFERROR(M46*$E$53,"-")</f>
        <v>9.5945159615724194</v>
      </c>
      <c r="N57" s="76">
        <f t="shared" si="59"/>
        <v>9.6655312765157912</v>
      </c>
      <c r="O57" s="76">
        <f>IFERROR(O46*$E$53,"-")</f>
        <v>11.448655558303892</v>
      </c>
      <c r="P57" s="76">
        <f t="shared" si="59"/>
        <v>11.63045810995356</v>
      </c>
      <c r="Q57" s="76">
        <f t="shared" si="59"/>
        <v>11.375413031411084</v>
      </c>
      <c r="R57" s="76">
        <f>IFERROR(R46*$E$53,"-")</f>
        <v>11.405483218834176</v>
      </c>
      <c r="S57" s="76">
        <f>IFERROR(S46*$E$53,"-")</f>
        <v>10.452988037960662</v>
      </c>
      <c r="T57" s="76">
        <f>IFERROR(T46*$E$53,"-")</f>
        <v>11.090106502704794</v>
      </c>
      <c r="U57" s="76">
        <f t="shared" si="59"/>
        <v>11.951673643525851</v>
      </c>
      <c r="V57" s="76">
        <f t="shared" ref="V57:AA57" si="60">IFERROR(V46*$E$53,"-")</f>
        <v>10.69908760649443</v>
      </c>
      <c r="W57" s="76">
        <f t="shared" si="60"/>
        <v>10.69908760649443</v>
      </c>
      <c r="X57" s="76">
        <f t="shared" si="60"/>
        <v>11.082285041361695</v>
      </c>
      <c r="Y57" s="76">
        <f t="shared" si="60"/>
        <v>11.082285041361695</v>
      </c>
      <c r="Z57" s="76">
        <f t="shared" si="60"/>
        <v>13.25048425965346</v>
      </c>
      <c r="AA57" s="76">
        <f t="shared" si="60"/>
        <v>13.25048425965346</v>
      </c>
      <c r="AB57" s="76">
        <f>IFERROR(AB46*$E$53,"-")</f>
        <v>13.675063223126848</v>
      </c>
      <c r="AC57" s="76">
        <f>IFERROR(AC46*$E$53,"-")</f>
        <v>1.1502312827846837</v>
      </c>
      <c r="AD57" s="76">
        <f t="shared" ref="AD57:AX57" si="61">IFERROR(AD46*$E$53,"-")</f>
        <v>-1.4282999999999997</v>
      </c>
      <c r="AE57" s="76">
        <f t="shared" si="61"/>
        <v>-1.4282999999999997</v>
      </c>
      <c r="AF57" s="76">
        <f t="shared" si="61"/>
        <v>-2.1125554063799998</v>
      </c>
      <c r="AG57" s="76" t="str">
        <f t="shared" si="61"/>
        <v>-</v>
      </c>
      <c r="AH57" s="76" t="str">
        <f t="shared" si="61"/>
        <v>-</v>
      </c>
      <c r="AI57" s="76" t="str">
        <f t="shared" si="61"/>
        <v>-</v>
      </c>
      <c r="AJ57" s="76" t="str">
        <f t="shared" si="61"/>
        <v>-</v>
      </c>
      <c r="AK57" s="76" t="str">
        <f t="shared" si="61"/>
        <v>-</v>
      </c>
      <c r="AL57" s="76" t="str">
        <f t="shared" si="61"/>
        <v>-</v>
      </c>
      <c r="AM57" s="76" t="str">
        <f t="shared" si="61"/>
        <v>-</v>
      </c>
      <c r="AN57" s="76" t="str">
        <f t="shared" si="61"/>
        <v>-</v>
      </c>
      <c r="AO57" s="76" t="str">
        <f t="shared" si="61"/>
        <v>-</v>
      </c>
      <c r="AP57" s="76" t="str">
        <f t="shared" si="61"/>
        <v>-</v>
      </c>
      <c r="AQ57" s="76" t="str">
        <f t="shared" si="61"/>
        <v>-</v>
      </c>
      <c r="AR57" s="76" t="str">
        <f t="shared" si="61"/>
        <v>-</v>
      </c>
      <c r="AS57" s="76" t="str">
        <f t="shared" si="61"/>
        <v>-</v>
      </c>
      <c r="AT57" s="76" t="str">
        <f t="shared" si="61"/>
        <v>-</v>
      </c>
      <c r="AU57" s="76" t="str">
        <f t="shared" si="61"/>
        <v>-</v>
      </c>
      <c r="AV57" s="76" t="str">
        <f t="shared" si="61"/>
        <v>-</v>
      </c>
      <c r="AW57" s="76" t="str">
        <f t="shared" si="61"/>
        <v>-</v>
      </c>
      <c r="AX57" s="76" t="str">
        <f t="shared" si="61"/>
        <v>-</v>
      </c>
      <c r="AY57" s="58"/>
      <c r="AZ57" s="57"/>
    </row>
    <row r="58" spans="1:52" s="23" customFormat="1">
      <c r="A58" s="152"/>
      <c r="B58" s="52" t="s">
        <v>223</v>
      </c>
      <c r="C58" s="230"/>
      <c r="D58" s="232"/>
      <c r="E58" s="228"/>
      <c r="F58" s="234"/>
      <c r="G58" s="76">
        <f>IFERROR(G47*$E$53,"-")</f>
        <v>0</v>
      </c>
      <c r="H58" s="76">
        <f t="shared" ref="H58:J58" si="62">IFERROR(H47*$E$53,"-")</f>
        <v>-0.10239413454660828</v>
      </c>
      <c r="I58" s="76">
        <f t="shared" si="62"/>
        <v>1.3107897268148032</v>
      </c>
      <c r="J58" s="76">
        <f t="shared" si="62"/>
        <v>8.7391024854837447</v>
      </c>
      <c r="K58" s="26"/>
      <c r="L58" s="76">
        <f>IFERROR(L47*$E$53,"-")</f>
        <v>8.7391024854837447</v>
      </c>
      <c r="M58" s="76">
        <f t="shared" ref="M58:U58" si="63">IFERROR(M47*$E$53,"-")</f>
        <v>10.102089688688181</v>
      </c>
      <c r="N58" s="76">
        <f t="shared" si="63"/>
        <v>10.300173121233549</v>
      </c>
      <c r="O58" s="76">
        <f>IFERROR(O47*$E$53,"-")</f>
        <v>11.847822371645298</v>
      </c>
      <c r="P58" s="76">
        <f t="shared" si="63"/>
        <v>7.7038430079225817</v>
      </c>
      <c r="Q58" s="76">
        <f t="shared" si="63"/>
        <v>7.5210837283470999</v>
      </c>
      <c r="R58" s="76">
        <f t="shared" si="63"/>
        <v>5.5039662813362371</v>
      </c>
      <c r="S58" s="76">
        <f t="shared" si="63"/>
        <v>2.3340147638275894</v>
      </c>
      <c r="T58" s="76">
        <f>IFERROR(T47*$E$53,"-")</f>
        <v>2.3848554466543863</v>
      </c>
      <c r="U58" s="76">
        <f t="shared" si="63"/>
        <v>2.7714012178486214</v>
      </c>
      <c r="V58" s="76">
        <f t="shared" ref="V58:AA58" si="64">IFERROR(V47*$E$53,"-")</f>
        <v>1.1467264798929691</v>
      </c>
      <c r="W58" s="76">
        <f t="shared" si="64"/>
        <v>1.1467264798929691</v>
      </c>
      <c r="X58" s="76">
        <f t="shared" si="64"/>
        <v>0.70545632255527635</v>
      </c>
      <c r="Y58" s="76">
        <f t="shared" si="64"/>
        <v>0.70545632255527635</v>
      </c>
      <c r="Z58" s="76">
        <f t="shared" si="64"/>
        <v>2.1778100222622734</v>
      </c>
      <c r="AA58" s="76">
        <f t="shared" si="64"/>
        <v>2.1778100222622734</v>
      </c>
      <c r="AB58" s="76">
        <f>IFERROR(AB47*$E$53,"-")</f>
        <v>1.9909760329379227</v>
      </c>
      <c r="AC58" s="76">
        <f t="shared" ref="AC58:AX58" si="65">IFERROR(AC47*$E$53,"-")</f>
        <v>-3.7567368731175006</v>
      </c>
      <c r="AD58" s="76">
        <f t="shared" si="65"/>
        <v>-2.5253999999999999</v>
      </c>
      <c r="AE58" s="76">
        <f t="shared" si="65"/>
        <v>-2.5253999999999999</v>
      </c>
      <c r="AF58" s="76">
        <f t="shared" si="65"/>
        <v>-4.0918410090900004</v>
      </c>
      <c r="AG58" s="76" t="str">
        <f t="shared" si="65"/>
        <v>-</v>
      </c>
      <c r="AH58" s="76" t="str">
        <f t="shared" si="65"/>
        <v>-</v>
      </c>
      <c r="AI58" s="76" t="str">
        <f t="shared" si="65"/>
        <v>-</v>
      </c>
      <c r="AJ58" s="76" t="str">
        <f t="shared" si="65"/>
        <v>-</v>
      </c>
      <c r="AK58" s="76" t="str">
        <f t="shared" si="65"/>
        <v>-</v>
      </c>
      <c r="AL58" s="76" t="str">
        <f t="shared" si="65"/>
        <v>-</v>
      </c>
      <c r="AM58" s="76" t="str">
        <f t="shared" si="65"/>
        <v>-</v>
      </c>
      <c r="AN58" s="76" t="str">
        <f t="shared" si="65"/>
        <v>-</v>
      </c>
      <c r="AO58" s="76" t="str">
        <f t="shared" si="65"/>
        <v>-</v>
      </c>
      <c r="AP58" s="76" t="str">
        <f t="shared" si="65"/>
        <v>-</v>
      </c>
      <c r="AQ58" s="76" t="str">
        <f t="shared" si="65"/>
        <v>-</v>
      </c>
      <c r="AR58" s="76" t="str">
        <f t="shared" si="65"/>
        <v>-</v>
      </c>
      <c r="AS58" s="76" t="str">
        <f t="shared" si="65"/>
        <v>-</v>
      </c>
      <c r="AT58" s="76" t="str">
        <f t="shared" si="65"/>
        <v>-</v>
      </c>
      <c r="AU58" s="76" t="str">
        <f t="shared" si="65"/>
        <v>-</v>
      </c>
      <c r="AV58" s="76" t="str">
        <f t="shared" si="65"/>
        <v>-</v>
      </c>
      <c r="AW58" s="76" t="str">
        <f t="shared" si="65"/>
        <v>-</v>
      </c>
      <c r="AX58" s="76" t="str">
        <f t="shared" si="65"/>
        <v>-</v>
      </c>
      <c r="AY58" s="58"/>
      <c r="AZ58" s="57"/>
    </row>
    <row r="59" spans="1:52" s="25" customFormat="1">
      <c r="A59" s="152"/>
      <c r="B59" s="52" t="s">
        <v>213</v>
      </c>
      <c r="C59" s="229" t="s">
        <v>228</v>
      </c>
      <c r="D59" s="231" t="s">
        <v>234</v>
      </c>
      <c r="E59" s="227" t="s">
        <v>239</v>
      </c>
      <c r="F59" s="233"/>
      <c r="G59" s="76">
        <f>IFERROR(((G18*$E$54)+G39),G18*$E$54)</f>
        <v>0</v>
      </c>
      <c r="H59" s="76">
        <f>IFERROR(((H18*$E$54)+H39),H18*$E$54)</f>
        <v>-0.1310662676190151</v>
      </c>
      <c r="I59" s="76">
        <f>IFERROR(((I18*$E$54)+I39),I18*$E$54)</f>
        <v>1.6490220555819262</v>
      </c>
      <c r="J59" s="76">
        <f>IFERROR(((J18*$E$54)+J39),J18*$E$54)</f>
        <v>1.7011822078168848</v>
      </c>
      <c r="K59" s="26"/>
      <c r="L59" s="76">
        <f t="shared" ref="L59:Q59" si="66">IFERROR(((L18*$E$54)+L39),L18*$E$54)</f>
        <v>1.7011822078168848</v>
      </c>
      <c r="M59" s="76">
        <f t="shared" si="66"/>
        <v>3.37071596157242</v>
      </c>
      <c r="N59" s="76">
        <f t="shared" si="66"/>
        <v>3.2761312765157915</v>
      </c>
      <c r="O59" s="76">
        <f t="shared" si="66"/>
        <v>4.8946129781636989</v>
      </c>
      <c r="P59" s="76">
        <f t="shared" si="66"/>
        <v>4.2887571563853468</v>
      </c>
      <c r="Q59" s="76">
        <f t="shared" si="66"/>
        <v>4.0337120778428694</v>
      </c>
      <c r="R59" s="76">
        <f t="shared" ref="R59:Y59" si="67">IFERROR(((R18*$E$54)+R39),"-")</f>
        <v>4.3260832188341771</v>
      </c>
      <c r="S59" s="76">
        <f t="shared" si="67"/>
        <v>4.2015880379606623</v>
      </c>
      <c r="T59" s="76">
        <f t="shared" si="67"/>
        <v>4.0728065027047933</v>
      </c>
      <c r="U59" s="76">
        <f t="shared" si="67"/>
        <v>4.6721736435258494</v>
      </c>
      <c r="V59" s="76">
        <f t="shared" si="67"/>
        <v>4.1578876064944303</v>
      </c>
      <c r="W59" s="76">
        <f t="shared" si="67"/>
        <v>4.1578876064944303</v>
      </c>
      <c r="X59" s="76">
        <f t="shared" si="67"/>
        <v>4.6652850413616935</v>
      </c>
      <c r="Y59" s="76">
        <f t="shared" si="67"/>
        <v>4.6652850413616935</v>
      </c>
      <c r="Z59" s="76">
        <f>IFERROR(((Z18*$E$54)+Z39),"-")</f>
        <v>3.848474670612366</v>
      </c>
      <c r="AA59" s="76">
        <f t="shared" ref="AA59" si="68">IFERROR(((AA18*$E$54)+AA39),"-")</f>
        <v>3.848474670612366</v>
      </c>
      <c r="AB59" s="76">
        <f>IFERROR(((AB18*$E$54)+AB39),"-")</f>
        <v>3.3467097984693144</v>
      </c>
      <c r="AC59" s="76">
        <f t="shared" ref="AC59:AX59" si="69">IFERROR(AC48,"-")</f>
        <v>0.10390263632931146</v>
      </c>
      <c r="AD59" s="76">
        <f t="shared" si="69"/>
        <v>-3.16</v>
      </c>
      <c r="AE59" s="76">
        <f t="shared" si="69"/>
        <v>-3.16</v>
      </c>
      <c r="AF59" s="76">
        <f t="shared" si="69"/>
        <v>-5.2275331950000004</v>
      </c>
      <c r="AG59" s="76" t="str">
        <f t="shared" si="69"/>
        <v>-</v>
      </c>
      <c r="AH59" s="76" t="str">
        <f t="shared" si="69"/>
        <v>-</v>
      </c>
      <c r="AI59" s="76" t="str">
        <f t="shared" si="69"/>
        <v>-</v>
      </c>
      <c r="AJ59" s="76" t="str">
        <f t="shared" si="69"/>
        <v>-</v>
      </c>
      <c r="AK59" s="76" t="str">
        <f t="shared" si="69"/>
        <v>-</v>
      </c>
      <c r="AL59" s="76" t="str">
        <f t="shared" si="69"/>
        <v>-</v>
      </c>
      <c r="AM59" s="76" t="str">
        <f t="shared" si="69"/>
        <v>-</v>
      </c>
      <c r="AN59" s="76" t="str">
        <f t="shared" si="69"/>
        <v>-</v>
      </c>
      <c r="AO59" s="76" t="str">
        <f t="shared" si="69"/>
        <v>-</v>
      </c>
      <c r="AP59" s="76" t="str">
        <f t="shared" si="69"/>
        <v>-</v>
      </c>
      <c r="AQ59" s="76" t="str">
        <f t="shared" si="69"/>
        <v>-</v>
      </c>
      <c r="AR59" s="76" t="str">
        <f t="shared" si="69"/>
        <v>-</v>
      </c>
      <c r="AS59" s="76" t="str">
        <f t="shared" si="69"/>
        <v>-</v>
      </c>
      <c r="AT59" s="76" t="str">
        <f t="shared" si="69"/>
        <v>-</v>
      </c>
      <c r="AU59" s="76" t="str">
        <f t="shared" si="69"/>
        <v>-</v>
      </c>
      <c r="AV59" s="76" t="str">
        <f t="shared" si="69"/>
        <v>-</v>
      </c>
      <c r="AW59" s="76" t="str">
        <f t="shared" si="69"/>
        <v>-</v>
      </c>
      <c r="AX59" s="76" t="str">
        <f t="shared" si="69"/>
        <v>-</v>
      </c>
      <c r="AY59" s="58"/>
      <c r="AZ59" s="57"/>
    </row>
    <row r="60" spans="1:52" s="23" customFormat="1">
      <c r="A60" s="152"/>
      <c r="B60" s="52" t="s">
        <v>223</v>
      </c>
      <c r="C60" s="230"/>
      <c r="D60" s="232"/>
      <c r="E60" s="228"/>
      <c r="F60" s="234"/>
      <c r="G60" s="76">
        <f>IFERROR(((G24*$E$54)+G40),G24*$E$54)</f>
        <v>0</v>
      </c>
      <c r="H60" s="76">
        <f>IFERROR(((H24*$E$54)+H40),H24*$E$54)</f>
        <v>-0.10239413454660828</v>
      </c>
      <c r="I60" s="76">
        <f>IFERROR(((I24*$E$54)+I40),I24*$E$54)</f>
        <v>1.3107897268148032</v>
      </c>
      <c r="J60" s="76">
        <f>IFERROR(((J24*$E$54)+J40),J24*$E$54)</f>
        <v>1.3561024854837453</v>
      </c>
      <c r="K60" s="26"/>
      <c r="L60" s="76">
        <f>IFERROR(((L24*$E$54)+L40),L24*$E$54)</f>
        <v>1.3561024854837453</v>
      </c>
      <c r="M60" s="76">
        <f t="shared" ref="M60:Q60" si="70">IFERROR(((M24*$E$54)+M40),M24*$E$54)</f>
        <v>2.7190896886881828</v>
      </c>
      <c r="N60" s="76">
        <f t="shared" si="70"/>
        <v>2.5445731212335492</v>
      </c>
      <c r="O60" s="76">
        <f t="shared" si="70"/>
        <v>3.7238675166956514</v>
      </c>
      <c r="P60" s="76">
        <f t="shared" si="70"/>
        <v>3.2317970151566944</v>
      </c>
      <c r="Q60" s="76">
        <f t="shared" si="70"/>
        <v>3.0490377355812108</v>
      </c>
      <c r="R60" s="76">
        <f>IFERROR(((R24*$E$54)+R40),"-")</f>
        <v>-2.8755928274026386</v>
      </c>
      <c r="S60" s="76">
        <f t="shared" ref="S60:U60" si="71">IFERROR(((S24*$E$54)+S40),"-")</f>
        <v>-4.4212717332369875</v>
      </c>
      <c r="T60" s="76">
        <f>IFERROR(((T24*$E$54)+T40),"-")</f>
        <v>-9.9169703850481579</v>
      </c>
      <c r="U60" s="76">
        <f t="shared" si="71"/>
        <v>-11.95393302872672</v>
      </c>
      <c r="V60" s="76">
        <f t="shared" ref="V60:Z60" si="72">IFERROR(((V24*$E$54)+V40),"-")</f>
        <v>-12.429854537719555</v>
      </c>
      <c r="W60" s="76">
        <f t="shared" si="72"/>
        <v>-12.429854537719555</v>
      </c>
      <c r="X60" s="76">
        <f t="shared" si="72"/>
        <v>-16.631778706798933</v>
      </c>
      <c r="Y60" s="76">
        <f t="shared" si="72"/>
        <v>-16.631778706798933</v>
      </c>
      <c r="Z60" s="76">
        <f t="shared" si="72"/>
        <v>-30.358102306504847</v>
      </c>
      <c r="AA60" s="76">
        <f t="shared" ref="AA60" si="73">IFERROR(((AA24*$E$54)+AA40),"-")</f>
        <v>-30.358102306504847</v>
      </c>
      <c r="AB60" s="76">
        <f>IFERROR(((AB24*$E$54)+AB40),"-")</f>
        <v>-33.60492122733605</v>
      </c>
      <c r="AC60" s="76">
        <f t="shared" ref="AC60:AX60" si="74">IFERROR(AC49,"-")</f>
        <v>-18.433633913574564</v>
      </c>
      <c r="AD60" s="76">
        <f t="shared" si="74"/>
        <v>-6.45</v>
      </c>
      <c r="AE60" s="76">
        <f t="shared" si="74"/>
        <v>-6.45</v>
      </c>
      <c r="AF60" s="76">
        <f t="shared" si="74"/>
        <v>-8.9919152459999996</v>
      </c>
      <c r="AG60" s="76" t="str">
        <f t="shared" si="74"/>
        <v>-</v>
      </c>
      <c r="AH60" s="76" t="str">
        <f t="shared" si="74"/>
        <v>-</v>
      </c>
      <c r="AI60" s="76" t="str">
        <f t="shared" si="74"/>
        <v>-</v>
      </c>
      <c r="AJ60" s="76" t="str">
        <f t="shared" si="74"/>
        <v>-</v>
      </c>
      <c r="AK60" s="76" t="str">
        <f t="shared" si="74"/>
        <v>-</v>
      </c>
      <c r="AL60" s="76" t="str">
        <f t="shared" si="74"/>
        <v>-</v>
      </c>
      <c r="AM60" s="76" t="str">
        <f t="shared" si="74"/>
        <v>-</v>
      </c>
      <c r="AN60" s="76" t="str">
        <f t="shared" si="74"/>
        <v>-</v>
      </c>
      <c r="AO60" s="76" t="str">
        <f t="shared" si="74"/>
        <v>-</v>
      </c>
      <c r="AP60" s="76" t="str">
        <f t="shared" si="74"/>
        <v>-</v>
      </c>
      <c r="AQ60" s="76" t="str">
        <f t="shared" si="74"/>
        <v>-</v>
      </c>
      <c r="AR60" s="76" t="str">
        <f t="shared" si="74"/>
        <v>-</v>
      </c>
      <c r="AS60" s="76" t="str">
        <f t="shared" si="74"/>
        <v>-</v>
      </c>
      <c r="AT60" s="76" t="str">
        <f t="shared" si="74"/>
        <v>-</v>
      </c>
      <c r="AU60" s="76" t="str">
        <f t="shared" si="74"/>
        <v>-</v>
      </c>
      <c r="AV60" s="76" t="str">
        <f t="shared" si="74"/>
        <v>-</v>
      </c>
      <c r="AW60" s="76" t="str">
        <f t="shared" si="74"/>
        <v>-</v>
      </c>
      <c r="AX60" s="76" t="str">
        <f t="shared" si="74"/>
        <v>-</v>
      </c>
      <c r="AY60" s="58"/>
      <c r="AZ60" s="57"/>
    </row>
    <row r="61" spans="1:52" s="23" customFormat="1" ht="14.25">
      <c r="A61" s="152"/>
      <c r="B61" s="152"/>
      <c r="C61" s="152"/>
      <c r="D61" s="152"/>
      <c r="E61" s="152"/>
      <c r="F61" s="152"/>
      <c r="G61" s="152"/>
      <c r="H61" s="152"/>
      <c r="I61" s="152"/>
      <c r="J61" s="152"/>
      <c r="K61" s="152"/>
      <c r="L61" s="6"/>
      <c r="M61" s="6"/>
      <c r="N61" s="6"/>
      <c r="O61" s="6"/>
      <c r="P61" s="6"/>
      <c r="Q61" s="6"/>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7"/>
    </row>
    <row r="62" spans="1:52">
      <c r="L62" s="58"/>
      <c r="M62" s="58"/>
      <c r="N62" s="58"/>
      <c r="O62" s="58"/>
      <c r="P62" s="58"/>
      <c r="Q62" s="58"/>
      <c r="R62" s="58"/>
      <c r="S62" s="58"/>
      <c r="T62" s="58"/>
      <c r="U62" s="58"/>
      <c r="V62" s="58"/>
      <c r="AZ62" s="58"/>
    </row>
  </sheetData>
  <mergeCells count="54">
    <mergeCell ref="D57:D58"/>
    <mergeCell ref="E57:E58"/>
    <mergeCell ref="F57:F58"/>
    <mergeCell ref="G29:I30"/>
    <mergeCell ref="C59:C60"/>
    <mergeCell ref="C29:C30"/>
    <mergeCell ref="C31:C32"/>
    <mergeCell ref="C46:C47"/>
    <mergeCell ref="C48:C49"/>
    <mergeCell ref="C57:C58"/>
    <mergeCell ref="C37:C38"/>
    <mergeCell ref="D59:D60"/>
    <mergeCell ref="E59:E60"/>
    <mergeCell ref="G39:I40"/>
    <mergeCell ref="F59:F60"/>
    <mergeCell ref="B13:B18"/>
    <mergeCell ref="B19:B24"/>
    <mergeCell ref="E31:E32"/>
    <mergeCell ref="F31:F32"/>
    <mergeCell ref="D37:D38"/>
    <mergeCell ref="F37:F38"/>
    <mergeCell ref="C13:C18"/>
    <mergeCell ref="C19:C24"/>
    <mergeCell ref="D31:D32"/>
    <mergeCell ref="F13:F24"/>
    <mergeCell ref="F29:F30"/>
    <mergeCell ref="D29:D30"/>
    <mergeCell ref="E29:E30"/>
    <mergeCell ref="B3:M3"/>
    <mergeCell ref="G8:J8"/>
    <mergeCell ref="G9:J9"/>
    <mergeCell ref="E8:E12"/>
    <mergeCell ref="C8:C12"/>
    <mergeCell ref="F8:F9"/>
    <mergeCell ref="B8:B12"/>
    <mergeCell ref="D8:D12"/>
    <mergeCell ref="L8:AX8"/>
    <mergeCell ref="L9:AX9"/>
    <mergeCell ref="G28:I28"/>
    <mergeCell ref="G37:I38"/>
    <mergeCell ref="G36:I36"/>
    <mergeCell ref="B53:B54"/>
    <mergeCell ref="E37:E38"/>
    <mergeCell ref="C39:C40"/>
    <mergeCell ref="D39:D40"/>
    <mergeCell ref="E39:E40"/>
    <mergeCell ref="G31:I32"/>
    <mergeCell ref="D48:D49"/>
    <mergeCell ref="E48:E49"/>
    <mergeCell ref="F48:F49"/>
    <mergeCell ref="E46:E47"/>
    <mergeCell ref="F46:F47"/>
    <mergeCell ref="D46:D47"/>
    <mergeCell ref="F39:F40"/>
  </mergeCells>
  <phoneticPr fontId="35" type="noConversion"/>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81A0-B75C-4338-9513-6CC80E5BC8DC}">
  <sheetPr>
    <tabColor theme="8" tint="0.59999389629810485"/>
    <pageSetUpPr autoPageBreaks="0"/>
  </sheetPr>
  <dimension ref="A1:BC47"/>
  <sheetViews>
    <sheetView topLeftCell="AA1" zoomScaleNormal="100" workbookViewId="0">
      <selection activeCell="AM28" sqref="AM28"/>
    </sheetView>
  </sheetViews>
  <sheetFormatPr defaultColWidth="0" defaultRowHeight="13.5" zeroHeight="1"/>
  <cols>
    <col min="1" max="1" width="9" style="152" customWidth="1"/>
    <col min="2" max="2" width="20" style="152" customWidth="1"/>
    <col min="3" max="3" width="46.5703125" style="152" bestFit="1" customWidth="1"/>
    <col min="4" max="4" width="48.5703125" style="152" customWidth="1"/>
    <col min="5" max="5" width="28.28515625" style="152" customWidth="1"/>
    <col min="6" max="6" width="32.28515625" style="152" customWidth="1"/>
    <col min="7" max="10" width="16.5703125" style="152" customWidth="1"/>
    <col min="11" max="11" width="1.28515625" style="152" customWidth="1"/>
    <col min="12" max="22" width="19" style="29" customWidth="1"/>
    <col min="23" max="50" width="19" style="152" customWidth="1"/>
    <col min="51" max="51" width="9" style="58" customWidth="1"/>
    <col min="52" max="52" width="0" style="29" hidden="1" customWidth="1"/>
    <col min="53" max="55" width="0" style="152" hidden="1" customWidth="1"/>
    <col min="56" max="16384" width="9" style="152" hidden="1"/>
  </cols>
  <sheetData>
    <row r="1" spans="1:55" s="21" customFormat="1" ht="12.75" customHeight="1">
      <c r="L1" s="67"/>
      <c r="M1" s="67"/>
      <c r="N1" s="67"/>
      <c r="O1" s="67"/>
      <c r="P1" s="67"/>
      <c r="Q1" s="67"/>
      <c r="R1" s="67"/>
      <c r="S1" s="67"/>
      <c r="T1" s="67"/>
      <c r="U1" s="67"/>
      <c r="V1" s="67"/>
    </row>
    <row r="2" spans="1:55" s="21" customFormat="1" ht="18.75" customHeight="1">
      <c r="B2" s="4" t="s">
        <v>240</v>
      </c>
      <c r="C2" s="4"/>
      <c r="D2" s="4"/>
      <c r="E2" s="4"/>
      <c r="F2" s="4"/>
      <c r="G2" s="4"/>
      <c r="H2" s="4"/>
      <c r="I2" s="4"/>
      <c r="J2" s="4"/>
      <c r="K2" s="4"/>
      <c r="L2" s="67"/>
      <c r="M2" s="67"/>
      <c r="N2" s="67"/>
      <c r="O2" s="67"/>
      <c r="P2" s="67"/>
      <c r="Q2" s="67"/>
      <c r="R2" s="67"/>
      <c r="S2" s="28"/>
      <c r="T2" s="67"/>
      <c r="U2" s="67"/>
      <c r="V2" s="67"/>
    </row>
    <row r="3" spans="1:55" s="24" customFormat="1" ht="12.4">
      <c r="A3" s="67"/>
      <c r="B3" s="235" t="s">
        <v>241</v>
      </c>
      <c r="C3" s="235"/>
      <c r="D3" s="235"/>
      <c r="E3" s="235"/>
      <c r="F3" s="235"/>
      <c r="G3" s="235"/>
      <c r="H3" s="235"/>
      <c r="I3" s="235"/>
      <c r="J3" s="235"/>
      <c r="K3" s="235"/>
      <c r="L3" s="235"/>
      <c r="M3" s="235"/>
      <c r="N3" s="68"/>
      <c r="O3" s="68"/>
      <c r="P3" s="68"/>
      <c r="Q3" s="68"/>
      <c r="R3" s="68"/>
      <c r="S3" s="68"/>
      <c r="T3" s="68"/>
      <c r="U3" s="68"/>
      <c r="V3" s="68"/>
      <c r="W3" s="68"/>
      <c r="X3" s="68"/>
      <c r="Y3" s="68"/>
      <c r="Z3" s="68"/>
      <c r="AA3" s="68"/>
      <c r="AB3" s="68"/>
      <c r="AC3" s="68"/>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row>
    <row r="4" spans="1:55" s="24" customFormat="1" ht="12.75"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row>
    <row r="5" spans="1:55" s="25" customFormat="1" ht="12.75" customHeight="1">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7"/>
      <c r="BB5" s="57"/>
      <c r="BC5" s="57"/>
    </row>
    <row r="6" spans="1:55" s="25" customFormat="1" ht="12.75" customHeight="1">
      <c r="A6" s="58"/>
      <c r="B6" s="40" t="s">
        <v>242</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7"/>
      <c r="BB6" s="57"/>
      <c r="BC6" s="57"/>
    </row>
    <row r="7" spans="1:55" s="25" customFormat="1" ht="12.4">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7"/>
      <c r="BB7" s="57"/>
      <c r="BC7" s="57"/>
    </row>
    <row r="8" spans="1:55" s="25" customFormat="1" ht="12" customHeight="1">
      <c r="A8" s="58"/>
      <c r="B8" s="226" t="s">
        <v>102</v>
      </c>
      <c r="C8" s="245" t="s">
        <v>103</v>
      </c>
      <c r="D8" s="226" t="s">
        <v>49</v>
      </c>
      <c r="E8" s="242" t="s">
        <v>104</v>
      </c>
      <c r="F8" s="226"/>
      <c r="G8" s="236" t="s">
        <v>105</v>
      </c>
      <c r="H8" s="237"/>
      <c r="I8" s="237"/>
      <c r="J8" s="238"/>
      <c r="K8" s="26"/>
      <c r="L8" s="248" t="s">
        <v>106</v>
      </c>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50"/>
      <c r="AY8" s="58"/>
      <c r="AZ8" s="57"/>
      <c r="BA8"/>
      <c r="BB8"/>
      <c r="BC8"/>
    </row>
    <row r="9" spans="1:55" s="25" customFormat="1" ht="54.75" customHeight="1">
      <c r="A9" s="58"/>
      <c r="B9" s="226"/>
      <c r="C9" s="246"/>
      <c r="D9" s="226"/>
      <c r="E9" s="243"/>
      <c r="F9" s="226"/>
      <c r="G9" s="239" t="s">
        <v>107</v>
      </c>
      <c r="H9" s="240"/>
      <c r="I9" s="240"/>
      <c r="J9" s="241"/>
      <c r="K9" s="26"/>
      <c r="L9" s="251" t="s">
        <v>108</v>
      </c>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3"/>
      <c r="AY9" s="58"/>
      <c r="AZ9" s="58"/>
      <c r="BA9" s="57"/>
      <c r="BB9" s="57"/>
      <c r="BC9" s="57"/>
    </row>
    <row r="10" spans="1:55" s="27" customFormat="1" ht="36.75" customHeight="1">
      <c r="A10" s="63"/>
      <c r="B10" s="226"/>
      <c r="C10" s="246"/>
      <c r="D10" s="226"/>
      <c r="E10" s="243"/>
      <c r="F10" s="69" t="s">
        <v>109</v>
      </c>
      <c r="G10" s="70" t="s">
        <v>110</v>
      </c>
      <c r="H10" s="70" t="s">
        <v>111</v>
      </c>
      <c r="I10" s="70" t="s">
        <v>112</v>
      </c>
      <c r="J10" s="70" t="s">
        <v>113</v>
      </c>
      <c r="K10" s="26"/>
      <c r="L10" s="70" t="s">
        <v>114</v>
      </c>
      <c r="M10" s="70" t="s">
        <v>115</v>
      </c>
      <c r="N10" s="70" t="s">
        <v>116</v>
      </c>
      <c r="O10" s="70" t="s">
        <v>117</v>
      </c>
      <c r="P10" s="70" t="s">
        <v>118</v>
      </c>
      <c r="Q10" s="70" t="s">
        <v>119</v>
      </c>
      <c r="R10" s="70" t="s">
        <v>120</v>
      </c>
      <c r="S10" s="70" t="s">
        <v>121</v>
      </c>
      <c r="T10" s="70" t="s">
        <v>122</v>
      </c>
      <c r="U10" s="70" t="s">
        <v>123</v>
      </c>
      <c r="V10" s="70" t="s">
        <v>124</v>
      </c>
      <c r="W10" s="70" t="s">
        <v>125</v>
      </c>
      <c r="X10" s="70" t="s">
        <v>126</v>
      </c>
      <c r="Y10" s="70" t="s">
        <v>127</v>
      </c>
      <c r="Z10" s="70" t="s">
        <v>128</v>
      </c>
      <c r="AA10" s="70" t="s">
        <v>129</v>
      </c>
      <c r="AB10" s="70" t="s">
        <v>130</v>
      </c>
      <c r="AC10" s="70" t="s">
        <v>131</v>
      </c>
      <c r="AD10" s="70" t="s">
        <v>132</v>
      </c>
      <c r="AE10" s="70" t="s">
        <v>133</v>
      </c>
      <c r="AF10" s="70" t="s">
        <v>134</v>
      </c>
      <c r="AG10" s="70" t="s">
        <v>135</v>
      </c>
      <c r="AH10" s="70" t="s">
        <v>136</v>
      </c>
      <c r="AI10" s="70" t="s">
        <v>137</v>
      </c>
      <c r="AJ10" s="70" t="s">
        <v>138</v>
      </c>
      <c r="AK10" s="70" t="s">
        <v>139</v>
      </c>
      <c r="AL10" s="70" t="s">
        <v>140</v>
      </c>
      <c r="AM10" s="70" t="s">
        <v>141</v>
      </c>
      <c r="AN10" s="70" t="s">
        <v>142</v>
      </c>
      <c r="AO10" s="70" t="s">
        <v>143</v>
      </c>
      <c r="AP10" s="70" t="s">
        <v>144</v>
      </c>
      <c r="AQ10" s="70" t="s">
        <v>145</v>
      </c>
      <c r="AR10" s="70" t="s">
        <v>146</v>
      </c>
      <c r="AS10" s="70" t="s">
        <v>147</v>
      </c>
      <c r="AT10" s="70" t="s">
        <v>148</v>
      </c>
      <c r="AU10" s="70" t="s">
        <v>149</v>
      </c>
      <c r="AV10" s="70" t="s">
        <v>150</v>
      </c>
      <c r="AW10" s="70" t="s">
        <v>151</v>
      </c>
      <c r="AX10" s="70" t="s">
        <v>152</v>
      </c>
      <c r="AY10" s="58"/>
      <c r="AZ10" s="58"/>
      <c r="BA10" s="166"/>
      <c r="BB10" s="166"/>
      <c r="BC10" s="166"/>
    </row>
    <row r="11" spans="1:55" s="25" customFormat="1" ht="17.25" customHeight="1">
      <c r="A11" s="58"/>
      <c r="B11" s="226"/>
      <c r="C11" s="246"/>
      <c r="D11" s="226"/>
      <c r="E11" s="243"/>
      <c r="F11" s="71" t="s">
        <v>153</v>
      </c>
      <c r="G11" s="72" t="s">
        <v>154</v>
      </c>
      <c r="H11" s="72" t="s">
        <v>155</v>
      </c>
      <c r="I11" s="72" t="s">
        <v>156</v>
      </c>
      <c r="J11" s="73" t="s">
        <v>157</v>
      </c>
      <c r="K11" s="26"/>
      <c r="L11" s="74" t="s">
        <v>158</v>
      </c>
      <c r="M11" s="72" t="s">
        <v>159</v>
      </c>
      <c r="N11" s="72" t="s">
        <v>160</v>
      </c>
      <c r="O11" s="72" t="s">
        <v>161</v>
      </c>
      <c r="P11" s="72" t="s">
        <v>162</v>
      </c>
      <c r="Q11" s="72" t="s">
        <v>163</v>
      </c>
      <c r="R11" s="72" t="s">
        <v>164</v>
      </c>
      <c r="S11" s="74" t="s">
        <v>165</v>
      </c>
      <c r="T11" s="72" t="s">
        <v>166</v>
      </c>
      <c r="U11" s="72" t="s">
        <v>167</v>
      </c>
      <c r="V11" s="72" t="s">
        <v>168</v>
      </c>
      <c r="W11" s="171" t="s">
        <v>169</v>
      </c>
      <c r="X11" s="72" t="s">
        <v>170</v>
      </c>
      <c r="Y11" s="171" t="s">
        <v>171</v>
      </c>
      <c r="Z11" s="72" t="s">
        <v>172</v>
      </c>
      <c r="AA11" s="73" t="s">
        <v>173</v>
      </c>
      <c r="AB11" s="72" t="s">
        <v>174</v>
      </c>
      <c r="AC11" s="73" t="s">
        <v>175</v>
      </c>
      <c r="AD11" s="72" t="s">
        <v>176</v>
      </c>
      <c r="AE11" s="73" t="s">
        <v>177</v>
      </c>
      <c r="AF11" s="72" t="s">
        <v>178</v>
      </c>
      <c r="AG11" s="73" t="s">
        <v>179</v>
      </c>
      <c r="AH11" s="72" t="s">
        <v>180</v>
      </c>
      <c r="AI11" s="73" t="s">
        <v>181</v>
      </c>
      <c r="AJ11" s="72" t="s">
        <v>182</v>
      </c>
      <c r="AK11" s="73" t="s">
        <v>183</v>
      </c>
      <c r="AL11" s="72" t="s">
        <v>184</v>
      </c>
      <c r="AM11" s="73" t="s">
        <v>185</v>
      </c>
      <c r="AN11" s="72" t="s">
        <v>186</v>
      </c>
      <c r="AO11" s="73" t="s">
        <v>187</v>
      </c>
      <c r="AP11" s="72" t="s">
        <v>188</v>
      </c>
      <c r="AQ11" s="73" t="s">
        <v>189</v>
      </c>
      <c r="AR11" s="72" t="s">
        <v>190</v>
      </c>
      <c r="AS11" s="73" t="s">
        <v>191</v>
      </c>
      <c r="AT11" s="72" t="s">
        <v>192</v>
      </c>
      <c r="AU11" s="73" t="s">
        <v>193</v>
      </c>
      <c r="AV11" s="72" t="s">
        <v>194</v>
      </c>
      <c r="AW11" s="73" t="s">
        <v>195</v>
      </c>
      <c r="AX11" s="72" t="s">
        <v>196</v>
      </c>
      <c r="AY11" s="58"/>
      <c r="AZ11" s="58"/>
      <c r="BA11" s="57"/>
      <c r="BB11" s="57"/>
      <c r="BC11" s="57"/>
    </row>
    <row r="12" spans="1:55" s="25" customFormat="1" ht="19.5" customHeight="1">
      <c r="A12" s="58"/>
      <c r="B12" s="226"/>
      <c r="C12" s="247"/>
      <c r="D12" s="226"/>
      <c r="E12" s="244"/>
      <c r="F12" s="71" t="s">
        <v>197</v>
      </c>
      <c r="G12" s="75" t="s">
        <v>198</v>
      </c>
      <c r="H12" s="72" t="s">
        <v>198</v>
      </c>
      <c r="I12" s="72" t="s">
        <v>199</v>
      </c>
      <c r="J12" s="72" t="s">
        <v>199</v>
      </c>
      <c r="K12" s="26"/>
      <c r="L12" s="72" t="s">
        <v>200</v>
      </c>
      <c r="M12" s="72" t="s">
        <v>201</v>
      </c>
      <c r="N12" s="72" t="s">
        <v>201</v>
      </c>
      <c r="O12" s="72" t="s">
        <v>202</v>
      </c>
      <c r="P12" s="72" t="s">
        <v>202</v>
      </c>
      <c r="Q12" s="72" t="s">
        <v>203</v>
      </c>
      <c r="R12" s="72" t="s">
        <v>203</v>
      </c>
      <c r="S12" s="72" t="s">
        <v>204</v>
      </c>
      <c r="T12" s="72" t="s">
        <v>204</v>
      </c>
      <c r="U12" s="72" t="s">
        <v>205</v>
      </c>
      <c r="V12" s="72" t="s">
        <v>205</v>
      </c>
      <c r="W12" s="72" t="s">
        <v>205</v>
      </c>
      <c r="X12" s="72" t="s">
        <v>206</v>
      </c>
      <c r="Y12" s="72" t="s">
        <v>206</v>
      </c>
      <c r="Z12" s="72" t="s">
        <v>206</v>
      </c>
      <c r="AA12" s="72" t="s">
        <v>206</v>
      </c>
      <c r="AB12" s="72" t="s">
        <v>207</v>
      </c>
      <c r="AC12" s="72" t="s">
        <v>207</v>
      </c>
      <c r="AD12" s="72" t="s">
        <v>207</v>
      </c>
      <c r="AE12" s="72" t="s">
        <v>207</v>
      </c>
      <c r="AF12" s="72" t="s">
        <v>208</v>
      </c>
      <c r="AG12" s="72" t="s">
        <v>208</v>
      </c>
      <c r="AH12" s="72" t="s">
        <v>208</v>
      </c>
      <c r="AI12" s="72" t="s">
        <v>208</v>
      </c>
      <c r="AJ12" s="72" t="s">
        <v>209</v>
      </c>
      <c r="AK12" s="72" t="s">
        <v>209</v>
      </c>
      <c r="AL12" s="72" t="s">
        <v>209</v>
      </c>
      <c r="AM12" s="72" t="s">
        <v>209</v>
      </c>
      <c r="AN12" s="72" t="s">
        <v>210</v>
      </c>
      <c r="AO12" s="72" t="s">
        <v>210</v>
      </c>
      <c r="AP12" s="72" t="s">
        <v>210</v>
      </c>
      <c r="AQ12" s="72" t="s">
        <v>210</v>
      </c>
      <c r="AR12" s="72" t="s">
        <v>211</v>
      </c>
      <c r="AS12" s="72" t="s">
        <v>211</v>
      </c>
      <c r="AT12" s="72" t="s">
        <v>211</v>
      </c>
      <c r="AU12" s="72" t="s">
        <v>211</v>
      </c>
      <c r="AV12" s="72" t="s">
        <v>212</v>
      </c>
      <c r="AW12" s="72" t="s">
        <v>212</v>
      </c>
      <c r="AX12" s="72" t="s">
        <v>212</v>
      </c>
      <c r="AY12" s="58"/>
      <c r="AZ12" s="58"/>
      <c r="BA12" s="57"/>
      <c r="BB12" s="57"/>
      <c r="BC12" s="57"/>
    </row>
    <row r="13" spans="1:55" s="25" customFormat="1" ht="12.4">
      <c r="A13" s="58"/>
      <c r="B13" s="231" t="s">
        <v>243</v>
      </c>
      <c r="C13" s="260" t="s">
        <v>214</v>
      </c>
      <c r="D13" s="52" t="s">
        <v>215</v>
      </c>
      <c r="E13" s="52" t="s">
        <v>216</v>
      </c>
      <c r="F13" s="58"/>
      <c r="G13" s="58"/>
      <c r="H13" s="58"/>
      <c r="I13" s="58"/>
      <c r="J13" s="58"/>
      <c r="K13" s="26"/>
      <c r="L13" s="58"/>
      <c r="M13" s="58"/>
      <c r="N13" s="58"/>
      <c r="O13" s="58"/>
      <c r="P13" s="58"/>
      <c r="Q13" s="58"/>
      <c r="R13" s="58"/>
      <c r="S13" s="58"/>
      <c r="T13" s="58"/>
      <c r="U13" s="58"/>
      <c r="V13" s="58"/>
      <c r="W13" s="58"/>
      <c r="X13" s="58"/>
      <c r="Y13" s="58"/>
      <c r="Z13" s="58"/>
      <c r="AA13" s="58"/>
      <c r="AB13" s="58"/>
      <c r="AC13" s="76">
        <f>IF('2c DCC'!AB54=0,"-",'2c DCC'!AB54)</f>
        <v>15.409187885822385</v>
      </c>
      <c r="AD13" s="76">
        <f>IF('2c DCC'!AC54=0,"-",'2c DCC'!AC54)</f>
        <v>16.459059525170147</v>
      </c>
      <c r="AE13" s="76">
        <f>IF('2c DCC'!AD54=0,"-",'2c DCC'!AD54)</f>
        <v>16.459059525170147</v>
      </c>
      <c r="AF13" s="76">
        <f>IF('2c DCC'!AE54=0,"-",'2c DCC'!AE54)</f>
        <v>15.565561011975618</v>
      </c>
      <c r="AG13" s="76" t="str">
        <f>IF('2c DCC'!AF54=0,"-",'2c DCC'!AF54)</f>
        <v>-</v>
      </c>
      <c r="AH13" s="76" t="str">
        <f>IF('2c DCC'!AG54=0,"-",'2c DCC'!AG54)</f>
        <v>-</v>
      </c>
      <c r="AI13" s="76" t="str">
        <f>IF('2c DCC'!AH54=0,"-",'2c DCC'!AH54)</f>
        <v>-</v>
      </c>
      <c r="AJ13" s="76" t="str">
        <f>IF('2c DCC'!AI54=0,"-",'2c DCC'!AI54)</f>
        <v>-</v>
      </c>
      <c r="AK13" s="76" t="str">
        <f>IF('2c DCC'!AJ54=0,"-",'2c DCC'!AJ54)</f>
        <v>-</v>
      </c>
      <c r="AL13" s="76" t="str">
        <f>IF('2c DCC'!AK54=0,"-",'2c DCC'!AK54)</f>
        <v>-</v>
      </c>
      <c r="AM13" s="76" t="str">
        <f>IF('2c DCC'!AL54=0,"-",'2c DCC'!AL54)</f>
        <v>-</v>
      </c>
      <c r="AN13" s="76" t="str">
        <f>IF('2c DCC'!AM54=0,"-",'2c DCC'!AM54)</f>
        <v>-</v>
      </c>
      <c r="AO13" s="76" t="str">
        <f>IF('2c DCC'!AN54=0,"-",'2c DCC'!AN54)</f>
        <v>-</v>
      </c>
      <c r="AP13" s="76" t="str">
        <f>IF('2c DCC'!AO54=0,"-",'2c DCC'!AO54)</f>
        <v>-</v>
      </c>
      <c r="AQ13" s="76" t="str">
        <f>IF('2c DCC'!AP54=0,"-",'2c DCC'!AP54)</f>
        <v>-</v>
      </c>
      <c r="AR13" s="76" t="str">
        <f>IF('2c DCC'!AQ54=0,"-",'2c DCC'!AQ54)</f>
        <v>-</v>
      </c>
      <c r="AS13" s="76" t="str">
        <f>IF('2c DCC'!AR54=0,"-",'2c DCC'!AR54)</f>
        <v>-</v>
      </c>
      <c r="AT13" s="76" t="str">
        <f>IF('2c DCC'!AS54=0,"-",'2c DCC'!AS54)</f>
        <v>-</v>
      </c>
      <c r="AU13" s="76" t="str">
        <f>IF('2c DCC'!AT54=0,"-",'2c DCC'!AT54)</f>
        <v>-</v>
      </c>
      <c r="AV13" s="76" t="str">
        <f>IF('2c DCC'!AU54=0,"-",'2c DCC'!AU54)</f>
        <v>-</v>
      </c>
      <c r="AW13" s="76" t="str">
        <f>IF('2c DCC'!AV54=0,"-",'2c DCC'!AV54)</f>
        <v>-</v>
      </c>
      <c r="AX13" s="76" t="str">
        <f>IF('2c DCC'!AW54=0,"-",'2c DCC'!AW54)</f>
        <v>-</v>
      </c>
      <c r="AY13" s="58"/>
      <c r="AZ13" s="58"/>
      <c r="BA13" s="57"/>
      <c r="BB13" s="57"/>
      <c r="BC13" s="57"/>
    </row>
    <row r="14" spans="1:55" s="25" customFormat="1" ht="12.4">
      <c r="A14" s="58"/>
      <c r="B14" s="259"/>
      <c r="C14" s="261"/>
      <c r="D14" s="52" t="s">
        <v>217</v>
      </c>
      <c r="E14" s="52" t="s">
        <v>216</v>
      </c>
      <c r="F14" s="58"/>
      <c r="G14" s="58"/>
      <c r="H14" s="58"/>
      <c r="I14" s="58"/>
      <c r="J14" s="58"/>
      <c r="K14" s="26"/>
      <c r="L14" s="58"/>
      <c r="M14" s="58"/>
      <c r="N14" s="58"/>
      <c r="O14" s="58"/>
      <c r="P14" s="58"/>
      <c r="Q14" s="58"/>
      <c r="R14" s="58"/>
      <c r="S14" s="58"/>
      <c r="T14" s="58"/>
      <c r="U14" s="58"/>
      <c r="V14" s="58"/>
      <c r="W14" s="58"/>
      <c r="X14" s="58"/>
      <c r="Y14" s="58"/>
      <c r="Z14" s="58"/>
      <c r="AA14" s="58"/>
      <c r="AB14" s="58"/>
      <c r="AC14" s="76">
        <f>IF('2b SEGB'!AB33=0,"-",'2b SEGB'!AB33)</f>
        <v>0.72171283344925352</v>
      </c>
      <c r="AD14" s="76">
        <f>IF('2b SEGB'!AC33=0,"-",'2b SEGB'!AC33)</f>
        <v>0.72171283344925352</v>
      </c>
      <c r="AE14" s="76">
        <f>IF('2b SEGB'!AD33=0,"-",'2b SEGB'!AD33)</f>
        <v>0.72171283344925352</v>
      </c>
      <c r="AF14" s="76">
        <f>IF('2b SEGB'!AE33=0,"-",'2b SEGB'!AE33)</f>
        <v>0.71892247001039078</v>
      </c>
      <c r="AG14" s="76" t="str">
        <f>IF('2b SEGB'!AF33=0,"-",'2b SEGB'!AF33)</f>
        <v>-</v>
      </c>
      <c r="AH14" s="76" t="str">
        <f>IF('2b SEGB'!AG33=0,"-",'2b SEGB'!AG33)</f>
        <v>-</v>
      </c>
      <c r="AI14" s="76" t="str">
        <f>IF('2b SEGB'!AH33=0,"-",'2b SEGB'!AH33)</f>
        <v>-</v>
      </c>
      <c r="AJ14" s="76" t="str">
        <f>IF('2b SEGB'!AI33=0,"-",'2b SEGB'!AI33)</f>
        <v>-</v>
      </c>
      <c r="AK14" s="76" t="str">
        <f>IF('2b SEGB'!AJ33=0,"-",'2b SEGB'!AJ33)</f>
        <v>-</v>
      </c>
      <c r="AL14" s="76" t="str">
        <f>IF('2b SEGB'!AK33=0,"-",'2b SEGB'!AK33)</f>
        <v>-</v>
      </c>
      <c r="AM14" s="76" t="str">
        <f>IF('2b SEGB'!AL33=0,"-",'2b SEGB'!AL33)</f>
        <v>-</v>
      </c>
      <c r="AN14" s="76" t="str">
        <f>IF('2b SEGB'!AM33=0,"-",'2b SEGB'!AM33)</f>
        <v>-</v>
      </c>
      <c r="AO14" s="76" t="str">
        <f>IF('2b SEGB'!AN33=0,"-",'2b SEGB'!AN33)</f>
        <v>-</v>
      </c>
      <c r="AP14" s="76" t="str">
        <f>IF('2b SEGB'!AO33=0,"-",'2b SEGB'!AO33)</f>
        <v>-</v>
      </c>
      <c r="AQ14" s="76" t="str">
        <f>IF('2b SEGB'!AP33=0,"-",'2b SEGB'!AP33)</f>
        <v>-</v>
      </c>
      <c r="AR14" s="76" t="str">
        <f>IF('2b SEGB'!AQ33=0,"-",'2b SEGB'!AQ33)</f>
        <v>-</v>
      </c>
      <c r="AS14" s="76" t="str">
        <f>IF('2b SEGB'!AR33=0,"-",'2b SEGB'!AR33)</f>
        <v>-</v>
      </c>
      <c r="AT14" s="76" t="str">
        <f>IF('2b SEGB'!AS33=0,"-",'2b SEGB'!AS33)</f>
        <v>-</v>
      </c>
      <c r="AU14" s="76" t="str">
        <f>IF('2b SEGB'!AT33=0,"-",'2b SEGB'!AT33)</f>
        <v>-</v>
      </c>
      <c r="AV14" s="76" t="str">
        <f>IF('2b SEGB'!AU33=0,"-",'2b SEGB'!AU33)</f>
        <v>-</v>
      </c>
      <c r="AW14" s="76" t="str">
        <f>IF('2b SEGB'!AV33=0,"-",'2b SEGB'!AV33)</f>
        <v>-</v>
      </c>
      <c r="AX14" s="76" t="str">
        <f>IF('2b SEGB'!AW33=0,"-",'2b SEGB'!AW33)</f>
        <v>-</v>
      </c>
      <c r="AY14" s="58"/>
      <c r="AZ14" s="58"/>
      <c r="BA14" s="57"/>
      <c r="BB14" s="57"/>
      <c r="BC14" s="57"/>
    </row>
    <row r="15" spans="1:55" s="25" customFormat="1" ht="12.4">
      <c r="A15" s="58"/>
      <c r="B15" s="259"/>
      <c r="C15" s="261"/>
      <c r="D15" s="52" t="s">
        <v>244</v>
      </c>
      <c r="E15" s="52" t="s">
        <v>216</v>
      </c>
      <c r="F15" s="58"/>
      <c r="G15" s="58"/>
      <c r="H15" s="58"/>
      <c r="I15" s="58"/>
      <c r="J15" s="58"/>
      <c r="K15" s="26"/>
      <c r="L15" s="58"/>
      <c r="M15" s="58"/>
      <c r="N15" s="58"/>
      <c r="O15" s="58"/>
      <c r="P15" s="58"/>
      <c r="Q15" s="58"/>
      <c r="R15" s="58"/>
      <c r="S15" s="58"/>
      <c r="T15" s="58"/>
      <c r="U15" s="58"/>
      <c r="V15" s="58"/>
      <c r="W15" s="58"/>
      <c r="X15" s="58"/>
      <c r="Y15" s="58"/>
      <c r="Z15" s="58"/>
      <c r="AA15" s="58"/>
      <c r="AB15" s="58"/>
      <c r="AC15" s="76">
        <f>IF('2h Elexon'!AB20=0, "-", '2h Elexon'!AB20)</f>
        <v>1.0321261682242993</v>
      </c>
      <c r="AD15" s="76">
        <f>IF('2h Elexon'!AC20=0, "-", '2h Elexon'!AC20)</f>
        <v>1.1023831775700934</v>
      </c>
      <c r="AE15" s="76">
        <f>IF('2h Elexon'!AD20=0, "-", '2h Elexon'!AD20)</f>
        <v>1.1023831775700934</v>
      </c>
      <c r="AF15" s="76">
        <f>IF('2h Elexon'!AE20=0, "-", '2h Elexon'!AE20)</f>
        <v>1.0735930735930737</v>
      </c>
      <c r="AG15" s="76" t="str">
        <f>IF('2h Elexon'!AF20=0, "-", '2h Elexon'!AF20)</f>
        <v>-</v>
      </c>
      <c r="AH15" s="76" t="str">
        <f>IF('2h Elexon'!AG20=0, "-", '2h Elexon'!AG20)</f>
        <v>-</v>
      </c>
      <c r="AI15" s="76" t="str">
        <f>IF('2h Elexon'!AH20=0, "-", '2h Elexon'!AH20)</f>
        <v>-</v>
      </c>
      <c r="AJ15" s="76" t="str">
        <f>IF('2h Elexon'!AI20=0, "-", '2h Elexon'!AI20)</f>
        <v>-</v>
      </c>
      <c r="AK15" s="76" t="str">
        <f>IF('2h Elexon'!AJ20=0, "-", '2h Elexon'!AJ20)</f>
        <v>-</v>
      </c>
      <c r="AL15" s="76" t="str">
        <f>IF('2h Elexon'!AK20=0, "-", '2h Elexon'!AK20)</f>
        <v>-</v>
      </c>
      <c r="AM15" s="76" t="str">
        <f>IF('2h Elexon'!AL20=0, "-", '2h Elexon'!AL20)</f>
        <v>-</v>
      </c>
      <c r="AN15" s="76" t="str">
        <f>IF('2h Elexon'!AM20=0, "-", '2h Elexon'!AM20)</f>
        <v>-</v>
      </c>
      <c r="AO15" s="76" t="str">
        <f>IF('2h Elexon'!AN20=0, "-", '2h Elexon'!AN20)</f>
        <v>-</v>
      </c>
      <c r="AP15" s="76" t="str">
        <f>IF('2h Elexon'!AO20=0, "-", '2h Elexon'!AO20)</f>
        <v>-</v>
      </c>
      <c r="AQ15" s="76" t="str">
        <f>IF('2h Elexon'!AP20=0, "-", '2h Elexon'!AP20)</f>
        <v>-</v>
      </c>
      <c r="AR15" s="76" t="str">
        <f>IF('2h Elexon'!AQ20=0, "-", '2h Elexon'!AQ20)</f>
        <v>-</v>
      </c>
      <c r="AS15" s="76" t="str">
        <f>IF('2h Elexon'!AR20=0, "-", '2h Elexon'!AR20)</f>
        <v>-</v>
      </c>
      <c r="AT15" s="76" t="str">
        <f>IF('2h Elexon'!AS20=0, "-", '2h Elexon'!AS20)</f>
        <v>-</v>
      </c>
      <c r="AU15" s="76" t="str">
        <f>IF('2h Elexon'!AT20=0, "-", '2h Elexon'!AT20)</f>
        <v>-</v>
      </c>
      <c r="AV15" s="76" t="str">
        <f>IF('2h Elexon'!AU20=0, "-", '2h Elexon'!AU20)</f>
        <v>-</v>
      </c>
      <c r="AW15" s="76" t="str">
        <f>IF('2h Elexon'!AV20=0, "-", '2h Elexon'!AV20)</f>
        <v>-</v>
      </c>
      <c r="AX15" s="76" t="str">
        <f>IF('2h Elexon'!AW20=0, "-", '2h Elexon'!AW20)</f>
        <v>-</v>
      </c>
      <c r="AY15" s="58"/>
      <c r="AZ15" s="58"/>
      <c r="BA15" s="57"/>
      <c r="BB15" s="57"/>
      <c r="BC15" s="57"/>
    </row>
    <row r="16" spans="1:55" s="25" customFormat="1" ht="12.4">
      <c r="A16" s="58"/>
      <c r="B16" s="259"/>
      <c r="C16" s="261"/>
      <c r="D16" s="52" t="s">
        <v>245</v>
      </c>
      <c r="E16" s="52" t="s">
        <v>216</v>
      </c>
      <c r="F16" s="58"/>
      <c r="G16" s="58"/>
      <c r="H16" s="58"/>
      <c r="I16" s="58"/>
      <c r="J16" s="58"/>
      <c r="K16" s="26"/>
      <c r="L16" s="58"/>
      <c r="M16" s="58"/>
      <c r="N16" s="58"/>
      <c r="O16" s="58"/>
      <c r="P16" s="58"/>
      <c r="Q16" s="58"/>
      <c r="R16" s="58"/>
      <c r="S16" s="58"/>
      <c r="T16" s="58"/>
      <c r="U16" s="58"/>
      <c r="V16" s="58"/>
      <c r="W16" s="58"/>
      <c r="X16" s="58"/>
      <c r="Y16" s="58"/>
      <c r="Z16" s="58"/>
      <c r="AA16" s="58"/>
      <c r="AB16" s="58"/>
      <c r="AC16" s="76">
        <f>IF('2j RECCo'!AB15=0, "-", '2j RECCo'!AB15)</f>
        <v>0.88200000000000001</v>
      </c>
      <c r="AD16" s="76">
        <f>IF('2j RECCo'!AC15=0, "-", '2j RECCo'!AC15)</f>
        <v>0.88200000000000001</v>
      </c>
      <c r="AE16" s="76">
        <f>IF('2j RECCo'!AD15=0, "-", '2j RECCo'!AD15)</f>
        <v>0.88200000000000001</v>
      </c>
      <c r="AF16" s="76">
        <f>IF('2j RECCo'!AE15=0, "-", '2j RECCo'!AE15)</f>
        <v>1.139</v>
      </c>
      <c r="AG16" s="76" t="str">
        <f>IF('2j RECCo'!AF15=0, "-", '2j RECCo'!AF15)</f>
        <v>-</v>
      </c>
      <c r="AH16" s="76" t="str">
        <f>IF('2j RECCo'!AG15=0, "-", '2j RECCo'!AG15)</f>
        <v>-</v>
      </c>
      <c r="AI16" s="76" t="str">
        <f>IF('2j RECCo'!AH15=0, "-", '2j RECCo'!AH15)</f>
        <v>-</v>
      </c>
      <c r="AJ16" s="76" t="str">
        <f>IF('2j RECCo'!AI15=0, "-", '2j RECCo'!AI15)</f>
        <v>-</v>
      </c>
      <c r="AK16" s="76" t="str">
        <f>IF('2j RECCo'!AJ15=0, "-", '2j RECCo'!AJ15)</f>
        <v>-</v>
      </c>
      <c r="AL16" s="76" t="str">
        <f>IF('2j RECCo'!AK15=0, "-", '2j RECCo'!AK15)</f>
        <v>-</v>
      </c>
      <c r="AM16" s="76" t="str">
        <f>IF('2j RECCo'!AL15=0, "-", '2j RECCo'!AL15)</f>
        <v>-</v>
      </c>
      <c r="AN16" s="76" t="str">
        <f>IF('2j RECCo'!AM15=0, "-", '2j RECCo'!AM15)</f>
        <v>-</v>
      </c>
      <c r="AO16" s="76" t="str">
        <f>IF('2j RECCo'!AN15=0, "-", '2j RECCo'!AN15)</f>
        <v>-</v>
      </c>
      <c r="AP16" s="76" t="str">
        <f>IF('2j RECCo'!AO15=0, "-", '2j RECCo'!AO15)</f>
        <v>-</v>
      </c>
      <c r="AQ16" s="76" t="str">
        <f>IF('2j RECCo'!AP15=0, "-", '2j RECCo'!AP15)</f>
        <v>-</v>
      </c>
      <c r="AR16" s="76" t="str">
        <f>IF('2j RECCo'!AQ15=0, "-", '2j RECCo'!AQ15)</f>
        <v>-</v>
      </c>
      <c r="AS16" s="76" t="str">
        <f>IF('2j RECCo'!AR15=0, "-", '2j RECCo'!AR15)</f>
        <v>-</v>
      </c>
      <c r="AT16" s="76" t="str">
        <f>IF('2j RECCo'!AS15=0, "-", '2j RECCo'!AS15)</f>
        <v>-</v>
      </c>
      <c r="AU16" s="76" t="str">
        <f>IF('2j RECCo'!AT15=0, "-", '2j RECCo'!AT15)</f>
        <v>-</v>
      </c>
      <c r="AV16" s="76" t="str">
        <f>IF('2j RECCo'!AU15=0, "-", '2j RECCo'!AU15)</f>
        <v>-</v>
      </c>
      <c r="AW16" s="76" t="str">
        <f>IF('2j RECCo'!AV15=0, "-", '2j RECCo'!AV15)</f>
        <v>-</v>
      </c>
      <c r="AX16" s="76" t="str">
        <f>IF('2j RECCo'!AW15=0, "-", '2j RECCo'!AW15)</f>
        <v>-</v>
      </c>
      <c r="AY16" s="58"/>
      <c r="AZ16" s="58"/>
      <c r="BA16" s="57"/>
      <c r="BB16" s="57"/>
      <c r="BC16" s="57"/>
    </row>
    <row r="17" spans="1:55" s="25" customFormat="1" ht="12.4">
      <c r="A17" s="58"/>
      <c r="B17" s="259"/>
      <c r="C17" s="261"/>
      <c r="D17" s="52" t="s">
        <v>246</v>
      </c>
      <c r="E17" s="52" t="s">
        <v>216</v>
      </c>
      <c r="F17" s="58"/>
      <c r="G17" s="58"/>
      <c r="H17" s="58"/>
      <c r="I17" s="58"/>
      <c r="J17" s="58"/>
      <c r="K17" s="26"/>
      <c r="L17" s="58"/>
      <c r="M17" s="58"/>
      <c r="N17" s="58"/>
      <c r="O17" s="58"/>
      <c r="P17" s="58"/>
      <c r="Q17" s="58"/>
      <c r="R17" s="58"/>
      <c r="S17" s="58"/>
      <c r="T17" s="58"/>
      <c r="U17" s="58"/>
      <c r="V17" s="58"/>
      <c r="W17" s="58"/>
      <c r="X17" s="58"/>
      <c r="Y17" s="58"/>
      <c r="Z17" s="58"/>
      <c r="AA17" s="58"/>
      <c r="AB17" s="58"/>
      <c r="AC17" s="76">
        <f>IF('2k DCUSA'!AB15=0, "-", '2k DCUSA'!AB15)</f>
        <v>3.8331584475393754E-2</v>
      </c>
      <c r="AD17" s="76">
        <f>IF('2k DCUSA'!AC15=0, "-", '2k DCUSA'!AC15)</f>
        <v>3.8331584475393754E-2</v>
      </c>
      <c r="AE17" s="76">
        <f>IF('2k DCUSA'!AD15=0, "-", '2k DCUSA'!AD15)</f>
        <v>3.8331584475393754E-2</v>
      </c>
      <c r="AF17" s="76">
        <f>IF('2k DCUSA'!AE15=0, "-", '2k DCUSA'!AE15)</f>
        <v>5.0438279099097851E-2</v>
      </c>
      <c r="AG17" s="76" t="str">
        <f>IF('2k DCUSA'!AF15=0, "-", '2k DCUSA'!AF15)</f>
        <v>-</v>
      </c>
      <c r="AH17" s="76" t="str">
        <f>IF('2k DCUSA'!AG15=0, "-", '2k DCUSA'!AG15)</f>
        <v>-</v>
      </c>
      <c r="AI17" s="76" t="str">
        <f>IF('2k DCUSA'!AH15=0, "-", '2k DCUSA'!AH15)</f>
        <v>-</v>
      </c>
      <c r="AJ17" s="76" t="str">
        <f>IF('2k DCUSA'!AI15=0, "-", '2k DCUSA'!AI15)</f>
        <v>-</v>
      </c>
      <c r="AK17" s="76" t="str">
        <f>IF('2k DCUSA'!AJ15=0, "-", '2k DCUSA'!AJ15)</f>
        <v>-</v>
      </c>
      <c r="AL17" s="76" t="str">
        <f>IF('2k DCUSA'!AK15=0, "-", '2k DCUSA'!AK15)</f>
        <v>-</v>
      </c>
      <c r="AM17" s="76" t="str">
        <f>IF('2k DCUSA'!AL15=0, "-", '2k DCUSA'!AL15)</f>
        <v>-</v>
      </c>
      <c r="AN17" s="76" t="str">
        <f>IF('2k DCUSA'!AM15=0, "-", '2k DCUSA'!AM15)</f>
        <v>-</v>
      </c>
      <c r="AO17" s="76" t="str">
        <f>IF('2k DCUSA'!AN15=0, "-", '2k DCUSA'!AN15)</f>
        <v>-</v>
      </c>
      <c r="AP17" s="76" t="str">
        <f>IF('2k DCUSA'!AO15=0, "-", '2k DCUSA'!AO15)</f>
        <v>-</v>
      </c>
      <c r="AQ17" s="76" t="str">
        <f>IF('2k DCUSA'!AP15=0, "-", '2k DCUSA'!AP15)</f>
        <v>-</v>
      </c>
      <c r="AR17" s="76" t="str">
        <f>IF('2k DCUSA'!AQ15=0, "-", '2k DCUSA'!AQ15)</f>
        <v>-</v>
      </c>
      <c r="AS17" s="76" t="str">
        <f>IF('2k DCUSA'!AR15=0, "-", '2k DCUSA'!AR15)</f>
        <v>-</v>
      </c>
      <c r="AT17" s="76" t="str">
        <f>IF('2k DCUSA'!AS15=0, "-", '2k DCUSA'!AS15)</f>
        <v>-</v>
      </c>
      <c r="AU17" s="76" t="str">
        <f>IF('2k DCUSA'!AT15=0, "-", '2k DCUSA'!AT15)</f>
        <v>-</v>
      </c>
      <c r="AV17" s="76" t="str">
        <f>IF('2k DCUSA'!AU15=0, "-", '2k DCUSA'!AU15)</f>
        <v>-</v>
      </c>
      <c r="AW17" s="76" t="str">
        <f>IF('2k DCUSA'!AV15=0, "-", '2k DCUSA'!AV15)</f>
        <v>-</v>
      </c>
      <c r="AX17" s="76" t="str">
        <f>IF('2k DCUSA'!AW15=0, "-", '2k DCUSA'!AW15)</f>
        <v>-</v>
      </c>
      <c r="AY17" s="58"/>
      <c r="AZ17" s="58"/>
      <c r="BA17" s="57"/>
      <c r="BB17" s="57"/>
      <c r="BC17" s="57"/>
    </row>
    <row r="18" spans="1:55" s="25" customFormat="1" ht="12.4">
      <c r="A18" s="58"/>
      <c r="B18" s="259"/>
      <c r="C18" s="261"/>
      <c r="D18" s="187" t="s">
        <v>219</v>
      </c>
      <c r="E18" s="187" t="s">
        <v>216</v>
      </c>
      <c r="F18" s="58"/>
      <c r="G18" s="58"/>
      <c r="H18" s="58"/>
      <c r="I18" s="58"/>
      <c r="J18" s="58"/>
      <c r="K18" s="26"/>
      <c r="L18" s="58"/>
      <c r="M18" s="58"/>
      <c r="N18" s="58"/>
      <c r="O18" s="58"/>
      <c r="P18" s="58"/>
      <c r="Q18" s="58"/>
      <c r="R18" s="58"/>
      <c r="S18" s="58"/>
      <c r="T18" s="58"/>
      <c r="U18" s="58"/>
      <c r="V18" s="58"/>
      <c r="W18" s="58"/>
      <c r="X18" s="58"/>
      <c r="Y18" s="58"/>
      <c r="Z18" s="58"/>
      <c r="AA18" s="58"/>
      <c r="AB18" s="58"/>
      <c r="AC18" s="76">
        <f t="shared" ref="AC18:AX18" si="0">IF(SUM(AC13:AC17)=0, "-", SUM(AC13:AC17))</f>
        <v>18.083358471971334</v>
      </c>
      <c r="AD18" s="76">
        <f t="shared" si="0"/>
        <v>19.203487120664889</v>
      </c>
      <c r="AE18" s="76">
        <f t="shared" si="0"/>
        <v>19.203487120664889</v>
      </c>
      <c r="AF18" s="76">
        <f t="shared" si="0"/>
        <v>18.547514834678179</v>
      </c>
      <c r="AG18" s="76" t="str">
        <f t="shared" si="0"/>
        <v>-</v>
      </c>
      <c r="AH18" s="76" t="str">
        <f t="shared" si="0"/>
        <v>-</v>
      </c>
      <c r="AI18" s="76" t="str">
        <f t="shared" si="0"/>
        <v>-</v>
      </c>
      <c r="AJ18" s="76" t="str">
        <f t="shared" si="0"/>
        <v>-</v>
      </c>
      <c r="AK18" s="76" t="str">
        <f t="shared" si="0"/>
        <v>-</v>
      </c>
      <c r="AL18" s="76" t="str">
        <f t="shared" si="0"/>
        <v>-</v>
      </c>
      <c r="AM18" s="76" t="str">
        <f t="shared" si="0"/>
        <v>-</v>
      </c>
      <c r="AN18" s="76" t="str">
        <f t="shared" si="0"/>
        <v>-</v>
      </c>
      <c r="AO18" s="76" t="str">
        <f t="shared" si="0"/>
        <v>-</v>
      </c>
      <c r="AP18" s="76" t="str">
        <f t="shared" si="0"/>
        <v>-</v>
      </c>
      <c r="AQ18" s="76" t="str">
        <f t="shared" si="0"/>
        <v>-</v>
      </c>
      <c r="AR18" s="76" t="str">
        <f t="shared" si="0"/>
        <v>-</v>
      </c>
      <c r="AS18" s="76" t="str">
        <f t="shared" si="0"/>
        <v>-</v>
      </c>
      <c r="AT18" s="76" t="str">
        <f t="shared" si="0"/>
        <v>-</v>
      </c>
      <c r="AU18" s="76" t="str">
        <f t="shared" si="0"/>
        <v>-</v>
      </c>
      <c r="AV18" s="76" t="str">
        <f t="shared" si="0"/>
        <v>-</v>
      </c>
      <c r="AW18" s="76" t="str">
        <f t="shared" si="0"/>
        <v>-</v>
      </c>
      <c r="AX18" s="76" t="str">
        <f t="shared" si="0"/>
        <v>-</v>
      </c>
      <c r="AY18" s="58"/>
      <c r="AZ18" s="58"/>
      <c r="BA18" s="57"/>
      <c r="BB18" s="57"/>
      <c r="BC18" s="57"/>
    </row>
    <row r="19" spans="1:55" s="25" customFormat="1" ht="12.4">
      <c r="A19" s="58"/>
      <c r="B19" s="231" t="s">
        <v>247</v>
      </c>
      <c r="C19" s="260" t="s">
        <v>214</v>
      </c>
      <c r="D19" s="52" t="s">
        <v>215</v>
      </c>
      <c r="E19" s="52" t="s">
        <v>216</v>
      </c>
      <c r="F19" s="58"/>
      <c r="G19" s="58"/>
      <c r="H19" s="58"/>
      <c r="I19" s="58"/>
      <c r="J19" s="58"/>
      <c r="K19" s="26"/>
      <c r="L19" s="58"/>
      <c r="M19" s="58"/>
      <c r="N19" s="58"/>
      <c r="O19" s="58"/>
      <c r="P19" s="58"/>
      <c r="Q19" s="58"/>
      <c r="R19" s="58"/>
      <c r="S19" s="58"/>
      <c r="T19" s="58"/>
      <c r="U19" s="58"/>
      <c r="V19" s="58"/>
      <c r="W19" s="58"/>
      <c r="X19" s="58"/>
      <c r="Y19" s="58"/>
      <c r="Z19" s="58"/>
      <c r="AA19" s="58"/>
      <c r="AB19" s="58"/>
      <c r="AC19" s="76">
        <f>IF('2c DCC'!AB54=0,"-",'2c DCC'!AB54)</f>
        <v>15.409187885822385</v>
      </c>
      <c r="AD19" s="76">
        <f>IF('2c DCC'!AC54=0,"-",'2c DCC'!AC54)</f>
        <v>16.459059525170147</v>
      </c>
      <c r="AE19" s="76">
        <f>IF('2c DCC'!AD54=0,"-",'2c DCC'!AD54)</f>
        <v>16.459059525170147</v>
      </c>
      <c r="AF19" s="76">
        <f>IF('2c DCC'!AE54=0,"-",'2c DCC'!AE54)</f>
        <v>15.565561011975618</v>
      </c>
      <c r="AG19" s="76" t="str">
        <f>IF('2c DCC'!AF54=0,"-",'2c DCC'!AF54)</f>
        <v>-</v>
      </c>
      <c r="AH19" s="76" t="str">
        <f>IF('2c DCC'!AG54=0,"-",'2c DCC'!AG54)</f>
        <v>-</v>
      </c>
      <c r="AI19" s="76" t="str">
        <f>IF('2c DCC'!AH54=0,"-",'2c DCC'!AH54)</f>
        <v>-</v>
      </c>
      <c r="AJ19" s="76" t="str">
        <f>IF('2c DCC'!AI54=0,"-",'2c DCC'!AI54)</f>
        <v>-</v>
      </c>
      <c r="AK19" s="76" t="str">
        <f>IF('2c DCC'!AJ54=0,"-",'2c DCC'!AJ54)</f>
        <v>-</v>
      </c>
      <c r="AL19" s="76" t="str">
        <f>IF('2c DCC'!AK54=0,"-",'2c DCC'!AK54)</f>
        <v>-</v>
      </c>
      <c r="AM19" s="76" t="str">
        <f>IF('2c DCC'!AL54=0,"-",'2c DCC'!AL54)</f>
        <v>-</v>
      </c>
      <c r="AN19" s="76" t="str">
        <f>IF('2c DCC'!AM54=0,"-",'2c DCC'!AM54)</f>
        <v>-</v>
      </c>
      <c r="AO19" s="76" t="str">
        <f>IF('2c DCC'!AN54=0,"-",'2c DCC'!AN54)</f>
        <v>-</v>
      </c>
      <c r="AP19" s="76" t="str">
        <f>IF('2c DCC'!AO54=0,"-",'2c DCC'!AO54)</f>
        <v>-</v>
      </c>
      <c r="AQ19" s="76" t="str">
        <f>IF('2c DCC'!AP54=0,"-",'2c DCC'!AP54)</f>
        <v>-</v>
      </c>
      <c r="AR19" s="76" t="str">
        <f>IF('2c DCC'!AQ54=0,"-",'2c DCC'!AQ54)</f>
        <v>-</v>
      </c>
      <c r="AS19" s="76" t="str">
        <f>IF('2c DCC'!AR54=0,"-",'2c DCC'!AR54)</f>
        <v>-</v>
      </c>
      <c r="AT19" s="76" t="str">
        <f>IF('2c DCC'!AS54=0,"-",'2c DCC'!AS54)</f>
        <v>-</v>
      </c>
      <c r="AU19" s="76" t="str">
        <f>IF('2c DCC'!AT54=0,"-",'2c DCC'!AT54)</f>
        <v>-</v>
      </c>
      <c r="AV19" s="76" t="str">
        <f>IF('2c DCC'!AU54=0,"-",'2c DCC'!AU54)</f>
        <v>-</v>
      </c>
      <c r="AW19" s="76" t="str">
        <f>IF('2c DCC'!AV54=0,"-",'2c DCC'!AV54)</f>
        <v>-</v>
      </c>
      <c r="AX19" s="76" t="str">
        <f>IF('2c DCC'!AW54=0,"-",'2c DCC'!AW54)</f>
        <v>-</v>
      </c>
      <c r="AY19" s="58"/>
      <c r="AZ19" s="58"/>
      <c r="BA19" s="57"/>
      <c r="BB19" s="57"/>
      <c r="BC19" s="57"/>
    </row>
    <row r="20" spans="1:55" s="25" customFormat="1" ht="12.4">
      <c r="A20" s="58"/>
      <c r="B20" s="259"/>
      <c r="C20" s="261"/>
      <c r="D20" s="52" t="s">
        <v>217</v>
      </c>
      <c r="E20" s="52" t="s">
        <v>216</v>
      </c>
      <c r="F20" s="58"/>
      <c r="G20" s="58"/>
      <c r="H20" s="58"/>
      <c r="I20" s="58"/>
      <c r="J20" s="58"/>
      <c r="K20" s="26"/>
      <c r="L20" s="58"/>
      <c r="M20" s="58"/>
      <c r="N20" s="58"/>
      <c r="O20" s="58"/>
      <c r="P20" s="58"/>
      <c r="Q20" s="58"/>
      <c r="R20" s="58"/>
      <c r="S20" s="58"/>
      <c r="T20" s="58"/>
      <c r="U20" s="58"/>
      <c r="V20" s="58"/>
      <c r="W20" s="58"/>
      <c r="X20" s="58"/>
      <c r="Y20" s="58"/>
      <c r="Z20" s="58"/>
      <c r="AA20" s="58"/>
      <c r="AB20" s="58"/>
      <c r="AC20" s="76">
        <f>IF('2b SEGB'!AB33=0,"-",'2b SEGB'!AB33)</f>
        <v>0.72171283344925352</v>
      </c>
      <c r="AD20" s="76">
        <f>IF('2b SEGB'!AC33=0,"-",'2b SEGB'!AC33)</f>
        <v>0.72171283344925352</v>
      </c>
      <c r="AE20" s="76">
        <f>IF('2b SEGB'!AD33=0,"-",'2b SEGB'!AD33)</f>
        <v>0.72171283344925352</v>
      </c>
      <c r="AF20" s="76">
        <f>IF('2b SEGB'!AE33=0,"-",'2b SEGB'!AE33)</f>
        <v>0.71892247001039078</v>
      </c>
      <c r="AG20" s="76" t="str">
        <f>IF('2b SEGB'!AF33=0,"-",'2b SEGB'!AF33)</f>
        <v>-</v>
      </c>
      <c r="AH20" s="76" t="str">
        <f>IF('2b SEGB'!AG33=0,"-",'2b SEGB'!AG33)</f>
        <v>-</v>
      </c>
      <c r="AI20" s="76" t="str">
        <f>IF('2b SEGB'!AH33=0,"-",'2b SEGB'!AH33)</f>
        <v>-</v>
      </c>
      <c r="AJ20" s="76" t="str">
        <f>IF('2b SEGB'!AI33=0,"-",'2b SEGB'!AI33)</f>
        <v>-</v>
      </c>
      <c r="AK20" s="76" t="str">
        <f>IF('2b SEGB'!AJ33=0,"-",'2b SEGB'!AJ33)</f>
        <v>-</v>
      </c>
      <c r="AL20" s="76" t="str">
        <f>IF('2b SEGB'!AK33=0,"-",'2b SEGB'!AK33)</f>
        <v>-</v>
      </c>
      <c r="AM20" s="76" t="str">
        <f>IF('2b SEGB'!AL33=0,"-",'2b SEGB'!AL33)</f>
        <v>-</v>
      </c>
      <c r="AN20" s="76" t="str">
        <f>IF('2b SEGB'!AM33=0,"-",'2b SEGB'!AM33)</f>
        <v>-</v>
      </c>
      <c r="AO20" s="76" t="str">
        <f>IF('2b SEGB'!AN33=0,"-",'2b SEGB'!AN33)</f>
        <v>-</v>
      </c>
      <c r="AP20" s="76" t="str">
        <f>IF('2b SEGB'!AO33=0,"-",'2b SEGB'!AO33)</f>
        <v>-</v>
      </c>
      <c r="AQ20" s="76" t="str">
        <f>IF('2b SEGB'!AP33=0,"-",'2b SEGB'!AP33)</f>
        <v>-</v>
      </c>
      <c r="AR20" s="76" t="str">
        <f>IF('2b SEGB'!AQ33=0,"-",'2b SEGB'!AQ33)</f>
        <v>-</v>
      </c>
      <c r="AS20" s="76" t="str">
        <f>IF('2b SEGB'!AR33=0,"-",'2b SEGB'!AR33)</f>
        <v>-</v>
      </c>
      <c r="AT20" s="76" t="str">
        <f>IF('2b SEGB'!AS33=0,"-",'2b SEGB'!AS33)</f>
        <v>-</v>
      </c>
      <c r="AU20" s="76" t="str">
        <f>IF('2b SEGB'!AT33=0,"-",'2b SEGB'!AT33)</f>
        <v>-</v>
      </c>
      <c r="AV20" s="76" t="str">
        <f>IF('2b SEGB'!AU33=0,"-",'2b SEGB'!AU33)</f>
        <v>-</v>
      </c>
      <c r="AW20" s="76" t="str">
        <f>IF('2b SEGB'!AV33=0,"-",'2b SEGB'!AV33)</f>
        <v>-</v>
      </c>
      <c r="AX20" s="76" t="str">
        <f>IF('2b SEGB'!AW33=0,"-",'2b SEGB'!AW33)</f>
        <v>-</v>
      </c>
      <c r="AY20" s="58"/>
      <c r="AZ20" s="58"/>
      <c r="BA20" s="57"/>
      <c r="BB20" s="57"/>
      <c r="BC20" s="57"/>
    </row>
    <row r="21" spans="1:55" s="25" customFormat="1" ht="12.4">
      <c r="A21" s="58"/>
      <c r="B21" s="259"/>
      <c r="C21" s="261"/>
      <c r="D21" s="52" t="s">
        <v>244</v>
      </c>
      <c r="E21" s="52" t="s">
        <v>216</v>
      </c>
      <c r="F21" s="58"/>
      <c r="G21" s="58"/>
      <c r="H21" s="58"/>
      <c r="I21" s="58"/>
      <c r="J21" s="58"/>
      <c r="K21" s="26"/>
      <c r="L21" s="58"/>
      <c r="M21" s="58"/>
      <c r="N21" s="58"/>
      <c r="O21" s="58"/>
      <c r="P21" s="58"/>
      <c r="Q21" s="58"/>
      <c r="R21" s="58"/>
      <c r="S21" s="58"/>
      <c r="T21" s="58"/>
      <c r="U21" s="58"/>
      <c r="V21" s="58"/>
      <c r="W21" s="58"/>
      <c r="X21" s="58"/>
      <c r="Y21" s="58"/>
      <c r="Z21" s="58"/>
      <c r="AA21" s="58"/>
      <c r="AB21" s="58"/>
      <c r="AC21" s="76">
        <f>IF('2h Elexon'!AB21=0, "-", '2h Elexon'!AB21)</f>
        <v>1.3983644859813087</v>
      </c>
      <c r="AD21" s="76">
        <f>IF('2h Elexon'!AC21=0, "-", '2h Elexon'!AC21)</f>
        <v>1.4935514018691589</v>
      </c>
      <c r="AE21" s="76">
        <f>IF('2h Elexon'!AD21=0, "-", '2h Elexon'!AD21)</f>
        <v>1.4935514018691589</v>
      </c>
      <c r="AF21" s="76">
        <f>IF('2h Elexon'!AE21=0, "-", '2h Elexon'!AE21)</f>
        <v>1.4545454545454546</v>
      </c>
      <c r="AG21" s="76" t="str">
        <f>IF('2h Elexon'!AF21=0, "-", '2h Elexon'!AF21)</f>
        <v>-</v>
      </c>
      <c r="AH21" s="76" t="str">
        <f>IF('2h Elexon'!AG21=0, "-", '2h Elexon'!AG21)</f>
        <v>-</v>
      </c>
      <c r="AI21" s="76" t="str">
        <f>IF('2h Elexon'!AH21=0, "-", '2h Elexon'!AH21)</f>
        <v>-</v>
      </c>
      <c r="AJ21" s="76" t="str">
        <f>IF('2h Elexon'!AI21=0, "-", '2h Elexon'!AI21)</f>
        <v>-</v>
      </c>
      <c r="AK21" s="76" t="str">
        <f>IF('2h Elexon'!AJ21=0, "-", '2h Elexon'!AJ21)</f>
        <v>-</v>
      </c>
      <c r="AL21" s="76" t="str">
        <f>IF('2h Elexon'!AK21=0, "-", '2h Elexon'!AK21)</f>
        <v>-</v>
      </c>
      <c r="AM21" s="76" t="str">
        <f>IF('2h Elexon'!AL21=0, "-", '2h Elexon'!AL21)</f>
        <v>-</v>
      </c>
      <c r="AN21" s="76" t="str">
        <f>IF('2h Elexon'!AM21=0, "-", '2h Elexon'!AM21)</f>
        <v>-</v>
      </c>
      <c r="AO21" s="76" t="str">
        <f>IF('2h Elexon'!AN21=0, "-", '2h Elexon'!AN21)</f>
        <v>-</v>
      </c>
      <c r="AP21" s="76" t="str">
        <f>IF('2h Elexon'!AO21=0, "-", '2h Elexon'!AO21)</f>
        <v>-</v>
      </c>
      <c r="AQ21" s="76" t="str">
        <f>IF('2h Elexon'!AP21=0, "-", '2h Elexon'!AP21)</f>
        <v>-</v>
      </c>
      <c r="AR21" s="76" t="str">
        <f>IF('2h Elexon'!AQ21=0, "-", '2h Elexon'!AQ21)</f>
        <v>-</v>
      </c>
      <c r="AS21" s="76" t="str">
        <f>IF('2h Elexon'!AR21=0, "-", '2h Elexon'!AR21)</f>
        <v>-</v>
      </c>
      <c r="AT21" s="76" t="str">
        <f>IF('2h Elexon'!AS21=0, "-", '2h Elexon'!AS21)</f>
        <v>-</v>
      </c>
      <c r="AU21" s="76" t="str">
        <f>IF('2h Elexon'!AT21=0, "-", '2h Elexon'!AT21)</f>
        <v>-</v>
      </c>
      <c r="AV21" s="76" t="str">
        <f>IF('2h Elexon'!AU21=0, "-", '2h Elexon'!AU21)</f>
        <v>-</v>
      </c>
      <c r="AW21" s="76" t="str">
        <f>IF('2h Elexon'!AV21=0, "-", '2h Elexon'!AV21)</f>
        <v>-</v>
      </c>
      <c r="AX21" s="76" t="str">
        <f>IF('2h Elexon'!AW21=0, "-", '2h Elexon'!AW21)</f>
        <v>-</v>
      </c>
      <c r="AY21" s="58"/>
      <c r="AZ21" s="58"/>
      <c r="BA21" s="57"/>
      <c r="BB21" s="57"/>
      <c r="BC21" s="57"/>
    </row>
    <row r="22" spans="1:55" s="25" customFormat="1" ht="12.4">
      <c r="A22" s="58"/>
      <c r="B22" s="259"/>
      <c r="C22" s="261"/>
      <c r="D22" s="52" t="s">
        <v>245</v>
      </c>
      <c r="E22" s="52" t="s">
        <v>216</v>
      </c>
      <c r="F22" s="58"/>
      <c r="G22" s="58"/>
      <c r="H22" s="58"/>
      <c r="I22" s="58"/>
      <c r="J22" s="58"/>
      <c r="K22" s="26"/>
      <c r="L22" s="58"/>
      <c r="M22" s="58"/>
      <c r="N22" s="58"/>
      <c r="O22" s="58"/>
      <c r="P22" s="58"/>
      <c r="Q22" s="58"/>
      <c r="R22" s="58"/>
      <c r="S22" s="58"/>
      <c r="T22" s="58"/>
      <c r="U22" s="58"/>
      <c r="V22" s="58"/>
      <c r="W22" s="58"/>
      <c r="X22" s="58"/>
      <c r="Y22" s="58"/>
      <c r="Z22" s="58"/>
      <c r="AA22" s="58"/>
      <c r="AB22" s="58"/>
      <c r="AC22" s="76">
        <f>IF('2j RECCo'!AB15=0, "-", '2j RECCo'!AB15)</f>
        <v>0.88200000000000001</v>
      </c>
      <c r="AD22" s="76">
        <f>IF('2j RECCo'!AC15=0, "-", '2j RECCo'!AC15)</f>
        <v>0.88200000000000001</v>
      </c>
      <c r="AE22" s="76">
        <f>IF('2j RECCo'!AD15=0, "-", '2j RECCo'!AD15)</f>
        <v>0.88200000000000001</v>
      </c>
      <c r="AF22" s="76">
        <f>IF('2j RECCo'!AE15=0, "-", '2j RECCo'!AE15)</f>
        <v>1.139</v>
      </c>
      <c r="AG22" s="76" t="str">
        <f>IF('2j RECCo'!AF15=0, "-", '2j RECCo'!AF15)</f>
        <v>-</v>
      </c>
      <c r="AH22" s="76" t="str">
        <f>IF('2j RECCo'!AG15=0, "-", '2j RECCo'!AG15)</f>
        <v>-</v>
      </c>
      <c r="AI22" s="76" t="str">
        <f>IF('2j RECCo'!AH15=0, "-", '2j RECCo'!AH15)</f>
        <v>-</v>
      </c>
      <c r="AJ22" s="76" t="str">
        <f>IF('2j RECCo'!AI15=0, "-", '2j RECCo'!AI15)</f>
        <v>-</v>
      </c>
      <c r="AK22" s="76" t="str">
        <f>IF('2j RECCo'!AJ15=0, "-", '2j RECCo'!AJ15)</f>
        <v>-</v>
      </c>
      <c r="AL22" s="76" t="str">
        <f>IF('2j RECCo'!AK15=0, "-", '2j RECCo'!AK15)</f>
        <v>-</v>
      </c>
      <c r="AM22" s="76" t="str">
        <f>IF('2j RECCo'!AL15=0, "-", '2j RECCo'!AL15)</f>
        <v>-</v>
      </c>
      <c r="AN22" s="76" t="str">
        <f>IF('2j RECCo'!AM15=0, "-", '2j RECCo'!AM15)</f>
        <v>-</v>
      </c>
      <c r="AO22" s="76" t="str">
        <f>IF('2j RECCo'!AN15=0, "-", '2j RECCo'!AN15)</f>
        <v>-</v>
      </c>
      <c r="AP22" s="76" t="str">
        <f>IF('2j RECCo'!AO15=0, "-", '2j RECCo'!AO15)</f>
        <v>-</v>
      </c>
      <c r="AQ22" s="76" t="str">
        <f>IF('2j RECCo'!AP15=0, "-", '2j RECCo'!AP15)</f>
        <v>-</v>
      </c>
      <c r="AR22" s="76" t="str">
        <f>IF('2j RECCo'!AQ15=0, "-", '2j RECCo'!AQ15)</f>
        <v>-</v>
      </c>
      <c r="AS22" s="76" t="str">
        <f>IF('2j RECCo'!AR15=0, "-", '2j RECCo'!AR15)</f>
        <v>-</v>
      </c>
      <c r="AT22" s="76" t="str">
        <f>IF('2j RECCo'!AS15=0, "-", '2j RECCo'!AS15)</f>
        <v>-</v>
      </c>
      <c r="AU22" s="76" t="str">
        <f>IF('2j RECCo'!AT15=0, "-", '2j RECCo'!AT15)</f>
        <v>-</v>
      </c>
      <c r="AV22" s="76" t="str">
        <f>IF('2j RECCo'!AU15=0, "-", '2j RECCo'!AU15)</f>
        <v>-</v>
      </c>
      <c r="AW22" s="76" t="str">
        <f>IF('2j RECCo'!AV15=0, "-", '2j RECCo'!AV15)</f>
        <v>-</v>
      </c>
      <c r="AX22" s="76" t="str">
        <f>IF('2j RECCo'!AW15=0, "-", '2j RECCo'!AW15)</f>
        <v>-</v>
      </c>
      <c r="AY22" s="58"/>
      <c r="AZ22" s="58"/>
      <c r="BA22" s="57"/>
      <c r="BB22" s="57"/>
      <c r="BC22" s="57"/>
    </row>
    <row r="23" spans="1:55" s="25" customFormat="1" ht="12.4">
      <c r="A23" s="58"/>
      <c r="B23" s="259"/>
      <c r="C23" s="261"/>
      <c r="D23" s="52" t="s">
        <v>246</v>
      </c>
      <c r="E23" s="52" t="s">
        <v>216</v>
      </c>
      <c r="F23" s="58"/>
      <c r="G23" s="58"/>
      <c r="H23" s="58"/>
      <c r="I23" s="58"/>
      <c r="J23" s="58"/>
      <c r="K23" s="26"/>
      <c r="L23" s="58"/>
      <c r="M23" s="58"/>
      <c r="N23" s="58"/>
      <c r="O23" s="58"/>
      <c r="P23" s="58"/>
      <c r="Q23" s="58"/>
      <c r="R23" s="58"/>
      <c r="S23" s="58"/>
      <c r="T23" s="58"/>
      <c r="U23" s="58"/>
      <c r="V23" s="58"/>
      <c r="W23" s="58"/>
      <c r="X23" s="58"/>
      <c r="Y23" s="58"/>
      <c r="Z23" s="58"/>
      <c r="AA23" s="58"/>
      <c r="AB23" s="58"/>
      <c r="AC23" s="76">
        <f>IF('2k DCUSA'!AB15=0, "-", '2k DCUSA'!AB15)</f>
        <v>3.8331584475393754E-2</v>
      </c>
      <c r="AD23" s="76">
        <f>IF('2k DCUSA'!AC15=0, "-", '2k DCUSA'!AC15)</f>
        <v>3.8331584475393754E-2</v>
      </c>
      <c r="AE23" s="76">
        <f>IF('2k DCUSA'!AD15=0, "-", '2k DCUSA'!AD15)</f>
        <v>3.8331584475393754E-2</v>
      </c>
      <c r="AF23" s="76">
        <f>IF('2k DCUSA'!AE15=0, "-", '2k DCUSA'!AE15)</f>
        <v>5.0438279099097851E-2</v>
      </c>
      <c r="AG23" s="76" t="str">
        <f>IF('2k DCUSA'!AF15=0, "-", '2k DCUSA'!AF15)</f>
        <v>-</v>
      </c>
      <c r="AH23" s="76" t="str">
        <f>IF('2k DCUSA'!AG15=0, "-", '2k DCUSA'!AG15)</f>
        <v>-</v>
      </c>
      <c r="AI23" s="76" t="str">
        <f>IF('2k DCUSA'!AH15=0, "-", '2k DCUSA'!AH15)</f>
        <v>-</v>
      </c>
      <c r="AJ23" s="76" t="str">
        <f>IF('2k DCUSA'!AI15=0, "-", '2k DCUSA'!AI15)</f>
        <v>-</v>
      </c>
      <c r="AK23" s="76" t="str">
        <f>IF('2k DCUSA'!AJ15=0, "-", '2k DCUSA'!AJ15)</f>
        <v>-</v>
      </c>
      <c r="AL23" s="76" t="str">
        <f>IF('2k DCUSA'!AK15=0, "-", '2k DCUSA'!AK15)</f>
        <v>-</v>
      </c>
      <c r="AM23" s="76" t="str">
        <f>IF('2k DCUSA'!AL15=0, "-", '2k DCUSA'!AL15)</f>
        <v>-</v>
      </c>
      <c r="AN23" s="76" t="str">
        <f>IF('2k DCUSA'!AM15=0, "-", '2k DCUSA'!AM15)</f>
        <v>-</v>
      </c>
      <c r="AO23" s="76" t="str">
        <f>IF('2k DCUSA'!AN15=0, "-", '2k DCUSA'!AN15)</f>
        <v>-</v>
      </c>
      <c r="AP23" s="76" t="str">
        <f>IF('2k DCUSA'!AO15=0, "-", '2k DCUSA'!AO15)</f>
        <v>-</v>
      </c>
      <c r="AQ23" s="76" t="str">
        <f>IF('2k DCUSA'!AP15=0, "-", '2k DCUSA'!AP15)</f>
        <v>-</v>
      </c>
      <c r="AR23" s="76" t="str">
        <f>IF('2k DCUSA'!AQ15=0, "-", '2k DCUSA'!AQ15)</f>
        <v>-</v>
      </c>
      <c r="AS23" s="76" t="str">
        <f>IF('2k DCUSA'!AR15=0, "-", '2k DCUSA'!AR15)</f>
        <v>-</v>
      </c>
      <c r="AT23" s="76" t="str">
        <f>IF('2k DCUSA'!AS15=0, "-", '2k DCUSA'!AS15)</f>
        <v>-</v>
      </c>
      <c r="AU23" s="76" t="str">
        <f>IF('2k DCUSA'!AT15=0, "-", '2k DCUSA'!AT15)</f>
        <v>-</v>
      </c>
      <c r="AV23" s="76" t="str">
        <f>IF('2k DCUSA'!AU15=0, "-", '2k DCUSA'!AU15)</f>
        <v>-</v>
      </c>
      <c r="AW23" s="76" t="str">
        <f>IF('2k DCUSA'!AV15=0, "-", '2k DCUSA'!AV15)</f>
        <v>-</v>
      </c>
      <c r="AX23" s="76" t="str">
        <f>IF('2k DCUSA'!AW15=0, "-", '2k DCUSA'!AW15)</f>
        <v>-</v>
      </c>
      <c r="AY23" s="58"/>
      <c r="AZ23" s="58"/>
      <c r="BA23" s="57"/>
      <c r="BB23" s="57"/>
      <c r="BC23" s="57"/>
    </row>
    <row r="24" spans="1:55" s="25" customFormat="1" ht="12.4">
      <c r="A24" s="58"/>
      <c r="B24" s="259"/>
      <c r="C24" s="261"/>
      <c r="D24" s="187" t="s">
        <v>219</v>
      </c>
      <c r="E24" s="187" t="s">
        <v>216</v>
      </c>
      <c r="F24" s="58"/>
      <c r="G24" s="58"/>
      <c r="H24" s="58"/>
      <c r="I24" s="58"/>
      <c r="J24" s="58"/>
      <c r="K24" s="26"/>
      <c r="L24" s="58"/>
      <c r="M24" s="58"/>
      <c r="N24" s="58"/>
      <c r="O24" s="58"/>
      <c r="P24" s="58"/>
      <c r="Q24" s="58"/>
      <c r="R24" s="58"/>
      <c r="S24" s="58"/>
      <c r="T24" s="58"/>
      <c r="U24" s="58"/>
      <c r="V24" s="58"/>
      <c r="W24" s="58"/>
      <c r="X24" s="58"/>
      <c r="Y24" s="58"/>
      <c r="Z24" s="58"/>
      <c r="AA24" s="58"/>
      <c r="AB24" s="58"/>
      <c r="AC24" s="76">
        <f t="shared" ref="AC24:AX24" si="1">IF(SUM(AC19:AC23)=0, "-", SUM(AC19:AC23))</f>
        <v>18.449596789728343</v>
      </c>
      <c r="AD24" s="76">
        <f t="shared" si="1"/>
        <v>19.594655344963954</v>
      </c>
      <c r="AE24" s="76">
        <f t="shared" si="1"/>
        <v>19.594655344963954</v>
      </c>
      <c r="AF24" s="76">
        <f t="shared" si="1"/>
        <v>18.928467215630558</v>
      </c>
      <c r="AG24" s="76" t="str">
        <f t="shared" si="1"/>
        <v>-</v>
      </c>
      <c r="AH24" s="76" t="str">
        <f t="shared" si="1"/>
        <v>-</v>
      </c>
      <c r="AI24" s="76" t="str">
        <f t="shared" si="1"/>
        <v>-</v>
      </c>
      <c r="AJ24" s="76" t="str">
        <f t="shared" si="1"/>
        <v>-</v>
      </c>
      <c r="AK24" s="76" t="str">
        <f t="shared" si="1"/>
        <v>-</v>
      </c>
      <c r="AL24" s="76" t="str">
        <f t="shared" si="1"/>
        <v>-</v>
      </c>
      <c r="AM24" s="76" t="str">
        <f t="shared" si="1"/>
        <v>-</v>
      </c>
      <c r="AN24" s="76" t="str">
        <f t="shared" si="1"/>
        <v>-</v>
      </c>
      <c r="AO24" s="76" t="str">
        <f t="shared" si="1"/>
        <v>-</v>
      </c>
      <c r="AP24" s="76" t="str">
        <f t="shared" si="1"/>
        <v>-</v>
      </c>
      <c r="AQ24" s="76" t="str">
        <f t="shared" si="1"/>
        <v>-</v>
      </c>
      <c r="AR24" s="76" t="str">
        <f t="shared" si="1"/>
        <v>-</v>
      </c>
      <c r="AS24" s="76" t="str">
        <f t="shared" si="1"/>
        <v>-</v>
      </c>
      <c r="AT24" s="76" t="str">
        <f t="shared" si="1"/>
        <v>-</v>
      </c>
      <c r="AU24" s="76" t="str">
        <f t="shared" si="1"/>
        <v>-</v>
      </c>
      <c r="AV24" s="76" t="str">
        <f t="shared" si="1"/>
        <v>-</v>
      </c>
      <c r="AW24" s="76" t="str">
        <f t="shared" si="1"/>
        <v>-</v>
      </c>
      <c r="AX24" s="76" t="str">
        <f t="shared" si="1"/>
        <v>-</v>
      </c>
      <c r="AY24" s="58"/>
      <c r="AZ24" s="58"/>
      <c r="BA24" s="57"/>
      <c r="BB24" s="57"/>
      <c r="BC24" s="57"/>
    </row>
    <row r="25" spans="1:55" s="25" customFormat="1" ht="12.4">
      <c r="A25" s="58"/>
      <c r="B25" s="227" t="s">
        <v>223</v>
      </c>
      <c r="C25" s="260" t="s">
        <v>214</v>
      </c>
      <c r="D25" s="52" t="s">
        <v>215</v>
      </c>
      <c r="E25" s="52" t="s">
        <v>216</v>
      </c>
      <c r="F25" s="58"/>
      <c r="G25" s="58"/>
      <c r="H25" s="58"/>
      <c r="I25" s="58"/>
      <c r="J25" s="58"/>
      <c r="K25" s="26"/>
      <c r="L25" s="58"/>
      <c r="M25" s="58"/>
      <c r="N25" s="58"/>
      <c r="O25" s="58"/>
      <c r="P25" s="58"/>
      <c r="Q25" s="58"/>
      <c r="R25" s="58"/>
      <c r="S25" s="58"/>
      <c r="T25" s="58"/>
      <c r="U25" s="58"/>
      <c r="V25" s="58"/>
      <c r="W25" s="58"/>
      <c r="X25" s="58"/>
      <c r="Y25" s="58"/>
      <c r="Z25" s="58"/>
      <c r="AA25" s="58"/>
      <c r="AB25" s="58"/>
      <c r="AC25" s="76">
        <f>IF('2c DCC'!AB55=0,"-",'2c DCC'!AB55)</f>
        <v>11.487118313770599</v>
      </c>
      <c r="AD25" s="76">
        <f>IF('2c DCC'!AC55=0,"-",'2c DCC'!AC55)</f>
        <v>12.235152226298622</v>
      </c>
      <c r="AE25" s="76">
        <f>IF('2c DCC'!AD55=0,"-",'2c DCC'!AD55)</f>
        <v>12.235152226298622</v>
      </c>
      <c r="AF25" s="76">
        <f>IF('2c DCC'!AE55=0,"-",'2c DCC'!AE55)</f>
        <v>11.64990127056115</v>
      </c>
      <c r="AG25" s="76" t="str">
        <f>IF('2c DCC'!AF55=0,"-",'2c DCC'!AF55)</f>
        <v>-</v>
      </c>
      <c r="AH25" s="76" t="str">
        <f>IF('2c DCC'!AG55=0,"-",'2c DCC'!AG55)</f>
        <v>-</v>
      </c>
      <c r="AI25" s="76" t="str">
        <f>IF('2c DCC'!AH55=0,"-",'2c DCC'!AH55)</f>
        <v>-</v>
      </c>
      <c r="AJ25" s="76" t="str">
        <f>IF('2c DCC'!AI55=0,"-",'2c DCC'!AI55)</f>
        <v>-</v>
      </c>
      <c r="AK25" s="76" t="str">
        <f>IF('2c DCC'!AJ55=0,"-",'2c DCC'!AJ55)</f>
        <v>-</v>
      </c>
      <c r="AL25" s="76" t="str">
        <f>IF('2c DCC'!AK55=0,"-",'2c DCC'!AK55)</f>
        <v>-</v>
      </c>
      <c r="AM25" s="76" t="str">
        <f>IF('2c DCC'!AL55=0,"-",'2c DCC'!AL55)</f>
        <v>-</v>
      </c>
      <c r="AN25" s="76" t="str">
        <f>IF('2c DCC'!AM55=0,"-",'2c DCC'!AM55)</f>
        <v>-</v>
      </c>
      <c r="AO25" s="76" t="str">
        <f>IF('2c DCC'!AN55=0,"-",'2c DCC'!AN55)</f>
        <v>-</v>
      </c>
      <c r="AP25" s="76" t="str">
        <f>IF('2c DCC'!AO55=0,"-",'2c DCC'!AO55)</f>
        <v>-</v>
      </c>
      <c r="AQ25" s="76" t="str">
        <f>IF('2c DCC'!AP55=0,"-",'2c DCC'!AP55)</f>
        <v>-</v>
      </c>
      <c r="AR25" s="76" t="str">
        <f>IF('2c DCC'!AQ55=0,"-",'2c DCC'!AQ55)</f>
        <v>-</v>
      </c>
      <c r="AS25" s="76" t="str">
        <f>IF('2c DCC'!AR55=0,"-",'2c DCC'!AR55)</f>
        <v>-</v>
      </c>
      <c r="AT25" s="76" t="str">
        <f>IF('2c DCC'!AS55=0,"-",'2c DCC'!AS55)</f>
        <v>-</v>
      </c>
      <c r="AU25" s="76" t="str">
        <f>IF('2c DCC'!AT55=0,"-",'2c DCC'!AT55)</f>
        <v>-</v>
      </c>
      <c r="AV25" s="76" t="str">
        <f>IF('2c DCC'!AU55=0,"-",'2c DCC'!AU55)</f>
        <v>-</v>
      </c>
      <c r="AW25" s="76" t="str">
        <f>IF('2c DCC'!AV55=0,"-",'2c DCC'!AV55)</f>
        <v>-</v>
      </c>
      <c r="AX25" s="76" t="str">
        <f>IF('2c DCC'!AW55=0,"-",'2c DCC'!AW55)</f>
        <v>-</v>
      </c>
      <c r="AY25" s="58"/>
      <c r="AZ25" s="58"/>
      <c r="BA25" s="57"/>
      <c r="BB25" s="57"/>
      <c r="BC25" s="57"/>
    </row>
    <row r="26" spans="1:55" s="25" customFormat="1" ht="12.4">
      <c r="A26" s="58"/>
      <c r="B26" s="254"/>
      <c r="C26" s="261"/>
      <c r="D26" s="52" t="s">
        <v>217</v>
      </c>
      <c r="E26" s="52" t="s">
        <v>216</v>
      </c>
      <c r="F26" s="58"/>
      <c r="G26" s="58"/>
      <c r="H26" s="58"/>
      <c r="I26" s="58"/>
      <c r="J26" s="58"/>
      <c r="K26" s="26"/>
      <c r="L26" s="58"/>
      <c r="M26" s="58"/>
      <c r="N26" s="58"/>
      <c r="O26" s="58"/>
      <c r="P26" s="58"/>
      <c r="Q26" s="58"/>
      <c r="R26" s="58"/>
      <c r="S26" s="58"/>
      <c r="T26" s="58"/>
      <c r="U26" s="58"/>
      <c r="V26" s="58"/>
      <c r="W26" s="58"/>
      <c r="X26" s="58"/>
      <c r="Y26" s="58"/>
      <c r="Z26" s="58"/>
      <c r="AA26" s="58"/>
      <c r="AB26" s="58"/>
      <c r="AC26" s="76">
        <f>IF('2b SEGB'!AB34=0,"-",'2b SEGB'!AB34)</f>
        <v>0.71612333359171798</v>
      </c>
      <c r="AD26" s="76">
        <f>IF('2b SEGB'!AC34=0,"-",'2b SEGB'!AC34)</f>
        <v>0.72171283344925363</v>
      </c>
      <c r="AE26" s="76">
        <f>IF('2b SEGB'!AD34=0,"-",'2b SEGB'!AD34)</f>
        <v>0.72171283344925363</v>
      </c>
      <c r="AF26" s="76">
        <f>IF('2b SEGB'!AE34=0,"-",'2b SEGB'!AE34)</f>
        <v>0.71892247001039067</v>
      </c>
      <c r="AG26" s="76" t="str">
        <f>IF('2b SEGB'!AF34=0,"-",'2b SEGB'!AF34)</f>
        <v>-</v>
      </c>
      <c r="AH26" s="76" t="str">
        <f>IF('2b SEGB'!AG34=0,"-",'2b SEGB'!AG34)</f>
        <v>-</v>
      </c>
      <c r="AI26" s="76" t="str">
        <f>IF('2b SEGB'!AH34=0,"-",'2b SEGB'!AH34)</f>
        <v>-</v>
      </c>
      <c r="AJ26" s="76" t="str">
        <f>IF('2b SEGB'!AI34=0,"-",'2b SEGB'!AI34)</f>
        <v>-</v>
      </c>
      <c r="AK26" s="76" t="str">
        <f>IF('2b SEGB'!AJ34=0,"-",'2b SEGB'!AJ34)</f>
        <v>-</v>
      </c>
      <c r="AL26" s="76" t="str">
        <f>IF('2b SEGB'!AK34=0,"-",'2b SEGB'!AK34)</f>
        <v>-</v>
      </c>
      <c r="AM26" s="76" t="str">
        <f>IF('2b SEGB'!AL34=0,"-",'2b SEGB'!AL34)</f>
        <v>-</v>
      </c>
      <c r="AN26" s="76" t="str">
        <f>IF('2b SEGB'!AM34=0,"-",'2b SEGB'!AM34)</f>
        <v>-</v>
      </c>
      <c r="AO26" s="76" t="str">
        <f>IF('2b SEGB'!AN34=0,"-",'2b SEGB'!AN34)</f>
        <v>-</v>
      </c>
      <c r="AP26" s="76" t="str">
        <f>IF('2b SEGB'!AO34=0,"-",'2b SEGB'!AO34)</f>
        <v>-</v>
      </c>
      <c r="AQ26" s="76" t="str">
        <f>IF('2b SEGB'!AP34=0,"-",'2b SEGB'!AP34)</f>
        <v>-</v>
      </c>
      <c r="AR26" s="76" t="str">
        <f>IF('2b SEGB'!AQ34=0,"-",'2b SEGB'!AQ34)</f>
        <v>-</v>
      </c>
      <c r="AS26" s="76" t="str">
        <f>IF('2b SEGB'!AR34=0,"-",'2b SEGB'!AR34)</f>
        <v>-</v>
      </c>
      <c r="AT26" s="76" t="str">
        <f>IF('2b SEGB'!AS34=0,"-",'2b SEGB'!AS34)</f>
        <v>-</v>
      </c>
      <c r="AU26" s="76" t="str">
        <f>IF('2b SEGB'!AT34=0,"-",'2b SEGB'!AT34)</f>
        <v>-</v>
      </c>
      <c r="AV26" s="76" t="str">
        <f>IF('2b SEGB'!AU34=0,"-",'2b SEGB'!AU34)</f>
        <v>-</v>
      </c>
      <c r="AW26" s="76" t="str">
        <f>IF('2b SEGB'!AV34=0,"-",'2b SEGB'!AV34)</f>
        <v>-</v>
      </c>
      <c r="AX26" s="76" t="str">
        <f>IF('2b SEGB'!AW34=0,"-",'2b SEGB'!AW34)</f>
        <v>-</v>
      </c>
      <c r="AY26" s="58"/>
      <c r="AZ26" s="58"/>
      <c r="BA26" s="57"/>
      <c r="BB26" s="57"/>
      <c r="BC26" s="57"/>
    </row>
    <row r="27" spans="1:55" s="25" customFormat="1" ht="12.4">
      <c r="A27" s="58"/>
      <c r="B27" s="254"/>
      <c r="C27" s="261"/>
      <c r="D27" s="52" t="s">
        <v>248</v>
      </c>
      <c r="E27" s="52" t="s">
        <v>216</v>
      </c>
      <c r="F27" s="58"/>
      <c r="G27" s="58"/>
      <c r="H27" s="58"/>
      <c r="I27" s="58"/>
      <c r="J27" s="58"/>
      <c r="K27" s="26"/>
      <c r="L27" s="58"/>
      <c r="M27" s="58"/>
      <c r="N27" s="58"/>
      <c r="O27" s="58"/>
      <c r="P27" s="58"/>
      <c r="Q27" s="58"/>
      <c r="R27" s="58"/>
      <c r="S27" s="58"/>
      <c r="T27" s="58"/>
      <c r="U27" s="58"/>
      <c r="V27" s="58"/>
      <c r="W27" s="58"/>
      <c r="X27" s="58"/>
      <c r="Y27" s="58"/>
      <c r="Z27" s="58"/>
      <c r="AA27" s="58"/>
      <c r="AB27" s="58"/>
      <c r="AC27" s="76">
        <f>IF('2i Xoserve'!AB15=0,"-",'2i Xoserve'!AB15)</f>
        <v>1.498921003048026</v>
      </c>
      <c r="AD27" s="76">
        <f>IF('2i Xoserve'!AC15=0,"-",'2i Xoserve'!AC15)</f>
        <v>1.498921003048026</v>
      </c>
      <c r="AE27" s="76">
        <f>IF('2i Xoserve'!AD15=0,"-",'2i Xoserve'!AD15)</f>
        <v>1.498921003048026</v>
      </c>
      <c r="AF27" s="76">
        <f>IF('2i Xoserve'!AE15=0,"-",'2i Xoserve'!AE15)</f>
        <v>1.9667197587161052</v>
      </c>
      <c r="AG27" s="76" t="str">
        <f>IF('2i Xoserve'!AF15=0,"-",'2i Xoserve'!AF15)</f>
        <v>-</v>
      </c>
      <c r="AH27" s="76" t="str">
        <f>IF('2i Xoserve'!AG15=0,"-",'2i Xoserve'!AG15)</f>
        <v>-</v>
      </c>
      <c r="AI27" s="76" t="str">
        <f>IF('2i Xoserve'!AH15=0,"-",'2i Xoserve'!AH15)</f>
        <v>-</v>
      </c>
      <c r="AJ27" s="76" t="str">
        <f>IF('2i Xoserve'!AI15=0,"-",'2i Xoserve'!AI15)</f>
        <v>-</v>
      </c>
      <c r="AK27" s="76" t="str">
        <f>IF('2i Xoserve'!AJ15=0,"-",'2i Xoserve'!AJ15)</f>
        <v>-</v>
      </c>
      <c r="AL27" s="76" t="str">
        <f>IF('2i Xoserve'!AK15=0,"-",'2i Xoserve'!AK15)</f>
        <v>-</v>
      </c>
      <c r="AM27" s="76" t="str">
        <f>IF('2i Xoserve'!AL15=0,"-",'2i Xoserve'!AL15)</f>
        <v>-</v>
      </c>
      <c r="AN27" s="76" t="str">
        <f>IF('2i Xoserve'!AM15=0,"-",'2i Xoserve'!AM15)</f>
        <v>-</v>
      </c>
      <c r="AO27" s="76" t="str">
        <f>IF('2i Xoserve'!AN15=0,"-",'2i Xoserve'!AN15)</f>
        <v>-</v>
      </c>
      <c r="AP27" s="76" t="str">
        <f>IF('2i Xoserve'!AO15=0,"-",'2i Xoserve'!AO15)</f>
        <v>-</v>
      </c>
      <c r="AQ27" s="76" t="str">
        <f>IF('2i Xoserve'!AP15=0,"-",'2i Xoserve'!AP15)</f>
        <v>-</v>
      </c>
      <c r="AR27" s="76" t="str">
        <f>IF('2i Xoserve'!AQ15=0,"-",'2i Xoserve'!AQ15)</f>
        <v>-</v>
      </c>
      <c r="AS27" s="76" t="str">
        <f>IF('2i Xoserve'!AR15=0,"-",'2i Xoserve'!AR15)</f>
        <v>-</v>
      </c>
      <c r="AT27" s="76" t="str">
        <f>IF('2i Xoserve'!AS15=0,"-",'2i Xoserve'!AS15)</f>
        <v>-</v>
      </c>
      <c r="AU27" s="76" t="str">
        <f>IF('2i Xoserve'!AT15=0,"-",'2i Xoserve'!AT15)</f>
        <v>-</v>
      </c>
      <c r="AV27" s="76" t="str">
        <f>IF('2i Xoserve'!AU15=0,"-",'2i Xoserve'!AU15)</f>
        <v>-</v>
      </c>
      <c r="AW27" s="76" t="str">
        <f>IF('2i Xoserve'!AV15=0,"-",'2i Xoserve'!AV15)</f>
        <v>-</v>
      </c>
      <c r="AX27" s="76" t="str">
        <f>IF('2i Xoserve'!AW15=0,"-",'2i Xoserve'!AW15)</f>
        <v>-</v>
      </c>
      <c r="AY27" s="58"/>
      <c r="AZ27" s="58"/>
      <c r="BA27" s="57"/>
      <c r="BB27" s="57"/>
      <c r="BC27" s="57"/>
    </row>
    <row r="28" spans="1:55" s="25" customFormat="1" ht="12.4">
      <c r="A28" s="58"/>
      <c r="B28" s="254"/>
      <c r="C28" s="261"/>
      <c r="D28" s="52" t="s">
        <v>245</v>
      </c>
      <c r="E28" s="52" t="s">
        <v>216</v>
      </c>
      <c r="F28" s="58"/>
      <c r="G28" s="58"/>
      <c r="H28" s="58"/>
      <c r="I28" s="58"/>
      <c r="J28" s="58"/>
      <c r="K28" s="26"/>
      <c r="L28" s="58"/>
      <c r="M28" s="58"/>
      <c r="N28" s="58"/>
      <c r="O28" s="58"/>
      <c r="P28" s="58"/>
      <c r="Q28" s="58"/>
      <c r="R28" s="58"/>
      <c r="S28" s="58"/>
      <c r="T28" s="58"/>
      <c r="U28" s="58"/>
      <c r="V28" s="58"/>
      <c r="W28" s="58"/>
      <c r="X28" s="58"/>
      <c r="Y28" s="58"/>
      <c r="Z28" s="58"/>
      <c r="AA28" s="58"/>
      <c r="AB28" s="58"/>
      <c r="AC28" s="76">
        <f>IF('2j RECCo'!AB15=0,"-",'2j RECCo'!AB15)</f>
        <v>0.88200000000000001</v>
      </c>
      <c r="AD28" s="76">
        <f>IF('2j RECCo'!AC15=0,"-",'2j RECCo'!AC15)</f>
        <v>0.88200000000000001</v>
      </c>
      <c r="AE28" s="76">
        <f>IF('2j RECCo'!AD15=0,"-",'2j RECCo'!AD15)</f>
        <v>0.88200000000000001</v>
      </c>
      <c r="AF28" s="76">
        <f>IF('2j RECCo'!AE15=0,"-",'2j RECCo'!AE15)</f>
        <v>1.139</v>
      </c>
      <c r="AG28" s="76" t="str">
        <f>IF('2j RECCo'!AF15=0,"-",'2j RECCo'!AF15)</f>
        <v>-</v>
      </c>
      <c r="AH28" s="76" t="str">
        <f>IF('2j RECCo'!AG15=0,"-",'2j RECCo'!AG15)</f>
        <v>-</v>
      </c>
      <c r="AI28" s="76" t="str">
        <f>IF('2j RECCo'!AH15=0,"-",'2j RECCo'!AH15)</f>
        <v>-</v>
      </c>
      <c r="AJ28" s="76" t="str">
        <f>IF('2j RECCo'!AI15=0,"-",'2j RECCo'!AI15)</f>
        <v>-</v>
      </c>
      <c r="AK28" s="76" t="str">
        <f>IF('2j RECCo'!AJ15=0,"-",'2j RECCo'!AJ15)</f>
        <v>-</v>
      </c>
      <c r="AL28" s="76" t="str">
        <f>IF('2j RECCo'!AK15=0,"-",'2j RECCo'!AK15)</f>
        <v>-</v>
      </c>
      <c r="AM28" s="76" t="str">
        <f>IF('2j RECCo'!AL15=0,"-",'2j RECCo'!AL15)</f>
        <v>-</v>
      </c>
      <c r="AN28" s="76" t="str">
        <f>IF('2j RECCo'!AM15=0,"-",'2j RECCo'!AM15)</f>
        <v>-</v>
      </c>
      <c r="AO28" s="76" t="str">
        <f>IF('2j RECCo'!AN15=0,"-",'2j RECCo'!AN15)</f>
        <v>-</v>
      </c>
      <c r="AP28" s="76" t="str">
        <f>IF('2j RECCo'!AO15=0,"-",'2j RECCo'!AO15)</f>
        <v>-</v>
      </c>
      <c r="AQ28" s="76" t="str">
        <f>IF('2j RECCo'!AP15=0,"-",'2j RECCo'!AP15)</f>
        <v>-</v>
      </c>
      <c r="AR28" s="76" t="str">
        <f>IF('2j RECCo'!AQ15=0,"-",'2j RECCo'!AQ15)</f>
        <v>-</v>
      </c>
      <c r="AS28" s="76" t="str">
        <f>IF('2j RECCo'!AR15=0,"-",'2j RECCo'!AR15)</f>
        <v>-</v>
      </c>
      <c r="AT28" s="76" t="str">
        <f>IF('2j RECCo'!AS15=0,"-",'2j RECCo'!AS15)</f>
        <v>-</v>
      </c>
      <c r="AU28" s="76" t="str">
        <f>IF('2j RECCo'!AT15=0,"-",'2j RECCo'!AT15)</f>
        <v>-</v>
      </c>
      <c r="AV28" s="76" t="str">
        <f>IF('2j RECCo'!AU15=0,"-",'2j RECCo'!AU15)</f>
        <v>-</v>
      </c>
      <c r="AW28" s="76" t="str">
        <f>IF('2j RECCo'!AV15=0,"-",'2j RECCo'!AV15)</f>
        <v>-</v>
      </c>
      <c r="AX28" s="76" t="str">
        <f>IF('2j RECCo'!AW15=0,"-",'2j RECCo'!AW15)</f>
        <v>-</v>
      </c>
      <c r="AY28" s="58"/>
      <c r="AZ28" s="58"/>
      <c r="BA28" s="57"/>
      <c r="BB28" s="57"/>
      <c r="BC28" s="57"/>
    </row>
    <row r="29" spans="1:55" s="25" customFormat="1" ht="12.4">
      <c r="A29" s="58"/>
      <c r="B29" s="228"/>
      <c r="C29" s="262"/>
      <c r="D29" s="52" t="s">
        <v>219</v>
      </c>
      <c r="E29" s="52" t="s">
        <v>216</v>
      </c>
      <c r="F29" s="58"/>
      <c r="G29" s="58"/>
      <c r="H29" s="58"/>
      <c r="I29" s="58"/>
      <c r="J29" s="58"/>
      <c r="K29" s="26"/>
      <c r="L29" s="58"/>
      <c r="M29" s="58"/>
      <c r="N29" s="58"/>
      <c r="O29" s="58"/>
      <c r="P29" s="58"/>
      <c r="Q29" s="58"/>
      <c r="R29" s="58"/>
      <c r="S29" s="58"/>
      <c r="T29" s="58"/>
      <c r="U29" s="58"/>
      <c r="V29" s="58"/>
      <c r="W29" s="58"/>
      <c r="X29" s="58"/>
      <c r="Y29" s="58"/>
      <c r="Z29" s="58"/>
      <c r="AA29" s="58"/>
      <c r="AB29" s="58"/>
      <c r="AC29" s="76">
        <f t="shared" ref="AC29:AX29" si="2">IF(SUM(AC25:AC28)=0,"-",SUM(AC25:AC28))</f>
        <v>14.584162650410343</v>
      </c>
      <c r="AD29" s="76">
        <f t="shared" si="2"/>
        <v>15.337786062795901</v>
      </c>
      <c r="AE29" s="76">
        <f t="shared" si="2"/>
        <v>15.337786062795901</v>
      </c>
      <c r="AF29" s="76">
        <f t="shared" si="2"/>
        <v>15.474543499287645</v>
      </c>
      <c r="AG29" s="76" t="str">
        <f t="shared" si="2"/>
        <v>-</v>
      </c>
      <c r="AH29" s="76" t="str">
        <f t="shared" si="2"/>
        <v>-</v>
      </c>
      <c r="AI29" s="76" t="str">
        <f t="shared" si="2"/>
        <v>-</v>
      </c>
      <c r="AJ29" s="76" t="str">
        <f t="shared" si="2"/>
        <v>-</v>
      </c>
      <c r="AK29" s="76" t="str">
        <f t="shared" si="2"/>
        <v>-</v>
      </c>
      <c r="AL29" s="76" t="str">
        <f t="shared" si="2"/>
        <v>-</v>
      </c>
      <c r="AM29" s="76" t="str">
        <f t="shared" si="2"/>
        <v>-</v>
      </c>
      <c r="AN29" s="76" t="str">
        <f t="shared" si="2"/>
        <v>-</v>
      </c>
      <c r="AO29" s="76" t="str">
        <f t="shared" si="2"/>
        <v>-</v>
      </c>
      <c r="AP29" s="76" t="str">
        <f t="shared" si="2"/>
        <v>-</v>
      </c>
      <c r="AQ29" s="76" t="str">
        <f t="shared" si="2"/>
        <v>-</v>
      </c>
      <c r="AR29" s="76" t="str">
        <f t="shared" si="2"/>
        <v>-</v>
      </c>
      <c r="AS29" s="76" t="str">
        <f t="shared" si="2"/>
        <v>-</v>
      </c>
      <c r="AT29" s="76" t="str">
        <f t="shared" si="2"/>
        <v>-</v>
      </c>
      <c r="AU29" s="76" t="str">
        <f t="shared" si="2"/>
        <v>-</v>
      </c>
      <c r="AV29" s="76" t="str">
        <f t="shared" si="2"/>
        <v>-</v>
      </c>
      <c r="AW29" s="76" t="str">
        <f t="shared" si="2"/>
        <v>-</v>
      </c>
      <c r="AX29" s="76" t="str">
        <f t="shared" si="2"/>
        <v>-</v>
      </c>
      <c r="AY29" s="58"/>
      <c r="AZ29" s="58"/>
      <c r="BA29" s="57"/>
      <c r="BB29" s="57"/>
      <c r="BC29" s="57"/>
    </row>
    <row r="30" spans="1:55" s="25" customFormat="1" ht="12.4">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7"/>
      <c r="BB30" s="57"/>
      <c r="BC30" s="57"/>
    </row>
    <row r="31" spans="1:55" s="25" customFormat="1" ht="12.4">
      <c r="A31" s="58"/>
      <c r="B31" s="40" t="s">
        <v>249</v>
      </c>
      <c r="C31" s="40"/>
      <c r="D31" s="58"/>
      <c r="E31" s="58"/>
      <c r="F31" s="58"/>
      <c r="G31" s="58"/>
      <c r="H31" s="58"/>
      <c r="I31" s="58"/>
      <c r="J31" s="58"/>
      <c r="K31" s="58"/>
      <c r="L31" s="58"/>
      <c r="M31" s="58"/>
      <c r="N31" s="58"/>
      <c r="O31" s="58"/>
      <c r="P31" s="58"/>
      <c r="Q31" s="58"/>
      <c r="R31" s="58"/>
      <c r="S31" s="58"/>
      <c r="T31" s="83"/>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7"/>
      <c r="BB31" s="57"/>
      <c r="BC31" s="57"/>
    </row>
    <row r="32" spans="1:55" s="25" customFormat="1" ht="12.4">
      <c r="A32" s="58"/>
      <c r="B32" s="40"/>
      <c r="C32" s="40"/>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7"/>
      <c r="BB32" s="57"/>
      <c r="BC32" s="57"/>
    </row>
    <row r="33" spans="1:52" s="25" customFormat="1" ht="31.5" customHeight="1">
      <c r="A33" s="58"/>
      <c r="B33" s="77" t="s">
        <v>102</v>
      </c>
      <c r="C33" s="46" t="s">
        <v>103</v>
      </c>
      <c r="D33" s="77" t="s">
        <v>49</v>
      </c>
      <c r="E33" s="80" t="s">
        <v>104</v>
      </c>
      <c r="F33" s="80" t="s">
        <v>109</v>
      </c>
      <c r="G33" s="75" t="s">
        <v>110</v>
      </c>
      <c r="H33" s="75" t="s">
        <v>111</v>
      </c>
      <c r="I33" s="75" t="s">
        <v>112</v>
      </c>
      <c r="J33" s="75" t="s">
        <v>113</v>
      </c>
      <c r="K33" s="26"/>
      <c r="L33" s="75" t="s">
        <v>114</v>
      </c>
      <c r="M33" s="75" t="s">
        <v>115</v>
      </c>
      <c r="N33" s="75" t="s">
        <v>116</v>
      </c>
      <c r="O33" s="75" t="s">
        <v>117</v>
      </c>
      <c r="P33" s="75" t="s">
        <v>118</v>
      </c>
      <c r="Q33" s="75" t="s">
        <v>119</v>
      </c>
      <c r="R33" s="75" t="s">
        <v>120</v>
      </c>
      <c r="S33" s="75" t="s">
        <v>121</v>
      </c>
      <c r="T33" s="75" t="s">
        <v>122</v>
      </c>
      <c r="U33" s="75" t="s">
        <v>123</v>
      </c>
      <c r="V33" s="75" t="s">
        <v>124</v>
      </c>
      <c r="W33" s="75" t="s">
        <v>125</v>
      </c>
      <c r="X33" s="75" t="s">
        <v>126</v>
      </c>
      <c r="Y33" s="75" t="s">
        <v>127</v>
      </c>
      <c r="Z33" s="75" t="s">
        <v>128</v>
      </c>
      <c r="AA33" s="75" t="s">
        <v>225</v>
      </c>
      <c r="AB33" s="75" t="s">
        <v>130</v>
      </c>
      <c r="AC33" s="75" t="s">
        <v>131</v>
      </c>
      <c r="AD33" s="75" t="s">
        <v>132</v>
      </c>
      <c r="AE33" s="75" t="s">
        <v>133</v>
      </c>
      <c r="AF33" s="75" t="s">
        <v>134</v>
      </c>
      <c r="AG33" s="75" t="s">
        <v>135</v>
      </c>
      <c r="AH33" s="75" t="s">
        <v>136</v>
      </c>
      <c r="AI33" s="75" t="s">
        <v>137</v>
      </c>
      <c r="AJ33" s="75" t="s">
        <v>138</v>
      </c>
      <c r="AK33" s="75" t="s">
        <v>139</v>
      </c>
      <c r="AL33" s="75" t="s">
        <v>140</v>
      </c>
      <c r="AM33" s="75" t="s">
        <v>141</v>
      </c>
      <c r="AN33" s="75" t="s">
        <v>142</v>
      </c>
      <c r="AO33" s="75" t="s">
        <v>143</v>
      </c>
      <c r="AP33" s="75" t="s">
        <v>144</v>
      </c>
      <c r="AQ33" s="75" t="s">
        <v>145</v>
      </c>
      <c r="AR33" s="75" t="s">
        <v>146</v>
      </c>
      <c r="AS33" s="75" t="s">
        <v>147</v>
      </c>
      <c r="AT33" s="75" t="s">
        <v>148</v>
      </c>
      <c r="AU33" s="75" t="s">
        <v>149</v>
      </c>
      <c r="AV33" s="75" t="s">
        <v>150</v>
      </c>
      <c r="AW33" s="75" t="s">
        <v>151</v>
      </c>
      <c r="AX33" s="75" t="s">
        <v>152</v>
      </c>
      <c r="AY33" s="58"/>
      <c r="AZ33" s="58"/>
    </row>
    <row r="34" spans="1:52" s="25" customFormat="1" ht="37.15">
      <c r="A34" s="58"/>
      <c r="B34" s="190" t="s">
        <v>243</v>
      </c>
      <c r="C34" s="263" t="s">
        <v>214</v>
      </c>
      <c r="D34" s="266" t="s">
        <v>250</v>
      </c>
      <c r="E34" s="227" t="s">
        <v>216</v>
      </c>
      <c r="F34" s="58"/>
      <c r="G34" s="58"/>
      <c r="H34" s="58"/>
      <c r="I34" s="58"/>
      <c r="J34" s="58"/>
      <c r="K34" s="26"/>
      <c r="L34" s="58"/>
      <c r="M34" s="58"/>
      <c r="N34" s="58"/>
      <c r="O34" s="58"/>
      <c r="P34" s="58"/>
      <c r="Q34" s="58"/>
      <c r="R34" s="58"/>
      <c r="S34" s="58"/>
      <c r="T34" s="58"/>
      <c r="U34" s="58"/>
      <c r="V34" s="58"/>
      <c r="W34" s="58"/>
      <c r="X34" s="58"/>
      <c r="Y34" s="58"/>
      <c r="Z34" s="58"/>
      <c r="AA34" s="58"/>
      <c r="AB34" s="58"/>
      <c r="AC34" s="79">
        <f t="shared" ref="AC34:AX34" si="3">IFERROR(AC18,"-")</f>
        <v>18.083358471971334</v>
      </c>
      <c r="AD34" s="79">
        <f t="shared" si="3"/>
        <v>19.203487120664889</v>
      </c>
      <c r="AE34" s="79">
        <f t="shared" si="3"/>
        <v>19.203487120664889</v>
      </c>
      <c r="AF34" s="79">
        <f t="shared" si="3"/>
        <v>18.547514834678179</v>
      </c>
      <c r="AG34" s="79" t="str">
        <f t="shared" si="3"/>
        <v>-</v>
      </c>
      <c r="AH34" s="79" t="str">
        <f t="shared" si="3"/>
        <v>-</v>
      </c>
      <c r="AI34" s="79" t="str">
        <f t="shared" si="3"/>
        <v>-</v>
      </c>
      <c r="AJ34" s="79" t="str">
        <f t="shared" si="3"/>
        <v>-</v>
      </c>
      <c r="AK34" s="79" t="str">
        <f t="shared" si="3"/>
        <v>-</v>
      </c>
      <c r="AL34" s="79" t="str">
        <f t="shared" si="3"/>
        <v>-</v>
      </c>
      <c r="AM34" s="79" t="str">
        <f t="shared" si="3"/>
        <v>-</v>
      </c>
      <c r="AN34" s="79" t="str">
        <f t="shared" si="3"/>
        <v>-</v>
      </c>
      <c r="AO34" s="79" t="str">
        <f t="shared" si="3"/>
        <v>-</v>
      </c>
      <c r="AP34" s="79" t="str">
        <f t="shared" si="3"/>
        <v>-</v>
      </c>
      <c r="AQ34" s="79" t="str">
        <f t="shared" si="3"/>
        <v>-</v>
      </c>
      <c r="AR34" s="79" t="str">
        <f t="shared" si="3"/>
        <v>-</v>
      </c>
      <c r="AS34" s="79" t="str">
        <f t="shared" si="3"/>
        <v>-</v>
      </c>
      <c r="AT34" s="79" t="str">
        <f t="shared" si="3"/>
        <v>-</v>
      </c>
      <c r="AU34" s="79" t="str">
        <f t="shared" si="3"/>
        <v>-</v>
      </c>
      <c r="AV34" s="79" t="str">
        <f t="shared" si="3"/>
        <v>-</v>
      </c>
      <c r="AW34" s="79" t="str">
        <f t="shared" si="3"/>
        <v>-</v>
      </c>
      <c r="AX34" s="79" t="str">
        <f t="shared" si="3"/>
        <v>-</v>
      </c>
      <c r="AY34" s="58"/>
      <c r="AZ34" s="58"/>
    </row>
    <row r="35" spans="1:52" s="25" customFormat="1" ht="37.15">
      <c r="A35" s="58"/>
      <c r="B35" s="190" t="s">
        <v>247</v>
      </c>
      <c r="C35" s="267"/>
      <c r="D35" s="266"/>
      <c r="E35" s="254"/>
      <c r="F35" s="58"/>
      <c r="G35" s="58"/>
      <c r="H35" s="58"/>
      <c r="I35" s="58"/>
      <c r="J35" s="58"/>
      <c r="K35" s="26"/>
      <c r="L35" s="58"/>
      <c r="M35" s="58"/>
      <c r="N35" s="58"/>
      <c r="O35" s="58"/>
      <c r="P35" s="58"/>
      <c r="Q35" s="58"/>
      <c r="R35" s="58"/>
      <c r="S35" s="58"/>
      <c r="T35" s="58"/>
      <c r="U35" s="58"/>
      <c r="V35" s="58"/>
      <c r="W35" s="58"/>
      <c r="X35" s="58"/>
      <c r="Y35" s="58"/>
      <c r="Z35" s="58"/>
      <c r="AA35" s="58"/>
      <c r="AB35" s="58"/>
      <c r="AC35" s="79">
        <f t="shared" ref="AC35:AX35" si="4">IFERROR(AC24,"-")</f>
        <v>18.449596789728343</v>
      </c>
      <c r="AD35" s="79">
        <f t="shared" si="4"/>
        <v>19.594655344963954</v>
      </c>
      <c r="AE35" s="79">
        <f t="shared" si="4"/>
        <v>19.594655344963954</v>
      </c>
      <c r="AF35" s="79">
        <f t="shared" si="4"/>
        <v>18.928467215630558</v>
      </c>
      <c r="AG35" s="79" t="str">
        <f t="shared" si="4"/>
        <v>-</v>
      </c>
      <c r="AH35" s="79" t="str">
        <f t="shared" si="4"/>
        <v>-</v>
      </c>
      <c r="AI35" s="79" t="str">
        <f t="shared" si="4"/>
        <v>-</v>
      </c>
      <c r="AJ35" s="79" t="str">
        <f t="shared" si="4"/>
        <v>-</v>
      </c>
      <c r="AK35" s="79" t="str">
        <f t="shared" si="4"/>
        <v>-</v>
      </c>
      <c r="AL35" s="79" t="str">
        <f t="shared" si="4"/>
        <v>-</v>
      </c>
      <c r="AM35" s="79" t="str">
        <f t="shared" si="4"/>
        <v>-</v>
      </c>
      <c r="AN35" s="79" t="str">
        <f t="shared" si="4"/>
        <v>-</v>
      </c>
      <c r="AO35" s="79" t="str">
        <f t="shared" si="4"/>
        <v>-</v>
      </c>
      <c r="AP35" s="79" t="str">
        <f t="shared" si="4"/>
        <v>-</v>
      </c>
      <c r="AQ35" s="79" t="str">
        <f t="shared" si="4"/>
        <v>-</v>
      </c>
      <c r="AR35" s="79" t="str">
        <f t="shared" si="4"/>
        <v>-</v>
      </c>
      <c r="AS35" s="79" t="str">
        <f t="shared" si="4"/>
        <v>-</v>
      </c>
      <c r="AT35" s="79" t="str">
        <f t="shared" si="4"/>
        <v>-</v>
      </c>
      <c r="AU35" s="79" t="str">
        <f t="shared" si="4"/>
        <v>-</v>
      </c>
      <c r="AV35" s="79" t="str">
        <f t="shared" si="4"/>
        <v>-</v>
      </c>
      <c r="AW35" s="79" t="str">
        <f t="shared" si="4"/>
        <v>-</v>
      </c>
      <c r="AX35" s="79" t="str">
        <f t="shared" si="4"/>
        <v>-</v>
      </c>
      <c r="AY35" s="58"/>
      <c r="AZ35" s="58"/>
    </row>
    <row r="36" spans="1:52" s="25" customFormat="1" ht="27" customHeight="1">
      <c r="A36" s="58"/>
      <c r="B36" s="87" t="s">
        <v>223</v>
      </c>
      <c r="C36" s="268"/>
      <c r="D36" s="266"/>
      <c r="E36" s="228"/>
      <c r="F36" s="58"/>
      <c r="G36" s="58"/>
      <c r="H36" s="58"/>
      <c r="I36" s="58"/>
      <c r="J36" s="58"/>
      <c r="K36" s="26"/>
      <c r="L36" s="58"/>
      <c r="M36" s="58"/>
      <c r="N36" s="58"/>
      <c r="O36" s="58"/>
      <c r="P36" s="58"/>
      <c r="Q36" s="58"/>
      <c r="R36" s="58"/>
      <c r="S36" s="58"/>
      <c r="T36" s="58"/>
      <c r="U36" s="58"/>
      <c r="V36" s="58"/>
      <c r="W36" s="58"/>
      <c r="X36" s="58"/>
      <c r="Y36" s="58"/>
      <c r="Z36" s="58"/>
      <c r="AA36" s="58"/>
      <c r="AB36" s="58"/>
      <c r="AC36" s="79">
        <f t="shared" ref="AC36:AX36" si="5">IFERROR(AC29,"-")</f>
        <v>14.584162650410343</v>
      </c>
      <c r="AD36" s="79">
        <f t="shared" si="5"/>
        <v>15.337786062795901</v>
      </c>
      <c r="AE36" s="79">
        <f t="shared" si="5"/>
        <v>15.337786062795901</v>
      </c>
      <c r="AF36" s="79">
        <f t="shared" si="5"/>
        <v>15.474543499287645</v>
      </c>
      <c r="AG36" s="79" t="str">
        <f t="shared" si="5"/>
        <v>-</v>
      </c>
      <c r="AH36" s="79" t="str">
        <f t="shared" si="5"/>
        <v>-</v>
      </c>
      <c r="AI36" s="79" t="str">
        <f t="shared" si="5"/>
        <v>-</v>
      </c>
      <c r="AJ36" s="79" t="str">
        <f t="shared" si="5"/>
        <v>-</v>
      </c>
      <c r="AK36" s="79" t="str">
        <f t="shared" si="5"/>
        <v>-</v>
      </c>
      <c r="AL36" s="79" t="str">
        <f t="shared" si="5"/>
        <v>-</v>
      </c>
      <c r="AM36" s="79" t="str">
        <f t="shared" si="5"/>
        <v>-</v>
      </c>
      <c r="AN36" s="79" t="str">
        <f t="shared" si="5"/>
        <v>-</v>
      </c>
      <c r="AO36" s="79" t="str">
        <f t="shared" si="5"/>
        <v>-</v>
      </c>
      <c r="AP36" s="79" t="str">
        <f t="shared" si="5"/>
        <v>-</v>
      </c>
      <c r="AQ36" s="79" t="str">
        <f t="shared" si="5"/>
        <v>-</v>
      </c>
      <c r="AR36" s="79" t="str">
        <f t="shared" si="5"/>
        <v>-</v>
      </c>
      <c r="AS36" s="79" t="str">
        <f t="shared" si="5"/>
        <v>-</v>
      </c>
      <c r="AT36" s="79" t="str">
        <f t="shared" si="5"/>
        <v>-</v>
      </c>
      <c r="AU36" s="79" t="str">
        <f t="shared" si="5"/>
        <v>-</v>
      </c>
      <c r="AV36" s="79" t="str">
        <f t="shared" si="5"/>
        <v>-</v>
      </c>
      <c r="AW36" s="79" t="str">
        <f t="shared" si="5"/>
        <v>-</v>
      </c>
      <c r="AX36" s="79" t="str">
        <f t="shared" si="5"/>
        <v>-</v>
      </c>
      <c r="AY36" s="58"/>
      <c r="AZ36" s="58"/>
    </row>
    <row r="37" spans="1:52" s="25" customFormat="1" ht="12.4">
      <c r="A37" s="58"/>
      <c r="B37" s="57"/>
      <c r="C37" s="57"/>
      <c r="D37" s="57"/>
      <c r="E37" s="57"/>
      <c r="F37" s="58"/>
      <c r="G37" s="58"/>
      <c r="H37" s="58"/>
      <c r="I37" s="58"/>
      <c r="J37" s="58"/>
      <c r="K37" s="58"/>
      <c r="L37" s="58"/>
      <c r="M37" s="58"/>
      <c r="N37" s="58"/>
      <c r="O37" s="58"/>
      <c r="P37" s="58"/>
      <c r="Q37" s="58"/>
      <c r="R37" s="58"/>
      <c r="S37" s="58"/>
      <c r="T37" s="58"/>
      <c r="U37" s="58"/>
      <c r="V37" s="58"/>
      <c r="W37" s="58"/>
      <c r="X37" s="58"/>
      <c r="Y37" s="58"/>
      <c r="Z37" s="58"/>
      <c r="AA37" s="58"/>
      <c r="AB37" s="58"/>
      <c r="AC37" s="83"/>
      <c r="AD37" s="58"/>
      <c r="AE37" s="58"/>
      <c r="AF37" s="58"/>
      <c r="AG37" s="58"/>
      <c r="AH37" s="58"/>
      <c r="AI37" s="58"/>
      <c r="AJ37" s="58"/>
      <c r="AK37" s="58"/>
      <c r="AL37" s="58"/>
      <c r="AM37" s="58"/>
      <c r="AN37" s="58"/>
      <c r="AO37" s="58"/>
      <c r="AP37" s="58"/>
      <c r="AQ37" s="58"/>
      <c r="AR37" s="58"/>
      <c r="AS37" s="58"/>
      <c r="AT37" s="58"/>
      <c r="AU37" s="58"/>
      <c r="AV37" s="58"/>
      <c r="AW37" s="58"/>
      <c r="AX37" s="58"/>
      <c r="AY37" s="58"/>
      <c r="AZ37" s="58"/>
    </row>
    <row r="38" spans="1:52" s="25" customFormat="1" ht="12.4">
      <c r="A38" s="58"/>
      <c r="B38" s="40" t="s">
        <v>251</v>
      </c>
      <c r="C38" s="4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row>
    <row r="39" spans="1:52" s="25" customFormat="1" ht="12.4">
      <c r="A39" s="58"/>
      <c r="B39" s="40"/>
      <c r="C39" s="40"/>
      <c r="D39" s="58"/>
      <c r="E39" s="80" t="s">
        <v>213</v>
      </c>
      <c r="F39" s="80" t="s">
        <v>223</v>
      </c>
      <c r="G39" s="58"/>
      <c r="H39" s="58"/>
      <c r="I39" s="58"/>
      <c r="J39" s="58"/>
      <c r="K39" s="58"/>
      <c r="L39" s="58"/>
      <c r="M39" s="58"/>
      <c r="N39" s="58"/>
      <c r="O39" s="58"/>
      <c r="P39" s="58"/>
      <c r="Q39" s="58"/>
      <c r="R39" s="58"/>
      <c r="S39" s="83"/>
      <c r="T39" s="127"/>
      <c r="U39" s="83"/>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row>
    <row r="40" spans="1:52" s="25" customFormat="1" ht="49.5">
      <c r="A40" s="58"/>
      <c r="B40" s="80" t="s">
        <v>235</v>
      </c>
      <c r="C40" s="75" t="s">
        <v>214</v>
      </c>
      <c r="D40" s="84" t="s">
        <v>252</v>
      </c>
      <c r="E40" s="85">
        <f>'2f Scaling factor'!$E$8</f>
        <v>0.50680772769089244</v>
      </c>
      <c r="F40" s="85">
        <f>'2f Scaling factor'!$F$8</f>
        <v>0.72806021382904662</v>
      </c>
      <c r="G40" s="58"/>
      <c r="H40" s="58"/>
      <c r="I40" s="58"/>
      <c r="J40" s="58"/>
      <c r="K40" s="58"/>
      <c r="L40" s="58"/>
      <c r="M40" s="58"/>
      <c r="N40" s="58"/>
      <c r="O40" s="58"/>
      <c r="P40" s="58"/>
      <c r="Q40" s="58"/>
      <c r="R40" s="58"/>
      <c r="S40" s="58"/>
      <c r="T40" s="129"/>
      <c r="U40" s="83"/>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row>
    <row r="41" spans="1:52" s="25" customFormat="1" ht="12.4">
      <c r="A41" s="58"/>
      <c r="B41" s="58"/>
      <c r="C41" s="58"/>
      <c r="D41" s="58"/>
      <c r="E41" s="58"/>
      <c r="F41" s="58"/>
      <c r="G41" s="58"/>
      <c r="H41" s="58"/>
      <c r="I41" s="58"/>
      <c r="J41" s="58"/>
      <c r="K41" s="58"/>
      <c r="L41" s="58"/>
      <c r="M41" s="58"/>
      <c r="N41" s="58"/>
      <c r="O41" s="58"/>
      <c r="P41" s="58"/>
      <c r="Q41" s="58"/>
      <c r="R41" s="58"/>
      <c r="S41" s="58"/>
      <c r="T41" s="83"/>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row>
    <row r="42" spans="1:52" s="25" customFormat="1" ht="31.5" customHeight="1">
      <c r="A42" s="58"/>
      <c r="B42" s="77" t="s">
        <v>102</v>
      </c>
      <c r="C42" s="46" t="s">
        <v>103</v>
      </c>
      <c r="D42" s="77" t="s">
        <v>49</v>
      </c>
      <c r="E42" s="80" t="s">
        <v>104</v>
      </c>
      <c r="F42" s="80" t="s">
        <v>109</v>
      </c>
      <c r="G42" s="75" t="s">
        <v>110</v>
      </c>
      <c r="H42" s="75" t="s">
        <v>111</v>
      </c>
      <c r="I42" s="75" t="s">
        <v>112</v>
      </c>
      <c r="J42" s="75" t="s">
        <v>113</v>
      </c>
      <c r="K42" s="26"/>
      <c r="L42" s="75" t="s">
        <v>114</v>
      </c>
      <c r="M42" s="75" t="s">
        <v>115</v>
      </c>
      <c r="N42" s="75" t="s">
        <v>116</v>
      </c>
      <c r="O42" s="75" t="s">
        <v>117</v>
      </c>
      <c r="P42" s="75" t="s">
        <v>118</v>
      </c>
      <c r="Q42" s="75" t="s">
        <v>119</v>
      </c>
      <c r="R42" s="75" t="s">
        <v>120</v>
      </c>
      <c r="S42" s="75" t="s">
        <v>121</v>
      </c>
      <c r="T42" s="75" t="s">
        <v>122</v>
      </c>
      <c r="U42" s="75" t="s">
        <v>123</v>
      </c>
      <c r="V42" s="75" t="s">
        <v>124</v>
      </c>
      <c r="W42" s="75" t="s">
        <v>125</v>
      </c>
      <c r="X42" s="75" t="s">
        <v>126</v>
      </c>
      <c r="Y42" s="75" t="s">
        <v>127</v>
      </c>
      <c r="Z42" s="75" t="s">
        <v>128</v>
      </c>
      <c r="AA42" s="75" t="s">
        <v>225</v>
      </c>
      <c r="AB42" s="75" t="s">
        <v>130</v>
      </c>
      <c r="AC42" s="75" t="s">
        <v>131</v>
      </c>
      <c r="AD42" s="75" t="s">
        <v>132</v>
      </c>
      <c r="AE42" s="75" t="s">
        <v>133</v>
      </c>
      <c r="AF42" s="75" t="s">
        <v>134</v>
      </c>
      <c r="AG42" s="75" t="s">
        <v>135</v>
      </c>
      <c r="AH42" s="75" t="s">
        <v>136</v>
      </c>
      <c r="AI42" s="75" t="s">
        <v>137</v>
      </c>
      <c r="AJ42" s="75" t="s">
        <v>138</v>
      </c>
      <c r="AK42" s="75" t="s">
        <v>139</v>
      </c>
      <c r="AL42" s="75" t="s">
        <v>140</v>
      </c>
      <c r="AM42" s="75" t="s">
        <v>141</v>
      </c>
      <c r="AN42" s="75" t="s">
        <v>142</v>
      </c>
      <c r="AO42" s="75" t="s">
        <v>143</v>
      </c>
      <c r="AP42" s="75" t="s">
        <v>144</v>
      </c>
      <c r="AQ42" s="75" t="s">
        <v>145</v>
      </c>
      <c r="AR42" s="75" t="s">
        <v>146</v>
      </c>
      <c r="AS42" s="75" t="s">
        <v>147</v>
      </c>
      <c r="AT42" s="75" t="s">
        <v>148</v>
      </c>
      <c r="AU42" s="75" t="s">
        <v>149</v>
      </c>
      <c r="AV42" s="75" t="s">
        <v>150</v>
      </c>
      <c r="AW42" s="75" t="s">
        <v>151</v>
      </c>
      <c r="AX42" s="75" t="s">
        <v>152</v>
      </c>
      <c r="AY42" s="58"/>
      <c r="AZ42" s="57"/>
    </row>
    <row r="43" spans="1:52" s="25" customFormat="1" ht="37.15">
      <c r="A43" s="58"/>
      <c r="B43" s="190" t="s">
        <v>243</v>
      </c>
      <c r="C43" s="263" t="s">
        <v>214</v>
      </c>
      <c r="D43" s="231" t="s">
        <v>253</v>
      </c>
      <c r="E43" s="227" t="s">
        <v>239</v>
      </c>
      <c r="F43" s="152"/>
      <c r="G43" s="152"/>
      <c r="H43" s="152"/>
      <c r="I43" s="152"/>
      <c r="J43" s="152"/>
      <c r="K43" s="26"/>
      <c r="L43" s="58"/>
      <c r="M43" s="58"/>
      <c r="N43" s="58"/>
      <c r="O43" s="58"/>
      <c r="P43" s="58"/>
      <c r="Q43" s="58"/>
      <c r="R43" s="58"/>
      <c r="S43" s="58"/>
      <c r="T43" s="58"/>
      <c r="U43" s="58"/>
      <c r="V43" s="58"/>
      <c r="W43" s="58"/>
      <c r="X43" s="58"/>
      <c r="Y43" s="58"/>
      <c r="Z43" s="58"/>
      <c r="AA43" s="58"/>
      <c r="AB43" s="58"/>
      <c r="AC43" s="79">
        <f>IFERROR(AC34*$E$40,"-")</f>
        <v>9.1647858161996396</v>
      </c>
      <c r="AD43" s="79">
        <f t="shared" ref="AD43:AX43" si="6">IFERROR(AD34*$E$40,"-")</f>
        <v>9.7324756713654903</v>
      </c>
      <c r="AE43" s="79">
        <f t="shared" si="6"/>
        <v>9.7324756713654903</v>
      </c>
      <c r="AF43" s="79">
        <f t="shared" si="6"/>
        <v>9.4000238476763656</v>
      </c>
      <c r="AG43" s="79" t="str">
        <f t="shared" si="6"/>
        <v>-</v>
      </c>
      <c r="AH43" s="79" t="str">
        <f t="shared" si="6"/>
        <v>-</v>
      </c>
      <c r="AI43" s="79" t="str">
        <f t="shared" si="6"/>
        <v>-</v>
      </c>
      <c r="AJ43" s="79" t="str">
        <f t="shared" si="6"/>
        <v>-</v>
      </c>
      <c r="AK43" s="79" t="str">
        <f t="shared" si="6"/>
        <v>-</v>
      </c>
      <c r="AL43" s="79" t="str">
        <f t="shared" si="6"/>
        <v>-</v>
      </c>
      <c r="AM43" s="79" t="str">
        <f t="shared" si="6"/>
        <v>-</v>
      </c>
      <c r="AN43" s="79" t="str">
        <f t="shared" si="6"/>
        <v>-</v>
      </c>
      <c r="AO43" s="79" t="str">
        <f t="shared" si="6"/>
        <v>-</v>
      </c>
      <c r="AP43" s="79" t="str">
        <f t="shared" si="6"/>
        <v>-</v>
      </c>
      <c r="AQ43" s="79" t="str">
        <f t="shared" si="6"/>
        <v>-</v>
      </c>
      <c r="AR43" s="79" t="str">
        <f t="shared" si="6"/>
        <v>-</v>
      </c>
      <c r="AS43" s="79" t="str">
        <f t="shared" si="6"/>
        <v>-</v>
      </c>
      <c r="AT43" s="79" t="str">
        <f t="shared" si="6"/>
        <v>-</v>
      </c>
      <c r="AU43" s="79" t="str">
        <f t="shared" si="6"/>
        <v>-</v>
      </c>
      <c r="AV43" s="79" t="str">
        <f t="shared" si="6"/>
        <v>-</v>
      </c>
      <c r="AW43" s="79" t="str">
        <f t="shared" si="6"/>
        <v>-</v>
      </c>
      <c r="AX43" s="79" t="str">
        <f t="shared" si="6"/>
        <v>-</v>
      </c>
      <c r="AY43" s="58"/>
      <c r="AZ43" s="57"/>
    </row>
    <row r="44" spans="1:52" s="25" customFormat="1" ht="37.15">
      <c r="A44" s="58"/>
      <c r="B44" s="190" t="s">
        <v>247</v>
      </c>
      <c r="C44" s="264"/>
      <c r="D44" s="259"/>
      <c r="E44" s="254"/>
      <c r="F44" s="152"/>
      <c r="G44" s="152"/>
      <c r="H44" s="152"/>
      <c r="I44" s="152"/>
      <c r="J44" s="152"/>
      <c r="K44" s="26"/>
      <c r="L44" s="58"/>
      <c r="M44" s="58"/>
      <c r="N44" s="58"/>
      <c r="O44" s="58"/>
      <c r="P44" s="58"/>
      <c r="Q44" s="58"/>
      <c r="R44" s="58"/>
      <c r="S44" s="58"/>
      <c r="T44" s="58"/>
      <c r="U44" s="58"/>
      <c r="V44" s="58"/>
      <c r="W44" s="58"/>
      <c r="X44" s="58"/>
      <c r="Y44" s="58"/>
      <c r="Z44" s="58"/>
      <c r="AA44" s="58"/>
      <c r="AB44" s="58"/>
      <c r="AC44" s="79">
        <f t="shared" ref="AC44:AX44" si="7">IFERROR(AC35*$E$40,"-")</f>
        <v>9.3503982258154057</v>
      </c>
      <c r="AD44" s="79">
        <f t="shared" si="7"/>
        <v>9.9307227502673818</v>
      </c>
      <c r="AE44" s="79">
        <f t="shared" si="7"/>
        <v>9.9307227502673818</v>
      </c>
      <c r="AF44" s="79">
        <f t="shared" si="7"/>
        <v>9.5930934582252778</v>
      </c>
      <c r="AG44" s="79" t="str">
        <f t="shared" si="7"/>
        <v>-</v>
      </c>
      <c r="AH44" s="79" t="str">
        <f t="shared" si="7"/>
        <v>-</v>
      </c>
      <c r="AI44" s="79" t="str">
        <f t="shared" si="7"/>
        <v>-</v>
      </c>
      <c r="AJ44" s="79" t="str">
        <f t="shared" si="7"/>
        <v>-</v>
      </c>
      <c r="AK44" s="79" t="str">
        <f t="shared" si="7"/>
        <v>-</v>
      </c>
      <c r="AL44" s="79" t="str">
        <f t="shared" si="7"/>
        <v>-</v>
      </c>
      <c r="AM44" s="79" t="str">
        <f t="shared" si="7"/>
        <v>-</v>
      </c>
      <c r="AN44" s="79" t="str">
        <f t="shared" si="7"/>
        <v>-</v>
      </c>
      <c r="AO44" s="79" t="str">
        <f t="shared" si="7"/>
        <v>-</v>
      </c>
      <c r="AP44" s="79" t="str">
        <f t="shared" si="7"/>
        <v>-</v>
      </c>
      <c r="AQ44" s="79" t="str">
        <f t="shared" si="7"/>
        <v>-</v>
      </c>
      <c r="AR44" s="79" t="str">
        <f t="shared" si="7"/>
        <v>-</v>
      </c>
      <c r="AS44" s="79" t="str">
        <f t="shared" si="7"/>
        <v>-</v>
      </c>
      <c r="AT44" s="79" t="str">
        <f t="shared" si="7"/>
        <v>-</v>
      </c>
      <c r="AU44" s="79" t="str">
        <f t="shared" si="7"/>
        <v>-</v>
      </c>
      <c r="AV44" s="79" t="str">
        <f t="shared" si="7"/>
        <v>-</v>
      </c>
      <c r="AW44" s="79" t="str">
        <f t="shared" si="7"/>
        <v>-</v>
      </c>
      <c r="AX44" s="79" t="str">
        <f t="shared" si="7"/>
        <v>-</v>
      </c>
      <c r="AY44" s="58"/>
      <c r="AZ44" s="57"/>
    </row>
    <row r="45" spans="1:52" s="23" customFormat="1">
      <c r="A45" s="152"/>
      <c r="B45" s="87" t="s">
        <v>223</v>
      </c>
      <c r="C45" s="265"/>
      <c r="D45" s="232"/>
      <c r="E45" s="228"/>
      <c r="F45" s="152"/>
      <c r="G45" s="152"/>
      <c r="H45" s="152"/>
      <c r="I45" s="152"/>
      <c r="J45" s="152"/>
      <c r="K45" s="26"/>
      <c r="L45" s="58"/>
      <c r="M45" s="58"/>
      <c r="N45" s="58"/>
      <c r="O45" s="58"/>
      <c r="P45" s="58"/>
      <c r="Q45" s="58"/>
      <c r="R45" s="58"/>
      <c r="S45" s="58"/>
      <c r="T45" s="58"/>
      <c r="U45" s="58"/>
      <c r="V45" s="58"/>
      <c r="W45" s="58"/>
      <c r="X45" s="58"/>
      <c r="Y45" s="58"/>
      <c r="Z45" s="58"/>
      <c r="AA45" s="58"/>
      <c r="AB45" s="58"/>
      <c r="AC45" s="79">
        <f t="shared" ref="AC45:AX45" si="8">IFERROR(AC36*$F$40,"-")</f>
        <v>10.618148577775351</v>
      </c>
      <c r="AD45" s="79">
        <f t="shared" si="8"/>
        <v>11.166831800543354</v>
      </c>
      <c r="AE45" s="79">
        <f t="shared" si="8"/>
        <v>11.166831800543354</v>
      </c>
      <c r="AF45" s="79">
        <f t="shared" si="8"/>
        <v>11.266399448998246</v>
      </c>
      <c r="AG45" s="79" t="str">
        <f t="shared" si="8"/>
        <v>-</v>
      </c>
      <c r="AH45" s="79" t="str">
        <f t="shared" si="8"/>
        <v>-</v>
      </c>
      <c r="AI45" s="79" t="str">
        <f t="shared" si="8"/>
        <v>-</v>
      </c>
      <c r="AJ45" s="79" t="str">
        <f t="shared" si="8"/>
        <v>-</v>
      </c>
      <c r="AK45" s="79" t="str">
        <f t="shared" si="8"/>
        <v>-</v>
      </c>
      <c r="AL45" s="79" t="str">
        <f t="shared" si="8"/>
        <v>-</v>
      </c>
      <c r="AM45" s="79" t="str">
        <f t="shared" si="8"/>
        <v>-</v>
      </c>
      <c r="AN45" s="79" t="str">
        <f t="shared" si="8"/>
        <v>-</v>
      </c>
      <c r="AO45" s="79" t="str">
        <f t="shared" si="8"/>
        <v>-</v>
      </c>
      <c r="AP45" s="79" t="str">
        <f t="shared" si="8"/>
        <v>-</v>
      </c>
      <c r="AQ45" s="79" t="str">
        <f t="shared" si="8"/>
        <v>-</v>
      </c>
      <c r="AR45" s="79" t="str">
        <f t="shared" si="8"/>
        <v>-</v>
      </c>
      <c r="AS45" s="79" t="str">
        <f t="shared" si="8"/>
        <v>-</v>
      </c>
      <c r="AT45" s="79" t="str">
        <f t="shared" si="8"/>
        <v>-</v>
      </c>
      <c r="AU45" s="79" t="str">
        <f t="shared" si="8"/>
        <v>-</v>
      </c>
      <c r="AV45" s="79" t="str">
        <f t="shared" si="8"/>
        <v>-</v>
      </c>
      <c r="AW45" s="79" t="str">
        <f t="shared" si="8"/>
        <v>-</v>
      </c>
      <c r="AX45" s="79" t="str">
        <f t="shared" si="8"/>
        <v>-</v>
      </c>
      <c r="AY45" s="58"/>
      <c r="AZ45" s="57"/>
    </row>
    <row r="46" spans="1:52">
      <c r="L46" s="58"/>
      <c r="M46" s="58"/>
      <c r="N46" s="58"/>
      <c r="O46" s="58"/>
      <c r="P46" s="58"/>
      <c r="Q46" s="58"/>
      <c r="R46" s="58"/>
      <c r="S46" s="58"/>
      <c r="T46" s="58"/>
      <c r="U46" s="58"/>
      <c r="V46" s="58"/>
      <c r="W46" s="58"/>
      <c r="X46" s="58"/>
      <c r="Y46" s="58"/>
      <c r="Z46" s="58"/>
      <c r="AA46" s="58"/>
      <c r="AB46" s="58"/>
      <c r="AC46" s="191"/>
      <c r="AZ46" s="58"/>
    </row>
    <row r="47" spans="1:52">
      <c r="L47" s="58"/>
      <c r="M47" s="58"/>
      <c r="N47" s="58"/>
      <c r="O47" s="58"/>
      <c r="P47" s="58"/>
      <c r="Q47" s="58"/>
      <c r="R47" s="58"/>
      <c r="S47" s="58"/>
      <c r="T47" s="58"/>
      <c r="U47" s="58"/>
      <c r="V47" s="58"/>
      <c r="W47" s="58"/>
      <c r="X47" s="58"/>
      <c r="Y47" s="58"/>
      <c r="Z47" s="58"/>
      <c r="AA47" s="58"/>
      <c r="AB47" s="58"/>
      <c r="AZ47" s="58"/>
    </row>
  </sheetData>
  <mergeCells count="22">
    <mergeCell ref="C43:C45"/>
    <mergeCell ref="D43:D45"/>
    <mergeCell ref="E43:E45"/>
    <mergeCell ref="D34:D36"/>
    <mergeCell ref="E34:E36"/>
    <mergeCell ref="C34:C36"/>
    <mergeCell ref="B3:M3"/>
    <mergeCell ref="B8:B12"/>
    <mergeCell ref="C8:C12"/>
    <mergeCell ref="D8:D12"/>
    <mergeCell ref="E8:E12"/>
    <mergeCell ref="F8:F9"/>
    <mergeCell ref="G8:J8"/>
    <mergeCell ref="L8:AX8"/>
    <mergeCell ref="G9:J9"/>
    <mergeCell ref="L9:AX9"/>
    <mergeCell ref="B13:B18"/>
    <mergeCell ref="C13:C18"/>
    <mergeCell ref="B25:B29"/>
    <mergeCell ref="C25:C29"/>
    <mergeCell ref="B19:B24"/>
    <mergeCell ref="C19:C24"/>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pageSetUpPr autoPageBreaks="0"/>
  </sheetPr>
  <dimension ref="A1"/>
  <sheetViews>
    <sheetView zoomScaleNormal="100" workbookViewId="0"/>
  </sheetViews>
  <sheetFormatPr defaultRowHeight="14.25"/>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79998168889431442"/>
    <pageSetUpPr autoPageBreaks="0"/>
  </sheetPr>
  <dimension ref="A1:AV13"/>
  <sheetViews>
    <sheetView topLeftCell="V6" zoomScaleNormal="100" workbookViewId="0">
      <selection activeCell="AE10" sqref="AE10"/>
    </sheetView>
  </sheetViews>
  <sheetFormatPr defaultColWidth="0" defaultRowHeight="14.25" zeroHeight="1"/>
  <cols>
    <col min="1" max="1" width="9" style="6" customWidth="1"/>
    <col min="2" max="2" width="12.42578125" style="6" customWidth="1"/>
    <col min="3" max="3" width="19.5703125" style="6" customWidth="1"/>
    <col min="4" max="4" width="74.7109375" style="6" customWidth="1"/>
    <col min="5" max="5" width="16.28515625" style="6" customWidth="1"/>
    <col min="6" max="6" width="32" style="6" customWidth="1"/>
    <col min="7" max="7" width="16.5703125" style="6" customWidth="1"/>
    <col min="8" max="8" width="2.28515625" style="6" customWidth="1"/>
    <col min="9" max="47" width="18.5703125" style="6" customWidth="1"/>
    <col min="48" max="48" width="9" style="6" customWidth="1"/>
    <col min="49" max="16384" width="9" style="6" hidden="1"/>
  </cols>
  <sheetData>
    <row r="1" spans="1:48" s="1" customFormat="1" ht="12.75" customHeight="1"/>
    <row r="2" spans="1:48" s="1" customFormat="1" ht="18.75" customHeight="1">
      <c r="B2" s="4" t="s">
        <v>254</v>
      </c>
      <c r="C2" s="4"/>
      <c r="D2" s="4"/>
      <c r="E2" s="4"/>
      <c r="F2" s="4"/>
      <c r="G2" s="4"/>
      <c r="H2" s="4"/>
      <c r="P2" s="4"/>
    </row>
    <row r="3" spans="1:48" s="1" customFormat="1" ht="21.75" customHeight="1">
      <c r="B3" s="235" t="s">
        <v>255</v>
      </c>
      <c r="C3" s="235"/>
      <c r="D3" s="235"/>
      <c r="E3" s="235"/>
      <c r="F3" s="235"/>
      <c r="G3" s="235"/>
      <c r="H3" s="235"/>
      <c r="I3" s="235"/>
      <c r="J3" s="235"/>
      <c r="K3" s="5"/>
      <c r="L3" s="5"/>
      <c r="M3" s="5"/>
      <c r="N3" s="5"/>
      <c r="O3" s="5"/>
      <c r="P3" s="5"/>
      <c r="Q3" s="5"/>
      <c r="R3" s="5"/>
      <c r="S3" s="5"/>
    </row>
    <row r="4" spans="1:48" s="1" customFormat="1" ht="12.75" customHeight="1"/>
    <row r="5" spans="1:48"/>
    <row r="6" spans="1:48" s="25" customFormat="1" ht="52.5" customHeight="1">
      <c r="A6" s="58"/>
      <c r="B6" s="242" t="s">
        <v>102</v>
      </c>
      <c r="C6" s="272" t="s">
        <v>103</v>
      </c>
      <c r="D6" s="274" t="s">
        <v>49</v>
      </c>
      <c r="E6" s="242" t="s">
        <v>104</v>
      </c>
      <c r="F6" s="163" t="s">
        <v>153</v>
      </c>
      <c r="G6" s="73" t="s">
        <v>157</v>
      </c>
      <c r="H6" s="26"/>
      <c r="I6" s="74" t="s">
        <v>158</v>
      </c>
      <c r="J6" s="72" t="s">
        <v>159</v>
      </c>
      <c r="K6" s="72" t="s">
        <v>160</v>
      </c>
      <c r="L6" s="72" t="s">
        <v>161</v>
      </c>
      <c r="M6" s="72" t="s">
        <v>162</v>
      </c>
      <c r="N6" s="72" t="s">
        <v>163</v>
      </c>
      <c r="O6" s="72" t="s">
        <v>164</v>
      </c>
      <c r="P6" s="74" t="s">
        <v>165</v>
      </c>
      <c r="Q6" s="72" t="s">
        <v>166</v>
      </c>
      <c r="R6" s="72" t="s">
        <v>167</v>
      </c>
      <c r="S6" s="72" t="s">
        <v>168</v>
      </c>
      <c r="T6" s="72" t="s">
        <v>169</v>
      </c>
      <c r="U6" s="72" t="s">
        <v>170</v>
      </c>
      <c r="V6" s="72" t="s">
        <v>171</v>
      </c>
      <c r="W6" s="72" t="s">
        <v>172</v>
      </c>
      <c r="X6" s="72" t="s">
        <v>173</v>
      </c>
      <c r="Y6" s="72" t="s">
        <v>174</v>
      </c>
      <c r="Z6" s="72" t="s">
        <v>175</v>
      </c>
      <c r="AA6" s="72" t="s">
        <v>176</v>
      </c>
      <c r="AB6" s="72" t="s">
        <v>177</v>
      </c>
      <c r="AC6" s="72" t="s">
        <v>178</v>
      </c>
      <c r="AD6" s="72" t="s">
        <v>179</v>
      </c>
      <c r="AE6" s="72" t="s">
        <v>180</v>
      </c>
      <c r="AF6" s="72" t="s">
        <v>181</v>
      </c>
      <c r="AG6" s="72" t="s">
        <v>182</v>
      </c>
      <c r="AH6" s="72" t="s">
        <v>183</v>
      </c>
      <c r="AI6" s="72" t="s">
        <v>184</v>
      </c>
      <c r="AJ6" s="72" t="s">
        <v>185</v>
      </c>
      <c r="AK6" s="72" t="s">
        <v>186</v>
      </c>
      <c r="AL6" s="72" t="s">
        <v>187</v>
      </c>
      <c r="AM6" s="72" t="s">
        <v>188</v>
      </c>
      <c r="AN6" s="72" t="s">
        <v>189</v>
      </c>
      <c r="AO6" s="72" t="s">
        <v>190</v>
      </c>
      <c r="AP6" s="72" t="s">
        <v>191</v>
      </c>
      <c r="AQ6" s="72" t="s">
        <v>192</v>
      </c>
      <c r="AR6" s="72" t="s">
        <v>193</v>
      </c>
      <c r="AS6" s="72" t="s">
        <v>194</v>
      </c>
      <c r="AT6" s="72" t="s">
        <v>195</v>
      </c>
      <c r="AU6" s="72" t="s">
        <v>196</v>
      </c>
      <c r="AV6" s="58"/>
    </row>
    <row r="7" spans="1:48" s="25" customFormat="1" ht="52.5" customHeight="1">
      <c r="A7" s="58"/>
      <c r="B7" s="244"/>
      <c r="C7" s="273"/>
      <c r="D7" s="275"/>
      <c r="E7" s="244"/>
      <c r="F7" s="163" t="s">
        <v>109</v>
      </c>
      <c r="G7" s="75" t="s">
        <v>113</v>
      </c>
      <c r="H7" s="26"/>
      <c r="I7" s="70" t="s">
        <v>114</v>
      </c>
      <c r="J7" s="70" t="s">
        <v>115</v>
      </c>
      <c r="K7" s="70" t="s">
        <v>116</v>
      </c>
      <c r="L7" s="70" t="s">
        <v>117</v>
      </c>
      <c r="M7" s="70" t="s">
        <v>118</v>
      </c>
      <c r="N7" s="70" t="s">
        <v>119</v>
      </c>
      <c r="O7" s="70" t="s">
        <v>120</v>
      </c>
      <c r="P7" s="70" t="s">
        <v>121</v>
      </c>
      <c r="Q7" s="70" t="s">
        <v>122</v>
      </c>
      <c r="R7" s="70" t="s">
        <v>123</v>
      </c>
      <c r="S7" s="70" t="s">
        <v>124</v>
      </c>
      <c r="T7" s="70" t="s">
        <v>125</v>
      </c>
      <c r="U7" s="70" t="s">
        <v>126</v>
      </c>
      <c r="V7" s="70" t="s">
        <v>127</v>
      </c>
      <c r="W7" s="70" t="s">
        <v>128</v>
      </c>
      <c r="X7" s="70" t="s">
        <v>129</v>
      </c>
      <c r="Y7" s="70" t="s">
        <v>130</v>
      </c>
      <c r="Z7" s="70" t="s">
        <v>131</v>
      </c>
      <c r="AA7" s="70" t="s">
        <v>132</v>
      </c>
      <c r="AB7" s="70" t="s">
        <v>133</v>
      </c>
      <c r="AC7" s="70" t="s">
        <v>134</v>
      </c>
      <c r="AD7" s="70" t="s">
        <v>135</v>
      </c>
      <c r="AE7" s="70" t="s">
        <v>136</v>
      </c>
      <c r="AF7" s="70" t="s">
        <v>137</v>
      </c>
      <c r="AG7" s="70" t="s">
        <v>138</v>
      </c>
      <c r="AH7" s="70" t="s">
        <v>139</v>
      </c>
      <c r="AI7" s="70" t="s">
        <v>140</v>
      </c>
      <c r="AJ7" s="70" t="s">
        <v>141</v>
      </c>
      <c r="AK7" s="70" t="s">
        <v>142</v>
      </c>
      <c r="AL7" s="70" t="s">
        <v>143</v>
      </c>
      <c r="AM7" s="70" t="s">
        <v>144</v>
      </c>
      <c r="AN7" s="70" t="s">
        <v>145</v>
      </c>
      <c r="AO7" s="70" t="s">
        <v>146</v>
      </c>
      <c r="AP7" s="70" t="s">
        <v>147</v>
      </c>
      <c r="AQ7" s="70" t="s">
        <v>148</v>
      </c>
      <c r="AR7" s="70" t="s">
        <v>149</v>
      </c>
      <c r="AS7" s="70" t="s">
        <v>150</v>
      </c>
      <c r="AT7" s="70" t="s">
        <v>151</v>
      </c>
      <c r="AU7" s="70" t="s">
        <v>152</v>
      </c>
      <c r="AV7" s="58"/>
    </row>
    <row r="8" spans="1:48" s="25" customFormat="1" ht="99" customHeight="1">
      <c r="A8" s="58"/>
      <c r="B8" s="87" t="s">
        <v>213</v>
      </c>
      <c r="C8" s="269" t="s">
        <v>226</v>
      </c>
      <c r="D8" s="231" t="s">
        <v>256</v>
      </c>
      <c r="E8" s="270" t="s">
        <v>216</v>
      </c>
      <c r="F8" s="233"/>
      <c r="G8" s="88">
        <v>9.02</v>
      </c>
      <c r="H8" s="26"/>
      <c r="I8" s="88">
        <v>9.02</v>
      </c>
      <c r="J8" s="88">
        <v>9.02</v>
      </c>
      <c r="K8" s="89">
        <v>9.26</v>
      </c>
      <c r="L8" s="89">
        <v>9.4986124349857892</v>
      </c>
      <c r="M8" s="89">
        <v>10.64014630951915</v>
      </c>
      <c r="N8" s="89">
        <v>10.64014630951915</v>
      </c>
      <c r="O8" s="89">
        <v>10.26</v>
      </c>
      <c r="P8" s="130">
        <v>9.06</v>
      </c>
      <c r="Q8" s="130">
        <v>10.17</v>
      </c>
      <c r="R8" s="130">
        <v>10.55</v>
      </c>
      <c r="S8" s="130">
        <v>9.48</v>
      </c>
      <c r="T8" s="130">
        <v>9.48</v>
      </c>
      <c r="U8" s="130">
        <v>9.3000000000000007</v>
      </c>
      <c r="V8" s="130">
        <v>9.3000000000000007</v>
      </c>
      <c r="W8" s="130">
        <v>12.91</v>
      </c>
      <c r="X8" s="130">
        <v>12.91</v>
      </c>
      <c r="Y8" s="130">
        <v>13.04</v>
      </c>
      <c r="Z8" s="206">
        <v>1.6670018591082374</v>
      </c>
      <c r="AA8" s="206">
        <v>-2.0699999999999998</v>
      </c>
      <c r="AB8" s="206">
        <v>-2.0699999999999998</v>
      </c>
      <c r="AC8" s="130">
        <v>-3.0616745019999998</v>
      </c>
      <c r="AD8" s="130"/>
      <c r="AE8" s="130"/>
      <c r="AF8" s="130"/>
      <c r="AG8" s="130"/>
      <c r="AH8" s="130"/>
      <c r="AI8" s="130"/>
      <c r="AJ8" s="130"/>
      <c r="AK8" s="130"/>
      <c r="AL8" s="130"/>
      <c r="AM8" s="130"/>
      <c r="AN8" s="130"/>
      <c r="AO8" s="130"/>
      <c r="AP8" s="130"/>
      <c r="AQ8" s="130"/>
      <c r="AR8" s="130"/>
      <c r="AS8" s="130"/>
      <c r="AT8" s="130"/>
      <c r="AU8" s="130"/>
      <c r="AV8" s="58"/>
    </row>
    <row r="9" spans="1:48" s="25" customFormat="1" ht="99" customHeight="1">
      <c r="A9" s="58"/>
      <c r="B9" s="87" t="s">
        <v>223</v>
      </c>
      <c r="C9" s="265"/>
      <c r="D9" s="259"/>
      <c r="E9" s="271"/>
      <c r="F9" s="234"/>
      <c r="G9" s="88">
        <v>10.7</v>
      </c>
      <c r="H9" s="26"/>
      <c r="I9" s="88">
        <v>10.7</v>
      </c>
      <c r="J9" s="88">
        <v>10.7</v>
      </c>
      <c r="K9" s="89">
        <v>11.24</v>
      </c>
      <c r="L9" s="89">
        <v>11.773847615869055</v>
      </c>
      <c r="M9" s="89">
        <v>6.4812260764723026</v>
      </c>
      <c r="N9" s="89">
        <v>6.4812260764723026</v>
      </c>
      <c r="O9" s="89">
        <v>3.33</v>
      </c>
      <c r="P9" s="89">
        <v>-1.04</v>
      </c>
      <c r="Q9" s="130">
        <v>-0.8</v>
      </c>
      <c r="R9" s="130">
        <v>-0.88</v>
      </c>
      <c r="S9" s="130">
        <v>-2.69</v>
      </c>
      <c r="T9" s="130">
        <v>-2.69</v>
      </c>
      <c r="U9" s="130">
        <v>-3.81</v>
      </c>
      <c r="V9" s="130">
        <v>-3.81</v>
      </c>
      <c r="W9" s="130">
        <v>-1.32</v>
      </c>
      <c r="X9" s="130">
        <v>-1.32</v>
      </c>
      <c r="Y9" s="130">
        <v>-1.85</v>
      </c>
      <c r="Z9" s="206">
        <v>-5.4445461929239141</v>
      </c>
      <c r="AA9" s="206">
        <v>-3.66</v>
      </c>
      <c r="AB9" s="206">
        <v>-3.66</v>
      </c>
      <c r="AC9" s="130">
        <v>-5.9302043610000004</v>
      </c>
      <c r="AD9" s="130"/>
      <c r="AE9" s="130"/>
      <c r="AF9" s="130"/>
      <c r="AG9" s="130"/>
      <c r="AH9" s="130"/>
      <c r="AI9" s="130"/>
      <c r="AJ9" s="130"/>
      <c r="AK9" s="130"/>
      <c r="AL9" s="130"/>
      <c r="AM9" s="130"/>
      <c r="AN9" s="130"/>
      <c r="AO9" s="130"/>
      <c r="AP9" s="130"/>
      <c r="AQ9" s="130"/>
      <c r="AR9" s="130"/>
      <c r="AS9" s="130"/>
      <c r="AT9" s="130"/>
      <c r="AU9" s="130"/>
      <c r="AV9" s="58"/>
    </row>
    <row r="10" spans="1:48" s="25" customFormat="1" ht="99" customHeight="1">
      <c r="A10" s="58"/>
      <c r="B10" s="87" t="s">
        <v>213</v>
      </c>
      <c r="C10" s="269" t="s">
        <v>228</v>
      </c>
      <c r="D10" s="259"/>
      <c r="E10" s="270" t="s">
        <v>216</v>
      </c>
      <c r="F10" s="233"/>
      <c r="G10" s="88"/>
      <c r="H10" s="26"/>
      <c r="I10" s="88"/>
      <c r="J10" s="88"/>
      <c r="K10" s="89"/>
      <c r="L10" s="89"/>
      <c r="M10" s="89">
        <v>0</v>
      </c>
      <c r="N10" s="89">
        <v>0</v>
      </c>
      <c r="O10" s="89">
        <v>-2.6105662978165212</v>
      </c>
      <c r="P10" s="89">
        <v>-1.26</v>
      </c>
      <c r="Q10" s="130">
        <v>-5.26</v>
      </c>
      <c r="R10" s="130">
        <v>-6.25</v>
      </c>
      <c r="S10" s="130">
        <v>-6.02</v>
      </c>
      <c r="T10" s="130">
        <v>-6.02</v>
      </c>
      <c r="U10" s="130">
        <v>-7.89</v>
      </c>
      <c r="V10" s="130">
        <v>-7.89</v>
      </c>
      <c r="W10" s="130">
        <v>-10.84</v>
      </c>
      <c r="X10" s="130">
        <v>-10.84</v>
      </c>
      <c r="Y10" s="130">
        <v>-11.84</v>
      </c>
      <c r="Z10" s="206">
        <v>0.10390263632931146</v>
      </c>
      <c r="AA10" s="206">
        <v>-3.16</v>
      </c>
      <c r="AB10" s="206">
        <v>-3.16</v>
      </c>
      <c r="AC10" s="130">
        <v>-5.2275331950000004</v>
      </c>
      <c r="AD10" s="130"/>
      <c r="AE10" s="130"/>
      <c r="AF10" s="130"/>
      <c r="AG10" s="130"/>
      <c r="AH10" s="130"/>
      <c r="AI10" s="130"/>
      <c r="AJ10" s="130"/>
      <c r="AK10" s="130"/>
      <c r="AL10" s="130"/>
      <c r="AM10" s="130"/>
      <c r="AN10" s="130"/>
      <c r="AO10" s="130"/>
      <c r="AP10" s="130"/>
      <c r="AQ10" s="130"/>
      <c r="AR10" s="130"/>
      <c r="AS10" s="130"/>
      <c r="AT10" s="130"/>
      <c r="AU10" s="130"/>
      <c r="AV10" s="58"/>
    </row>
    <row r="11" spans="1:48" s="25" customFormat="1" ht="99" customHeight="1">
      <c r="A11" s="58"/>
      <c r="B11" s="87" t="s">
        <v>223</v>
      </c>
      <c r="C11" s="265"/>
      <c r="D11" s="232"/>
      <c r="E11" s="271"/>
      <c r="F11" s="234"/>
      <c r="G11" s="88"/>
      <c r="H11" s="26"/>
      <c r="I11" s="88"/>
      <c r="J11" s="88"/>
      <c r="K11" s="89"/>
      <c r="L11" s="89"/>
      <c r="M11" s="89">
        <v>0</v>
      </c>
      <c r="N11" s="89">
        <v>0</v>
      </c>
      <c r="O11" s="89">
        <v>-15.859334646899347</v>
      </c>
      <c r="P11" s="89">
        <v>-17.54</v>
      </c>
      <c r="Q11" s="130">
        <v>-23.43</v>
      </c>
      <c r="R11" s="130">
        <v>-26.33</v>
      </c>
      <c r="S11" s="130">
        <v>-26.79</v>
      </c>
      <c r="T11" s="130">
        <v>-26.79</v>
      </c>
      <c r="U11" s="130">
        <v>-31.42</v>
      </c>
      <c r="V11" s="130">
        <v>-31.42</v>
      </c>
      <c r="W11" s="130">
        <v>-45.12</v>
      </c>
      <c r="X11" s="130">
        <v>-45.12</v>
      </c>
      <c r="Y11" s="130">
        <v>-48.73</v>
      </c>
      <c r="Z11" s="206">
        <v>-18.433633913574564</v>
      </c>
      <c r="AA11" s="206">
        <v>-6.45</v>
      </c>
      <c r="AB11" s="206">
        <v>-6.45</v>
      </c>
      <c r="AC11" s="130">
        <v>-8.9919152459999996</v>
      </c>
      <c r="AD11" s="130"/>
      <c r="AE11" s="130"/>
      <c r="AF11" s="130"/>
      <c r="AG11" s="130"/>
      <c r="AH11" s="130"/>
      <c r="AI11" s="130"/>
      <c r="AJ11" s="130"/>
      <c r="AK11" s="130"/>
      <c r="AL11" s="130"/>
      <c r="AM11" s="130"/>
      <c r="AN11" s="130"/>
      <c r="AO11" s="130"/>
      <c r="AP11" s="130"/>
      <c r="AQ11" s="130"/>
      <c r="AR11" s="130"/>
      <c r="AS11" s="130"/>
      <c r="AT11" s="130"/>
      <c r="AU11" s="130"/>
      <c r="AV11" s="58"/>
    </row>
    <row r="12" spans="1:48">
      <c r="Q12" s="128"/>
    </row>
    <row r="13" spans="1:48"/>
  </sheetData>
  <mergeCells count="12">
    <mergeCell ref="C10:C11"/>
    <mergeCell ref="E10:E11"/>
    <mergeCell ref="F10:F11"/>
    <mergeCell ref="D8:D11"/>
    <mergeCell ref="B3:J3"/>
    <mergeCell ref="E8:E9"/>
    <mergeCell ref="F8:F9"/>
    <mergeCell ref="C8:C9"/>
    <mergeCell ref="B6:B7"/>
    <mergeCell ref="C6:C7"/>
    <mergeCell ref="D6:D7"/>
    <mergeCell ref="E6:E7"/>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79998168889431442"/>
    <pageSetUpPr autoPageBreaks="0"/>
  </sheetPr>
  <dimension ref="A1:AX57"/>
  <sheetViews>
    <sheetView topLeftCell="X1" zoomScaleNormal="100" workbookViewId="0">
      <selection activeCell="AE15" sqref="AE15:AE16"/>
    </sheetView>
  </sheetViews>
  <sheetFormatPr defaultColWidth="0" defaultRowHeight="13.5" zeroHeight="1"/>
  <cols>
    <col min="1" max="1" width="9" style="23" customWidth="1"/>
    <col min="2" max="2" width="56" style="23" customWidth="1"/>
    <col min="3" max="3" width="40" style="23" customWidth="1"/>
    <col min="4" max="4" width="11.5703125" style="23" bestFit="1" customWidth="1"/>
    <col min="5" max="5" width="29.5703125" style="23" bestFit="1" customWidth="1"/>
    <col min="6" max="7" width="19.5703125" style="23" customWidth="1"/>
    <col min="8" max="8" width="23" style="23" customWidth="1"/>
    <col min="9" max="9" width="19.5703125" style="23" customWidth="1"/>
    <col min="10" max="10" width="1.28515625" style="23" customWidth="1"/>
    <col min="11" max="49" width="19" style="23" customWidth="1"/>
    <col min="50" max="50" width="9" style="23" customWidth="1"/>
    <col min="51" max="16384" width="9" style="23" hidden="1"/>
  </cols>
  <sheetData>
    <row r="1" spans="1:50" s="21" customFormat="1" ht="12.75" customHeight="1"/>
    <row r="2" spans="1:50" s="21" customFormat="1" ht="18.75" customHeight="1">
      <c r="B2" s="4" t="s">
        <v>257</v>
      </c>
      <c r="C2" s="4"/>
      <c r="D2" s="4"/>
      <c r="E2" s="4"/>
      <c r="F2" s="4"/>
      <c r="G2" s="4"/>
      <c r="H2" s="4"/>
      <c r="I2" s="4"/>
      <c r="J2" s="4"/>
    </row>
    <row r="3" spans="1:50" s="21" customFormat="1" ht="14.25" customHeight="1">
      <c r="B3" s="235" t="s">
        <v>258</v>
      </c>
      <c r="C3" s="235"/>
      <c r="D3" s="235"/>
      <c r="E3" s="235"/>
      <c r="F3" s="235"/>
      <c r="G3" s="235"/>
      <c r="H3" s="235"/>
      <c r="I3" s="235"/>
      <c r="J3" s="235"/>
      <c r="K3" s="235"/>
      <c r="L3" s="235"/>
      <c r="M3" s="22"/>
      <c r="N3" s="22"/>
      <c r="O3" s="22"/>
      <c r="P3" s="22"/>
      <c r="Z3" s="22"/>
    </row>
    <row r="4" spans="1:50" s="21" customFormat="1" ht="12.75" customHeight="1"/>
    <row r="5" spans="1:50" s="152" customFormat="1" ht="15" customHeight="1"/>
    <row r="6" spans="1:50" s="25" customFormat="1" ht="12" customHeight="1">
      <c r="A6" s="58"/>
      <c r="B6" s="274" t="s">
        <v>49</v>
      </c>
      <c r="C6" s="274" t="s">
        <v>259</v>
      </c>
      <c r="D6" s="274" t="s">
        <v>104</v>
      </c>
      <c r="E6" s="278"/>
      <c r="F6" s="236" t="s">
        <v>105</v>
      </c>
      <c r="G6" s="237"/>
      <c r="H6" s="237"/>
      <c r="I6" s="238"/>
      <c r="J6" s="160"/>
      <c r="K6" s="282" t="s">
        <v>106</v>
      </c>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4"/>
      <c r="AX6" s="58"/>
    </row>
    <row r="7" spans="1:50" s="25" customFormat="1" ht="29.25" customHeight="1">
      <c r="A7" s="58"/>
      <c r="B7" s="277"/>
      <c r="C7" s="277"/>
      <c r="D7" s="277"/>
      <c r="E7" s="278"/>
      <c r="F7" s="289" t="s">
        <v>260</v>
      </c>
      <c r="G7" s="290"/>
      <c r="H7" s="290"/>
      <c r="I7" s="291"/>
      <c r="J7" s="26"/>
      <c r="K7" s="285" t="s">
        <v>108</v>
      </c>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7"/>
      <c r="AX7" s="58"/>
    </row>
    <row r="8" spans="1:50" s="25" customFormat="1" ht="24.75">
      <c r="A8" s="58"/>
      <c r="B8" s="277"/>
      <c r="C8" s="277"/>
      <c r="D8" s="277"/>
      <c r="E8" s="90" t="s">
        <v>261</v>
      </c>
      <c r="F8" s="70" t="s">
        <v>110</v>
      </c>
      <c r="G8" s="70" t="s">
        <v>111</v>
      </c>
      <c r="H8" s="70" t="s">
        <v>112</v>
      </c>
      <c r="I8" s="70" t="s">
        <v>113</v>
      </c>
      <c r="J8" s="26"/>
      <c r="K8" s="70" t="s">
        <v>114</v>
      </c>
      <c r="L8" s="70" t="s">
        <v>115</v>
      </c>
      <c r="M8" s="70" t="s">
        <v>116</v>
      </c>
      <c r="N8" s="70" t="s">
        <v>117</v>
      </c>
      <c r="O8" s="70" t="s">
        <v>118</v>
      </c>
      <c r="P8" s="70" t="s">
        <v>119</v>
      </c>
      <c r="Q8" s="70" t="s">
        <v>120</v>
      </c>
      <c r="R8" s="70" t="s">
        <v>121</v>
      </c>
      <c r="S8" s="70" t="s">
        <v>122</v>
      </c>
      <c r="T8" s="70" t="s">
        <v>123</v>
      </c>
      <c r="U8" s="70" t="s">
        <v>124</v>
      </c>
      <c r="V8" s="70" t="s">
        <v>125</v>
      </c>
      <c r="W8" s="70" t="s">
        <v>126</v>
      </c>
      <c r="X8" s="70" t="s">
        <v>127</v>
      </c>
      <c r="Y8" s="70" t="s">
        <v>128</v>
      </c>
      <c r="Z8" s="70" t="s">
        <v>129</v>
      </c>
      <c r="AA8" s="70" t="s">
        <v>130</v>
      </c>
      <c r="AB8" s="70" t="s">
        <v>131</v>
      </c>
      <c r="AC8" s="70" t="s">
        <v>132</v>
      </c>
      <c r="AD8" s="70" t="s">
        <v>133</v>
      </c>
      <c r="AE8" s="70" t="s">
        <v>134</v>
      </c>
      <c r="AF8" s="70" t="s">
        <v>135</v>
      </c>
      <c r="AG8" s="70" t="s">
        <v>136</v>
      </c>
      <c r="AH8" s="70" t="s">
        <v>137</v>
      </c>
      <c r="AI8" s="70" t="s">
        <v>138</v>
      </c>
      <c r="AJ8" s="70" t="s">
        <v>139</v>
      </c>
      <c r="AK8" s="70" t="s">
        <v>140</v>
      </c>
      <c r="AL8" s="70" t="s">
        <v>141</v>
      </c>
      <c r="AM8" s="70" t="s">
        <v>142</v>
      </c>
      <c r="AN8" s="70" t="s">
        <v>143</v>
      </c>
      <c r="AO8" s="70" t="s">
        <v>144</v>
      </c>
      <c r="AP8" s="70" t="s">
        <v>145</v>
      </c>
      <c r="AQ8" s="70" t="s">
        <v>146</v>
      </c>
      <c r="AR8" s="70" t="s">
        <v>147</v>
      </c>
      <c r="AS8" s="70" t="s">
        <v>148</v>
      </c>
      <c r="AT8" s="70" t="s">
        <v>149</v>
      </c>
      <c r="AU8" s="70" t="s">
        <v>150</v>
      </c>
      <c r="AV8" s="70" t="s">
        <v>151</v>
      </c>
      <c r="AW8" s="70" t="s">
        <v>152</v>
      </c>
      <c r="AX8" s="58"/>
    </row>
    <row r="9" spans="1:50" s="25" customFormat="1" ht="12.4">
      <c r="A9" s="58"/>
      <c r="B9" s="277"/>
      <c r="C9" s="277"/>
      <c r="D9" s="277"/>
      <c r="E9" s="91" t="s">
        <v>153</v>
      </c>
      <c r="F9" s="72" t="s">
        <v>154</v>
      </c>
      <c r="G9" s="72" t="s">
        <v>155</v>
      </c>
      <c r="H9" s="72" t="s">
        <v>156</v>
      </c>
      <c r="I9" s="73" t="s">
        <v>157</v>
      </c>
      <c r="J9" s="26"/>
      <c r="K9" s="74" t="s">
        <v>158</v>
      </c>
      <c r="L9" s="72" t="s">
        <v>159</v>
      </c>
      <c r="M9" s="72" t="s">
        <v>160</v>
      </c>
      <c r="N9" s="72" t="s">
        <v>161</v>
      </c>
      <c r="O9" s="72" t="s">
        <v>162</v>
      </c>
      <c r="P9" s="72" t="s">
        <v>163</v>
      </c>
      <c r="Q9" s="72" t="s">
        <v>164</v>
      </c>
      <c r="R9" s="72">
        <v>44593</v>
      </c>
      <c r="S9" s="72" t="s">
        <v>166</v>
      </c>
      <c r="T9" s="72" t="s">
        <v>167</v>
      </c>
      <c r="U9" s="72" t="s">
        <v>168</v>
      </c>
      <c r="V9" s="72" t="s">
        <v>169</v>
      </c>
      <c r="W9" s="72" t="s">
        <v>170</v>
      </c>
      <c r="X9" s="72" t="s">
        <v>171</v>
      </c>
      <c r="Y9" s="72" t="s">
        <v>172</v>
      </c>
      <c r="Z9" s="72" t="s">
        <v>173</v>
      </c>
      <c r="AA9" s="72" t="s">
        <v>174</v>
      </c>
      <c r="AB9" s="72" t="s">
        <v>175</v>
      </c>
      <c r="AC9" s="72" t="s">
        <v>176</v>
      </c>
      <c r="AD9" s="72" t="s">
        <v>177</v>
      </c>
      <c r="AE9" s="72" t="s">
        <v>178</v>
      </c>
      <c r="AF9" s="72" t="s">
        <v>179</v>
      </c>
      <c r="AG9" s="72" t="s">
        <v>180</v>
      </c>
      <c r="AH9" s="72" t="s">
        <v>181</v>
      </c>
      <c r="AI9" s="72" t="s">
        <v>182</v>
      </c>
      <c r="AJ9" s="72" t="s">
        <v>183</v>
      </c>
      <c r="AK9" s="72" t="s">
        <v>184</v>
      </c>
      <c r="AL9" s="72" t="s">
        <v>185</v>
      </c>
      <c r="AM9" s="72" t="s">
        <v>186</v>
      </c>
      <c r="AN9" s="72" t="s">
        <v>187</v>
      </c>
      <c r="AO9" s="72" t="s">
        <v>188</v>
      </c>
      <c r="AP9" s="72" t="s">
        <v>189</v>
      </c>
      <c r="AQ9" s="72" t="s">
        <v>190</v>
      </c>
      <c r="AR9" s="72" t="s">
        <v>191</v>
      </c>
      <c r="AS9" s="72" t="s">
        <v>192</v>
      </c>
      <c r="AT9" s="72" t="s">
        <v>193</v>
      </c>
      <c r="AU9" s="72" t="s">
        <v>194</v>
      </c>
      <c r="AV9" s="72" t="s">
        <v>195</v>
      </c>
      <c r="AW9" s="72" t="s">
        <v>196</v>
      </c>
      <c r="AX9" s="58"/>
    </row>
    <row r="10" spans="1:50" s="25" customFormat="1" ht="12.4">
      <c r="A10" s="58"/>
      <c r="B10" s="275"/>
      <c r="C10" s="275"/>
      <c r="D10" s="275"/>
      <c r="E10" s="92" t="s">
        <v>197</v>
      </c>
      <c r="F10" s="75" t="s">
        <v>198</v>
      </c>
      <c r="G10" s="72" t="s">
        <v>198</v>
      </c>
      <c r="H10" s="72" t="s">
        <v>199</v>
      </c>
      <c r="I10" s="72" t="s">
        <v>199</v>
      </c>
      <c r="J10" s="26"/>
      <c r="K10" s="72" t="s">
        <v>200</v>
      </c>
      <c r="L10" s="72" t="s">
        <v>201</v>
      </c>
      <c r="M10" s="72" t="s">
        <v>201</v>
      </c>
      <c r="N10" s="72" t="s">
        <v>202</v>
      </c>
      <c r="O10" s="72" t="s">
        <v>202</v>
      </c>
      <c r="P10" s="72" t="s">
        <v>203</v>
      </c>
      <c r="Q10" s="72" t="s">
        <v>203</v>
      </c>
      <c r="R10" s="72" t="s">
        <v>204</v>
      </c>
      <c r="S10" s="72" t="s">
        <v>204</v>
      </c>
      <c r="T10" s="72" t="s">
        <v>205</v>
      </c>
      <c r="U10" s="72" t="s">
        <v>205</v>
      </c>
      <c r="V10" s="72" t="s">
        <v>205</v>
      </c>
      <c r="W10" s="72" t="s">
        <v>206</v>
      </c>
      <c r="X10" s="72" t="s">
        <v>206</v>
      </c>
      <c r="Y10" s="72" t="s">
        <v>206</v>
      </c>
      <c r="Z10" s="72" t="s">
        <v>206</v>
      </c>
      <c r="AA10" s="72" t="s">
        <v>207</v>
      </c>
      <c r="AB10" s="72" t="s">
        <v>207</v>
      </c>
      <c r="AC10" s="72" t="s">
        <v>207</v>
      </c>
      <c r="AD10" s="72" t="s">
        <v>207</v>
      </c>
      <c r="AE10" s="72" t="s">
        <v>208</v>
      </c>
      <c r="AF10" s="72" t="s">
        <v>208</v>
      </c>
      <c r="AG10" s="72" t="s">
        <v>208</v>
      </c>
      <c r="AH10" s="72" t="s">
        <v>208</v>
      </c>
      <c r="AI10" s="72" t="s">
        <v>209</v>
      </c>
      <c r="AJ10" s="72" t="s">
        <v>209</v>
      </c>
      <c r="AK10" s="72" t="s">
        <v>209</v>
      </c>
      <c r="AL10" s="72" t="s">
        <v>209</v>
      </c>
      <c r="AM10" s="72" t="s">
        <v>210</v>
      </c>
      <c r="AN10" s="72" t="s">
        <v>210</v>
      </c>
      <c r="AO10" s="72" t="s">
        <v>210</v>
      </c>
      <c r="AP10" s="72" t="s">
        <v>210</v>
      </c>
      <c r="AQ10" s="72" t="s">
        <v>211</v>
      </c>
      <c r="AR10" s="72" t="s">
        <v>211</v>
      </c>
      <c r="AS10" s="72" t="s">
        <v>211</v>
      </c>
      <c r="AT10" s="72" t="s">
        <v>211</v>
      </c>
      <c r="AU10" s="72" t="s">
        <v>212</v>
      </c>
      <c r="AV10" s="72" t="s">
        <v>212</v>
      </c>
      <c r="AW10" s="72" t="s">
        <v>212</v>
      </c>
      <c r="AX10" s="58"/>
    </row>
    <row r="11" spans="1:50" s="25" customFormat="1" ht="12.4">
      <c r="A11" s="58"/>
      <c r="B11" s="279" t="s">
        <v>262</v>
      </c>
      <c r="C11" s="280"/>
      <c r="D11" s="280"/>
      <c r="E11" s="280"/>
      <c r="F11" s="280"/>
      <c r="G11" s="280"/>
      <c r="H11" s="280"/>
      <c r="I11" s="280"/>
      <c r="J11" s="280"/>
      <c r="K11" s="280"/>
      <c r="L11" s="280"/>
      <c r="M11" s="280"/>
      <c r="N11" s="280"/>
      <c r="O11" s="280"/>
      <c r="P11" s="280"/>
      <c r="Q11" s="280"/>
      <c r="R11" s="280"/>
      <c r="S11" s="280"/>
      <c r="T11" s="280"/>
      <c r="U11" s="281"/>
      <c r="V11" s="280"/>
      <c r="W11" s="280"/>
      <c r="X11" s="280"/>
      <c r="Y11" s="280"/>
      <c r="Z11" s="280"/>
      <c r="AA11" s="280"/>
      <c r="AB11" s="280"/>
      <c r="AC11" s="280"/>
      <c r="AD11" s="280"/>
      <c r="AE11" s="280"/>
      <c r="AF11" s="280"/>
      <c r="AG11" s="280"/>
      <c r="AH11" s="280"/>
      <c r="AI11" s="280"/>
      <c r="AJ11" s="280"/>
      <c r="AK11" s="280"/>
      <c r="AL11" s="280"/>
      <c r="AM11" s="280"/>
      <c r="AN11" s="280"/>
      <c r="AO11" s="281"/>
      <c r="AP11" s="280"/>
      <c r="AQ11" s="280"/>
      <c r="AR11" s="280"/>
      <c r="AS11" s="280"/>
      <c r="AT11" s="280"/>
      <c r="AU11" s="280"/>
      <c r="AV11" s="280"/>
      <c r="AW11" s="281"/>
      <c r="AX11" s="58"/>
    </row>
    <row r="12" spans="1:50" s="25" customFormat="1" ht="12.4">
      <c r="A12" s="58"/>
      <c r="B12" s="52" t="s">
        <v>263</v>
      </c>
      <c r="C12" s="52" t="s">
        <v>264</v>
      </c>
      <c r="D12" s="52" t="s">
        <v>265</v>
      </c>
      <c r="E12" s="157"/>
      <c r="F12" s="94">
        <v>39190950</v>
      </c>
      <c r="G12" s="94">
        <v>39190950</v>
      </c>
      <c r="H12" s="94">
        <v>39951368</v>
      </c>
      <c r="I12" s="94">
        <v>39951368</v>
      </c>
      <c r="J12" s="26"/>
      <c r="K12" s="94">
        <v>39951368</v>
      </c>
      <c r="L12" s="94">
        <v>37970642</v>
      </c>
      <c r="M12" s="94">
        <v>37970642</v>
      </c>
      <c r="N12" s="94">
        <v>27204000</v>
      </c>
      <c r="O12" s="94">
        <v>27204000</v>
      </c>
      <c r="P12" s="94">
        <v>24115560</v>
      </c>
      <c r="Q12" s="94">
        <v>24115560</v>
      </c>
      <c r="R12" s="94">
        <v>24836780</v>
      </c>
      <c r="S12" s="94">
        <v>26076780</v>
      </c>
      <c r="T12" s="94">
        <v>26077364</v>
      </c>
      <c r="U12" s="94">
        <v>26077364</v>
      </c>
      <c r="V12" s="94">
        <v>26077364</v>
      </c>
      <c r="W12" s="94">
        <v>25030000</v>
      </c>
      <c r="X12" s="94">
        <v>25030000</v>
      </c>
      <c r="Y12" s="94">
        <v>25030000</v>
      </c>
      <c r="Z12" s="94">
        <v>25030000</v>
      </c>
      <c r="AA12" s="94">
        <v>29200000</v>
      </c>
      <c r="AB12" s="94">
        <v>29200000</v>
      </c>
      <c r="AC12" s="94">
        <v>29200000</v>
      </c>
      <c r="AD12" s="94">
        <v>29200000</v>
      </c>
      <c r="AE12" s="94">
        <v>28942000</v>
      </c>
      <c r="AF12" s="94"/>
      <c r="AG12" s="94"/>
      <c r="AH12" s="94"/>
      <c r="AI12" s="94"/>
      <c r="AJ12" s="94"/>
      <c r="AK12" s="94"/>
      <c r="AL12" s="94"/>
      <c r="AM12" s="94"/>
      <c r="AN12" s="94"/>
      <c r="AO12" s="94"/>
      <c r="AP12" s="94"/>
      <c r="AQ12" s="94"/>
      <c r="AR12" s="94"/>
      <c r="AS12" s="94"/>
      <c r="AT12" s="94"/>
      <c r="AU12" s="94"/>
      <c r="AV12" s="94"/>
      <c r="AW12" s="94"/>
      <c r="AX12" s="58"/>
    </row>
    <row r="13" spans="1:50" s="25" customFormat="1" ht="12.4">
      <c r="A13" s="58"/>
      <c r="B13" s="52" t="s">
        <v>266</v>
      </c>
      <c r="C13" s="52" t="s">
        <v>264</v>
      </c>
      <c r="D13" s="52" t="s">
        <v>265</v>
      </c>
      <c r="E13" s="157"/>
      <c r="F13" s="94">
        <v>1221160</v>
      </c>
      <c r="G13" s="94">
        <v>1221160</v>
      </c>
      <c r="H13" s="94">
        <v>1176500</v>
      </c>
      <c r="I13" s="94">
        <v>1176500</v>
      </c>
      <c r="J13" s="26"/>
      <c r="K13" s="94">
        <v>1176500</v>
      </c>
      <c r="L13" s="94">
        <v>836246</v>
      </c>
      <c r="M13" s="94">
        <v>836246</v>
      </c>
      <c r="N13" s="94">
        <v>1549000</v>
      </c>
      <c r="O13" s="94">
        <v>1549000</v>
      </c>
      <c r="P13" s="94">
        <v>5325284</v>
      </c>
      <c r="Q13" s="94">
        <v>5325284</v>
      </c>
      <c r="R13" s="94">
        <f>2357070+1743500+180000</f>
        <v>4280570</v>
      </c>
      <c r="S13" s="94">
        <v>4702570</v>
      </c>
      <c r="T13" s="94">
        <v>4430693</v>
      </c>
      <c r="U13" s="94">
        <v>4430693</v>
      </c>
      <c r="V13" s="94">
        <v>4430693</v>
      </c>
      <c r="W13" s="94">
        <v>5135000</v>
      </c>
      <c r="X13" s="94">
        <v>5135000</v>
      </c>
      <c r="Y13" s="94">
        <v>5135000</v>
      </c>
      <c r="Z13" s="94">
        <v>5135000</v>
      </c>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58"/>
    </row>
    <row r="14" spans="1:50" s="25" customFormat="1" ht="12.4">
      <c r="A14" s="58"/>
      <c r="B14" s="52" t="s">
        <v>267</v>
      </c>
      <c r="C14" s="52" t="s">
        <v>264</v>
      </c>
      <c r="D14" s="52" t="s">
        <v>265</v>
      </c>
      <c r="E14" s="157"/>
      <c r="F14" s="94">
        <v>8054877</v>
      </c>
      <c r="G14" s="94">
        <v>8054877</v>
      </c>
      <c r="H14" s="94">
        <v>8985436</v>
      </c>
      <c r="I14" s="94">
        <v>8985436</v>
      </c>
      <c r="J14" s="26"/>
      <c r="K14" s="94">
        <v>8985436</v>
      </c>
      <c r="L14" s="94">
        <v>9626765</v>
      </c>
      <c r="M14" s="94">
        <v>9626765</v>
      </c>
      <c r="N14" s="94">
        <v>7912000</v>
      </c>
      <c r="O14" s="94">
        <v>7912000</v>
      </c>
      <c r="P14" s="94">
        <v>7198848</v>
      </c>
      <c r="Q14" s="94">
        <v>7198848</v>
      </c>
      <c r="R14" s="94">
        <v>7147064</v>
      </c>
      <c r="S14" s="94">
        <v>7486112</v>
      </c>
      <c r="T14" s="94">
        <v>7756742</v>
      </c>
      <c r="U14" s="94">
        <v>7756742</v>
      </c>
      <c r="V14" s="94">
        <v>7756742</v>
      </c>
      <c r="W14" s="94">
        <v>8100000</v>
      </c>
      <c r="X14" s="94">
        <v>8100000</v>
      </c>
      <c r="Y14" s="94">
        <v>8100000</v>
      </c>
      <c r="Z14" s="94">
        <v>8100000</v>
      </c>
      <c r="AA14" s="94">
        <v>9065000</v>
      </c>
      <c r="AB14" s="94">
        <v>9065000</v>
      </c>
      <c r="AC14" s="94">
        <v>9065000</v>
      </c>
      <c r="AD14" s="94">
        <v>9065000</v>
      </c>
      <c r="AE14" s="94">
        <v>9323000</v>
      </c>
      <c r="AF14" s="94"/>
      <c r="AG14" s="94"/>
      <c r="AH14" s="94"/>
      <c r="AI14" s="94"/>
      <c r="AJ14" s="94"/>
      <c r="AK14" s="94"/>
      <c r="AL14" s="94"/>
      <c r="AM14" s="94"/>
      <c r="AN14" s="94"/>
      <c r="AO14" s="94"/>
      <c r="AP14" s="94"/>
      <c r="AQ14" s="94"/>
      <c r="AR14" s="94"/>
      <c r="AS14" s="94"/>
      <c r="AT14" s="94"/>
      <c r="AU14" s="94"/>
      <c r="AV14" s="94"/>
      <c r="AW14" s="94"/>
      <c r="AX14" s="58"/>
    </row>
    <row r="15" spans="1:50" s="25" customFormat="1" ht="12.4">
      <c r="A15" s="58"/>
      <c r="B15" s="52" t="s">
        <v>268</v>
      </c>
      <c r="C15" s="52" t="s">
        <v>269</v>
      </c>
      <c r="D15" s="52" t="s">
        <v>270</v>
      </c>
      <c r="E15" s="157"/>
      <c r="F15" s="94">
        <v>28094000</v>
      </c>
      <c r="G15" s="94">
        <v>28094000</v>
      </c>
      <c r="H15" s="94">
        <v>28094000</v>
      </c>
      <c r="I15" s="94">
        <v>28094000</v>
      </c>
      <c r="J15" s="26"/>
      <c r="K15" s="94">
        <v>28094000</v>
      </c>
      <c r="L15" s="94">
        <v>28254000</v>
      </c>
      <c r="M15" s="94">
        <v>28254000</v>
      </c>
      <c r="N15" s="94">
        <v>28402000</v>
      </c>
      <c r="O15" s="94">
        <v>28402000</v>
      </c>
      <c r="P15" s="94">
        <v>28712000</v>
      </c>
      <c r="Q15" s="94">
        <v>28712000</v>
      </c>
      <c r="R15" s="94">
        <v>28946000</v>
      </c>
      <c r="S15" s="94">
        <v>28946000</v>
      </c>
      <c r="T15" s="94">
        <v>29179000</v>
      </c>
      <c r="U15" s="94">
        <v>29179000</v>
      </c>
      <c r="V15" s="94">
        <v>29179000</v>
      </c>
      <c r="W15" s="94">
        <v>29079000</v>
      </c>
      <c r="X15" s="94">
        <v>29079000</v>
      </c>
      <c r="Y15" s="94">
        <v>29079000</v>
      </c>
      <c r="Z15" s="94">
        <v>29079000</v>
      </c>
      <c r="AA15" s="94">
        <v>29240000</v>
      </c>
      <c r="AB15" s="207">
        <v>29239936</v>
      </c>
      <c r="AC15" s="94">
        <v>29239936</v>
      </c>
      <c r="AD15" s="94">
        <v>29239936</v>
      </c>
      <c r="AE15" s="94">
        <v>29344362</v>
      </c>
      <c r="AF15" s="94"/>
      <c r="AG15" s="94"/>
      <c r="AH15" s="94"/>
      <c r="AI15" s="94"/>
      <c r="AJ15" s="94"/>
      <c r="AK15" s="94"/>
      <c r="AL15" s="94"/>
      <c r="AM15" s="94"/>
      <c r="AN15" s="94"/>
      <c r="AO15" s="94"/>
      <c r="AP15" s="94"/>
      <c r="AQ15" s="94"/>
      <c r="AR15" s="94"/>
      <c r="AS15" s="94"/>
      <c r="AT15" s="94"/>
      <c r="AU15" s="94"/>
      <c r="AV15" s="94"/>
      <c r="AW15" s="94"/>
      <c r="AX15" s="58"/>
    </row>
    <row r="16" spans="1:50" s="25" customFormat="1" ht="12.4">
      <c r="A16" s="58"/>
      <c r="B16" s="52" t="s">
        <v>271</v>
      </c>
      <c r="C16" s="52" t="s">
        <v>269</v>
      </c>
      <c r="D16" s="52" t="s">
        <v>270</v>
      </c>
      <c r="E16" s="157"/>
      <c r="F16" s="94">
        <v>23714000</v>
      </c>
      <c r="G16" s="94">
        <v>23714000</v>
      </c>
      <c r="H16" s="94">
        <v>23714000</v>
      </c>
      <c r="I16" s="94">
        <v>23714000</v>
      </c>
      <c r="J16" s="26"/>
      <c r="K16" s="94">
        <v>23714000</v>
      </c>
      <c r="L16" s="94">
        <v>23915000</v>
      </c>
      <c r="M16" s="94">
        <v>23915000</v>
      </c>
      <c r="N16" s="94">
        <v>24177000</v>
      </c>
      <c r="O16" s="94">
        <v>24177000</v>
      </c>
      <c r="P16" s="94">
        <v>24096000</v>
      </c>
      <c r="Q16" s="94">
        <v>24096000</v>
      </c>
      <c r="R16" s="94">
        <v>24152000</v>
      </c>
      <c r="S16" s="94">
        <v>24152000</v>
      </c>
      <c r="T16" s="94">
        <v>24336000</v>
      </c>
      <c r="U16" s="94">
        <v>24336000</v>
      </c>
      <c r="V16" s="94">
        <v>24336000</v>
      </c>
      <c r="W16" s="94">
        <v>24504000</v>
      </c>
      <c r="X16" s="94">
        <v>24504000</v>
      </c>
      <c r="Y16" s="94">
        <v>24504000</v>
      </c>
      <c r="Z16" s="94">
        <v>24504000</v>
      </c>
      <c r="AA16" s="94">
        <v>24606000</v>
      </c>
      <c r="AB16" s="207">
        <v>24605467</v>
      </c>
      <c r="AC16" s="94">
        <v>24605467</v>
      </c>
      <c r="AD16" s="94">
        <v>24605467</v>
      </c>
      <c r="AE16" s="94">
        <v>24702708</v>
      </c>
      <c r="AF16" s="94"/>
      <c r="AG16" s="94"/>
      <c r="AH16" s="94"/>
      <c r="AI16" s="94"/>
      <c r="AJ16" s="94"/>
      <c r="AK16" s="94"/>
      <c r="AL16" s="94"/>
      <c r="AM16" s="94"/>
      <c r="AN16" s="94"/>
      <c r="AO16" s="94"/>
      <c r="AP16" s="94"/>
      <c r="AQ16" s="94"/>
      <c r="AR16" s="94"/>
      <c r="AS16" s="94"/>
      <c r="AT16" s="94"/>
      <c r="AU16" s="94"/>
      <c r="AV16" s="94"/>
      <c r="AW16" s="94"/>
      <c r="AX16" s="58"/>
    </row>
    <row r="17" spans="1:50" s="25" customFormat="1" ht="12.4">
      <c r="A17" s="58"/>
      <c r="B17" s="52" t="s">
        <v>272</v>
      </c>
      <c r="C17" s="95" t="s">
        <v>273</v>
      </c>
      <c r="D17" s="52" t="s">
        <v>274</v>
      </c>
      <c r="E17" s="157"/>
      <c r="F17" s="96">
        <v>0.95</v>
      </c>
      <c r="G17" s="96">
        <v>0.93</v>
      </c>
      <c r="H17" s="96">
        <v>0.91</v>
      </c>
      <c r="I17" s="96">
        <v>0.91</v>
      </c>
      <c r="J17" s="26"/>
      <c r="K17" s="96">
        <v>0.91</v>
      </c>
      <c r="L17" s="96">
        <v>0.92</v>
      </c>
      <c r="M17" s="96">
        <v>0.91</v>
      </c>
      <c r="N17" s="96">
        <v>0.93</v>
      </c>
      <c r="O17" s="96">
        <v>0.93</v>
      </c>
      <c r="P17" s="96">
        <v>0.93</v>
      </c>
      <c r="Q17" s="96">
        <v>0.92</v>
      </c>
      <c r="R17" s="96">
        <v>0.97</v>
      </c>
      <c r="S17" s="96">
        <v>0.98</v>
      </c>
      <c r="T17" s="96">
        <v>0.98</v>
      </c>
      <c r="U17" s="96">
        <v>0.98</v>
      </c>
      <c r="V17" s="96">
        <v>0.98</v>
      </c>
      <c r="W17" s="96">
        <v>0.98</v>
      </c>
      <c r="X17" s="96">
        <v>0.98</v>
      </c>
      <c r="Y17" s="96">
        <v>0.98</v>
      </c>
      <c r="Z17" s="96">
        <v>0.98</v>
      </c>
      <c r="AA17" s="96">
        <v>0.98</v>
      </c>
      <c r="AB17" s="96">
        <v>0.98</v>
      </c>
      <c r="AC17" s="96">
        <v>0.98</v>
      </c>
      <c r="AD17" s="96">
        <v>0.98</v>
      </c>
      <c r="AE17" s="96">
        <v>0.98</v>
      </c>
      <c r="AF17" s="96"/>
      <c r="AG17" s="96"/>
      <c r="AH17" s="96"/>
      <c r="AI17" s="96"/>
      <c r="AJ17" s="96"/>
      <c r="AK17" s="96"/>
      <c r="AL17" s="96"/>
      <c r="AM17" s="96"/>
      <c r="AN17" s="96"/>
      <c r="AO17" s="96"/>
      <c r="AP17" s="96"/>
      <c r="AQ17" s="96"/>
      <c r="AR17" s="96"/>
      <c r="AS17" s="96"/>
      <c r="AT17" s="96"/>
      <c r="AU17" s="96"/>
      <c r="AV17" s="96"/>
      <c r="AW17" s="96"/>
      <c r="AX17" s="58"/>
    </row>
    <row r="18" spans="1:50" s="25" customFormat="1" ht="12.4">
      <c r="A18" s="58"/>
      <c r="B18" s="52" t="s">
        <v>275</v>
      </c>
      <c r="C18" s="95" t="s">
        <v>273</v>
      </c>
      <c r="D18" s="52" t="s">
        <v>274</v>
      </c>
      <c r="E18" s="157"/>
      <c r="F18" s="96">
        <v>0.95</v>
      </c>
      <c r="G18" s="96">
        <v>0.93</v>
      </c>
      <c r="H18" s="96">
        <v>0.91</v>
      </c>
      <c r="I18" s="96">
        <v>0.91</v>
      </c>
      <c r="J18" s="26"/>
      <c r="K18" s="96">
        <v>0.91</v>
      </c>
      <c r="L18" s="96">
        <v>0.91</v>
      </c>
      <c r="M18" s="96">
        <v>0.91</v>
      </c>
      <c r="N18" s="96">
        <v>0.93</v>
      </c>
      <c r="O18" s="96">
        <v>0.93</v>
      </c>
      <c r="P18" s="96">
        <v>0.93</v>
      </c>
      <c r="Q18" s="96">
        <v>0.92</v>
      </c>
      <c r="R18" s="96">
        <v>0.97</v>
      </c>
      <c r="S18" s="96">
        <v>0.99</v>
      </c>
      <c r="T18" s="96">
        <v>0.99</v>
      </c>
      <c r="U18" s="96">
        <v>0.99</v>
      </c>
      <c r="V18" s="96">
        <v>0.99</v>
      </c>
      <c r="W18" s="96">
        <v>0.99</v>
      </c>
      <c r="X18" s="96">
        <v>0.99</v>
      </c>
      <c r="Y18" s="96">
        <v>0.99</v>
      </c>
      <c r="Z18" s="96">
        <v>0.99</v>
      </c>
      <c r="AA18" s="96">
        <v>0.99</v>
      </c>
      <c r="AB18" s="96">
        <v>0.99</v>
      </c>
      <c r="AC18" s="96">
        <v>0.98</v>
      </c>
      <c r="AD18" s="96">
        <v>0.98</v>
      </c>
      <c r="AE18" s="96">
        <v>0.98</v>
      </c>
      <c r="AF18" s="96"/>
      <c r="AG18" s="96"/>
      <c r="AH18" s="96"/>
      <c r="AI18" s="96"/>
      <c r="AJ18" s="96"/>
      <c r="AK18" s="96"/>
      <c r="AL18" s="96"/>
      <c r="AM18" s="96"/>
      <c r="AN18" s="96"/>
      <c r="AO18" s="96"/>
      <c r="AP18" s="96"/>
      <c r="AQ18" s="96"/>
      <c r="AR18" s="96"/>
      <c r="AS18" s="96"/>
      <c r="AT18" s="96"/>
      <c r="AU18" s="96"/>
      <c r="AV18" s="96"/>
      <c r="AW18" s="96"/>
      <c r="AX18" s="58"/>
    </row>
    <row r="19" spans="1:50" s="25" customFormat="1" ht="12.4">
      <c r="A19" s="58"/>
      <c r="B19" s="279" t="s">
        <v>276</v>
      </c>
      <c r="C19" s="280"/>
      <c r="D19" s="280"/>
      <c r="E19" s="280"/>
      <c r="F19" s="280"/>
      <c r="G19" s="280"/>
      <c r="H19" s="280"/>
      <c r="I19" s="280"/>
      <c r="J19" s="280"/>
      <c r="K19" s="280"/>
      <c r="L19" s="280"/>
      <c r="M19" s="280"/>
      <c r="N19" s="280"/>
      <c r="O19" s="280"/>
      <c r="P19" s="280"/>
      <c r="Q19" s="280"/>
      <c r="R19" s="280"/>
      <c r="S19" s="280"/>
      <c r="T19" s="280"/>
      <c r="U19" s="281"/>
      <c r="V19" s="280"/>
      <c r="W19" s="280"/>
      <c r="X19" s="280"/>
      <c r="Y19" s="280"/>
      <c r="Z19" s="280"/>
      <c r="AA19" s="280"/>
      <c r="AB19" s="280"/>
      <c r="AC19" s="280"/>
      <c r="AD19" s="280"/>
      <c r="AE19" s="280"/>
      <c r="AF19" s="280"/>
      <c r="AG19" s="280"/>
      <c r="AH19" s="280"/>
      <c r="AI19" s="280"/>
      <c r="AJ19" s="280"/>
      <c r="AK19" s="280"/>
      <c r="AL19" s="280"/>
      <c r="AM19" s="280"/>
      <c r="AN19" s="280"/>
      <c r="AO19" s="281"/>
      <c r="AP19" s="280"/>
      <c r="AQ19" s="280"/>
      <c r="AR19" s="280"/>
      <c r="AS19" s="280"/>
      <c r="AT19" s="280"/>
      <c r="AU19" s="280"/>
      <c r="AV19" s="280"/>
      <c r="AW19" s="281"/>
      <c r="AX19" s="58"/>
    </row>
    <row r="20" spans="1:50" s="25" customFormat="1" ht="12.4">
      <c r="A20" s="58"/>
      <c r="B20" s="97" t="s">
        <v>277</v>
      </c>
      <c r="C20" s="258"/>
      <c r="D20" s="52" t="s">
        <v>270</v>
      </c>
      <c r="E20" s="93"/>
      <c r="F20" s="98">
        <f t="shared" ref="F20:I20" si="0">F15*F17</f>
        <v>26689300</v>
      </c>
      <c r="G20" s="98">
        <f t="shared" si="0"/>
        <v>26127420</v>
      </c>
      <c r="H20" s="98">
        <f t="shared" si="0"/>
        <v>25565540</v>
      </c>
      <c r="I20" s="98">
        <f t="shared" si="0"/>
        <v>25565540</v>
      </c>
      <c r="J20" s="26"/>
      <c r="K20" s="98">
        <f t="shared" ref="K20:Z20" si="1">K15*K17</f>
        <v>25565540</v>
      </c>
      <c r="L20" s="98">
        <f t="shared" si="1"/>
        <v>25993680</v>
      </c>
      <c r="M20" s="98">
        <f t="shared" si="1"/>
        <v>25711140</v>
      </c>
      <c r="N20" s="98">
        <f t="shared" si="1"/>
        <v>26413860</v>
      </c>
      <c r="O20" s="98">
        <f t="shared" si="1"/>
        <v>26413860</v>
      </c>
      <c r="P20" s="98">
        <f t="shared" si="1"/>
        <v>26702160</v>
      </c>
      <c r="Q20" s="98">
        <f t="shared" si="1"/>
        <v>26415040</v>
      </c>
      <c r="R20" s="98">
        <f t="shared" si="1"/>
        <v>28077620</v>
      </c>
      <c r="S20" s="98">
        <f t="shared" si="1"/>
        <v>28367080</v>
      </c>
      <c r="T20" s="98">
        <f t="shared" si="1"/>
        <v>28595420</v>
      </c>
      <c r="U20" s="98">
        <f t="shared" si="1"/>
        <v>28595420</v>
      </c>
      <c r="V20" s="98">
        <f t="shared" si="1"/>
        <v>28595420</v>
      </c>
      <c r="W20" s="98">
        <f t="shared" si="1"/>
        <v>28497420</v>
      </c>
      <c r="X20" s="98">
        <f t="shared" si="1"/>
        <v>28497420</v>
      </c>
      <c r="Y20" s="98">
        <f t="shared" si="1"/>
        <v>28497420</v>
      </c>
      <c r="Z20" s="98">
        <f t="shared" si="1"/>
        <v>28497420</v>
      </c>
      <c r="AA20" s="98">
        <f t="shared" ref="AA20:AA21" si="2">AA15*AA17</f>
        <v>28655200</v>
      </c>
      <c r="AB20" s="98">
        <f t="shared" ref="AB20:AW20" si="3">AB15*AB17</f>
        <v>28655137.280000001</v>
      </c>
      <c r="AC20" s="98">
        <f t="shared" si="3"/>
        <v>28655137.280000001</v>
      </c>
      <c r="AD20" s="98">
        <f t="shared" si="3"/>
        <v>28655137.280000001</v>
      </c>
      <c r="AE20" s="98">
        <f t="shared" si="3"/>
        <v>28757474.759999998</v>
      </c>
      <c r="AF20" s="98">
        <f t="shared" si="3"/>
        <v>0</v>
      </c>
      <c r="AG20" s="98">
        <f t="shared" si="3"/>
        <v>0</v>
      </c>
      <c r="AH20" s="98">
        <f t="shared" si="3"/>
        <v>0</v>
      </c>
      <c r="AI20" s="98">
        <f t="shared" si="3"/>
        <v>0</v>
      </c>
      <c r="AJ20" s="98">
        <f t="shared" si="3"/>
        <v>0</v>
      </c>
      <c r="AK20" s="98">
        <f t="shared" si="3"/>
        <v>0</v>
      </c>
      <c r="AL20" s="98">
        <f t="shared" si="3"/>
        <v>0</v>
      </c>
      <c r="AM20" s="98">
        <f t="shared" si="3"/>
        <v>0</v>
      </c>
      <c r="AN20" s="98">
        <f t="shared" si="3"/>
        <v>0</v>
      </c>
      <c r="AO20" s="98">
        <f t="shared" si="3"/>
        <v>0</v>
      </c>
      <c r="AP20" s="98">
        <f t="shared" si="3"/>
        <v>0</v>
      </c>
      <c r="AQ20" s="98">
        <f t="shared" si="3"/>
        <v>0</v>
      </c>
      <c r="AR20" s="98">
        <f t="shared" si="3"/>
        <v>0</v>
      </c>
      <c r="AS20" s="98">
        <f t="shared" si="3"/>
        <v>0</v>
      </c>
      <c r="AT20" s="98">
        <f t="shared" si="3"/>
        <v>0</v>
      </c>
      <c r="AU20" s="98">
        <f t="shared" si="3"/>
        <v>0</v>
      </c>
      <c r="AV20" s="98">
        <f t="shared" si="3"/>
        <v>0</v>
      </c>
      <c r="AW20" s="98">
        <f t="shared" si="3"/>
        <v>0</v>
      </c>
      <c r="AX20" s="58"/>
    </row>
    <row r="21" spans="1:50" s="25" customFormat="1" ht="12.4">
      <c r="A21" s="58"/>
      <c r="B21" s="97" t="s">
        <v>278</v>
      </c>
      <c r="C21" s="258"/>
      <c r="D21" s="52" t="s">
        <v>270</v>
      </c>
      <c r="E21" s="93"/>
      <c r="F21" s="98">
        <f t="shared" ref="F21:I21" si="4">F16*F18</f>
        <v>22528300</v>
      </c>
      <c r="G21" s="98">
        <f t="shared" si="4"/>
        <v>22054020</v>
      </c>
      <c r="H21" s="98">
        <f t="shared" si="4"/>
        <v>21579740</v>
      </c>
      <c r="I21" s="98">
        <f t="shared" si="4"/>
        <v>21579740</v>
      </c>
      <c r="J21" s="26"/>
      <c r="K21" s="98">
        <f t="shared" ref="K21:Z21" si="5">K16*K18</f>
        <v>21579740</v>
      </c>
      <c r="L21" s="98">
        <f t="shared" si="5"/>
        <v>21762650</v>
      </c>
      <c r="M21" s="98">
        <f t="shared" si="5"/>
        <v>21762650</v>
      </c>
      <c r="N21" s="98">
        <f t="shared" si="5"/>
        <v>22484610</v>
      </c>
      <c r="O21" s="98">
        <f t="shared" si="5"/>
        <v>22484610</v>
      </c>
      <c r="P21" s="98">
        <f t="shared" si="5"/>
        <v>22409280</v>
      </c>
      <c r="Q21" s="98">
        <f t="shared" si="5"/>
        <v>22168320</v>
      </c>
      <c r="R21" s="98">
        <f t="shared" si="5"/>
        <v>23427440</v>
      </c>
      <c r="S21" s="98">
        <f t="shared" si="5"/>
        <v>23910480</v>
      </c>
      <c r="T21" s="98">
        <f t="shared" si="5"/>
        <v>24092640</v>
      </c>
      <c r="U21" s="98">
        <f t="shared" si="5"/>
        <v>24092640</v>
      </c>
      <c r="V21" s="98">
        <f t="shared" si="5"/>
        <v>24092640</v>
      </c>
      <c r="W21" s="98">
        <f t="shared" si="5"/>
        <v>24258960</v>
      </c>
      <c r="X21" s="98">
        <f t="shared" si="5"/>
        <v>24258960</v>
      </c>
      <c r="Y21" s="98">
        <f t="shared" si="5"/>
        <v>24258960</v>
      </c>
      <c r="Z21" s="98">
        <f t="shared" si="5"/>
        <v>24258960</v>
      </c>
      <c r="AA21" s="98">
        <f t="shared" si="2"/>
        <v>24359940</v>
      </c>
      <c r="AB21" s="98">
        <f t="shared" ref="AB21:AW21" si="6">AB16*AB18</f>
        <v>24359412.329999998</v>
      </c>
      <c r="AC21" s="98">
        <f t="shared" si="6"/>
        <v>24113357.66</v>
      </c>
      <c r="AD21" s="98">
        <f t="shared" si="6"/>
        <v>24113357.66</v>
      </c>
      <c r="AE21" s="98">
        <f t="shared" si="6"/>
        <v>24208653.84</v>
      </c>
      <c r="AF21" s="98">
        <f t="shared" si="6"/>
        <v>0</v>
      </c>
      <c r="AG21" s="98">
        <f t="shared" si="6"/>
        <v>0</v>
      </c>
      <c r="AH21" s="98">
        <f t="shared" si="6"/>
        <v>0</v>
      </c>
      <c r="AI21" s="98">
        <f t="shared" si="6"/>
        <v>0</v>
      </c>
      <c r="AJ21" s="98">
        <f t="shared" si="6"/>
        <v>0</v>
      </c>
      <c r="AK21" s="98">
        <f t="shared" si="6"/>
        <v>0</v>
      </c>
      <c r="AL21" s="98">
        <f t="shared" si="6"/>
        <v>0</v>
      </c>
      <c r="AM21" s="98">
        <f t="shared" si="6"/>
        <v>0</v>
      </c>
      <c r="AN21" s="98">
        <f t="shared" si="6"/>
        <v>0</v>
      </c>
      <c r="AO21" s="98">
        <f t="shared" si="6"/>
        <v>0</v>
      </c>
      <c r="AP21" s="98">
        <f t="shared" si="6"/>
        <v>0</v>
      </c>
      <c r="AQ21" s="98">
        <f t="shared" si="6"/>
        <v>0</v>
      </c>
      <c r="AR21" s="98">
        <f t="shared" si="6"/>
        <v>0</v>
      </c>
      <c r="AS21" s="98">
        <f t="shared" si="6"/>
        <v>0</v>
      </c>
      <c r="AT21" s="98">
        <f t="shared" si="6"/>
        <v>0</v>
      </c>
      <c r="AU21" s="98">
        <f t="shared" si="6"/>
        <v>0</v>
      </c>
      <c r="AV21" s="98">
        <f t="shared" si="6"/>
        <v>0</v>
      </c>
      <c r="AW21" s="98">
        <f t="shared" si="6"/>
        <v>0</v>
      </c>
      <c r="AX21" s="58"/>
    </row>
    <row r="22" spans="1:50" s="25" customFormat="1" ht="12.4">
      <c r="A22" s="58"/>
      <c r="B22" s="52" t="s">
        <v>279</v>
      </c>
      <c r="C22" s="258"/>
      <c r="D22" s="52" t="s">
        <v>265</v>
      </c>
      <c r="E22" s="288"/>
      <c r="F22" s="99">
        <f t="shared" ref="F22:I22" si="7">F12+F13</f>
        <v>40412110</v>
      </c>
      <c r="G22" s="99">
        <f t="shared" si="7"/>
        <v>40412110</v>
      </c>
      <c r="H22" s="99">
        <f t="shared" si="7"/>
        <v>41127868</v>
      </c>
      <c r="I22" s="99">
        <f t="shared" si="7"/>
        <v>41127868</v>
      </c>
      <c r="J22" s="26"/>
      <c r="K22" s="99">
        <f t="shared" ref="K22:Z22" si="8">K12+K13</f>
        <v>41127868</v>
      </c>
      <c r="L22" s="99">
        <f t="shared" si="8"/>
        <v>38806888</v>
      </c>
      <c r="M22" s="99">
        <f t="shared" si="8"/>
        <v>38806888</v>
      </c>
      <c r="N22" s="99">
        <f t="shared" si="8"/>
        <v>28753000</v>
      </c>
      <c r="O22" s="99">
        <f t="shared" si="8"/>
        <v>28753000</v>
      </c>
      <c r="P22" s="99">
        <f t="shared" si="8"/>
        <v>29440844</v>
      </c>
      <c r="Q22" s="99">
        <f t="shared" si="8"/>
        <v>29440844</v>
      </c>
      <c r="R22" s="99">
        <f t="shared" si="8"/>
        <v>29117350</v>
      </c>
      <c r="S22" s="99">
        <f t="shared" si="8"/>
        <v>30779350</v>
      </c>
      <c r="T22" s="99">
        <f t="shared" si="8"/>
        <v>30508057</v>
      </c>
      <c r="U22" s="99">
        <f t="shared" si="8"/>
        <v>30508057</v>
      </c>
      <c r="V22" s="99">
        <f t="shared" si="8"/>
        <v>30508057</v>
      </c>
      <c r="W22" s="99">
        <f t="shared" si="8"/>
        <v>30165000</v>
      </c>
      <c r="X22" s="99">
        <f t="shared" si="8"/>
        <v>30165000</v>
      </c>
      <c r="Y22" s="99">
        <f t="shared" si="8"/>
        <v>30165000</v>
      </c>
      <c r="Z22" s="99">
        <f t="shared" si="8"/>
        <v>30165000</v>
      </c>
      <c r="AA22" s="99">
        <f t="shared" ref="AA22" si="9">AA12+AA13</f>
        <v>29200000</v>
      </c>
      <c r="AB22" s="99">
        <f t="shared" ref="AB22:AW22" si="10">AB12+AB13</f>
        <v>29200000</v>
      </c>
      <c r="AC22" s="99">
        <f t="shared" si="10"/>
        <v>29200000</v>
      </c>
      <c r="AD22" s="99">
        <f t="shared" si="10"/>
        <v>29200000</v>
      </c>
      <c r="AE22" s="99">
        <f t="shared" si="10"/>
        <v>28942000</v>
      </c>
      <c r="AF22" s="99">
        <f t="shared" si="10"/>
        <v>0</v>
      </c>
      <c r="AG22" s="99">
        <f t="shared" si="10"/>
        <v>0</v>
      </c>
      <c r="AH22" s="99">
        <f t="shared" si="10"/>
        <v>0</v>
      </c>
      <c r="AI22" s="99">
        <f t="shared" si="10"/>
        <v>0</v>
      </c>
      <c r="AJ22" s="99">
        <f t="shared" si="10"/>
        <v>0</v>
      </c>
      <c r="AK22" s="99">
        <f t="shared" si="10"/>
        <v>0</v>
      </c>
      <c r="AL22" s="99">
        <f t="shared" si="10"/>
        <v>0</v>
      </c>
      <c r="AM22" s="99">
        <f t="shared" si="10"/>
        <v>0</v>
      </c>
      <c r="AN22" s="99">
        <f t="shared" si="10"/>
        <v>0</v>
      </c>
      <c r="AO22" s="99">
        <f t="shared" si="10"/>
        <v>0</v>
      </c>
      <c r="AP22" s="99">
        <f t="shared" si="10"/>
        <v>0</v>
      </c>
      <c r="AQ22" s="99">
        <f t="shared" si="10"/>
        <v>0</v>
      </c>
      <c r="AR22" s="99">
        <f t="shared" si="10"/>
        <v>0</v>
      </c>
      <c r="AS22" s="99">
        <f t="shared" si="10"/>
        <v>0</v>
      </c>
      <c r="AT22" s="99">
        <f t="shared" si="10"/>
        <v>0</v>
      </c>
      <c r="AU22" s="99">
        <f t="shared" si="10"/>
        <v>0</v>
      </c>
      <c r="AV22" s="99">
        <f t="shared" si="10"/>
        <v>0</v>
      </c>
      <c r="AW22" s="99">
        <f t="shared" si="10"/>
        <v>0</v>
      </c>
      <c r="AX22" s="58"/>
    </row>
    <row r="23" spans="1:50" s="25" customFormat="1" ht="12.4">
      <c r="A23" s="58"/>
      <c r="B23" s="52" t="s">
        <v>280</v>
      </c>
      <c r="C23" s="258"/>
      <c r="D23" s="52" t="s">
        <v>265</v>
      </c>
      <c r="E23" s="288"/>
      <c r="F23" s="99">
        <f t="shared" ref="F23:I23" si="11">F14</f>
        <v>8054877</v>
      </c>
      <c r="G23" s="99">
        <f t="shared" si="11"/>
        <v>8054877</v>
      </c>
      <c r="H23" s="99">
        <f t="shared" si="11"/>
        <v>8985436</v>
      </c>
      <c r="I23" s="99">
        <f t="shared" si="11"/>
        <v>8985436</v>
      </c>
      <c r="J23" s="26"/>
      <c r="K23" s="99">
        <f t="shared" ref="K23:Z23" si="12">K14</f>
        <v>8985436</v>
      </c>
      <c r="L23" s="99">
        <f t="shared" si="12"/>
        <v>9626765</v>
      </c>
      <c r="M23" s="99">
        <f t="shared" si="12"/>
        <v>9626765</v>
      </c>
      <c r="N23" s="99">
        <f t="shared" si="12"/>
        <v>7912000</v>
      </c>
      <c r="O23" s="99">
        <f t="shared" si="12"/>
        <v>7912000</v>
      </c>
      <c r="P23" s="99">
        <f t="shared" si="12"/>
        <v>7198848</v>
      </c>
      <c r="Q23" s="99">
        <f t="shared" si="12"/>
        <v>7198848</v>
      </c>
      <c r="R23" s="99">
        <f t="shared" si="12"/>
        <v>7147064</v>
      </c>
      <c r="S23" s="99">
        <f t="shared" si="12"/>
        <v>7486112</v>
      </c>
      <c r="T23" s="99">
        <f t="shared" si="12"/>
        <v>7756742</v>
      </c>
      <c r="U23" s="99">
        <f t="shared" si="12"/>
        <v>7756742</v>
      </c>
      <c r="V23" s="99">
        <f t="shared" si="12"/>
        <v>7756742</v>
      </c>
      <c r="W23" s="99">
        <f t="shared" si="12"/>
        <v>8100000</v>
      </c>
      <c r="X23" s="99">
        <f t="shared" si="12"/>
        <v>8100000</v>
      </c>
      <c r="Y23" s="99">
        <f t="shared" si="12"/>
        <v>8100000</v>
      </c>
      <c r="Z23" s="99">
        <f t="shared" si="12"/>
        <v>8100000</v>
      </c>
      <c r="AA23" s="99">
        <f t="shared" ref="AA23" si="13">AA14</f>
        <v>9065000</v>
      </c>
      <c r="AB23" s="99">
        <f t="shared" ref="AB23:AW23" si="14">AB14</f>
        <v>9065000</v>
      </c>
      <c r="AC23" s="99">
        <f t="shared" si="14"/>
        <v>9065000</v>
      </c>
      <c r="AD23" s="99">
        <f t="shared" si="14"/>
        <v>9065000</v>
      </c>
      <c r="AE23" s="99">
        <f t="shared" si="14"/>
        <v>9323000</v>
      </c>
      <c r="AF23" s="99">
        <f t="shared" si="14"/>
        <v>0</v>
      </c>
      <c r="AG23" s="99">
        <f t="shared" si="14"/>
        <v>0</v>
      </c>
      <c r="AH23" s="99">
        <f t="shared" si="14"/>
        <v>0</v>
      </c>
      <c r="AI23" s="99">
        <f t="shared" si="14"/>
        <v>0</v>
      </c>
      <c r="AJ23" s="99">
        <f t="shared" si="14"/>
        <v>0</v>
      </c>
      <c r="AK23" s="99">
        <f t="shared" si="14"/>
        <v>0</v>
      </c>
      <c r="AL23" s="99">
        <f t="shared" si="14"/>
        <v>0</v>
      </c>
      <c r="AM23" s="99">
        <f t="shared" si="14"/>
        <v>0</v>
      </c>
      <c r="AN23" s="99">
        <f t="shared" si="14"/>
        <v>0</v>
      </c>
      <c r="AO23" s="99">
        <f t="shared" si="14"/>
        <v>0</v>
      </c>
      <c r="AP23" s="99">
        <f t="shared" si="14"/>
        <v>0</v>
      </c>
      <c r="AQ23" s="99">
        <f t="shared" si="14"/>
        <v>0</v>
      </c>
      <c r="AR23" s="99">
        <f t="shared" si="14"/>
        <v>0</v>
      </c>
      <c r="AS23" s="99">
        <f t="shared" si="14"/>
        <v>0</v>
      </c>
      <c r="AT23" s="99">
        <f t="shared" si="14"/>
        <v>0</v>
      </c>
      <c r="AU23" s="99">
        <f t="shared" si="14"/>
        <v>0</v>
      </c>
      <c r="AV23" s="99">
        <f t="shared" si="14"/>
        <v>0</v>
      </c>
      <c r="AW23" s="99">
        <f t="shared" si="14"/>
        <v>0</v>
      </c>
      <c r="AX23" s="58"/>
    </row>
    <row r="24" spans="1:50" s="25" customFormat="1" ht="12.4">
      <c r="A24" s="58"/>
      <c r="B24" s="52" t="s">
        <v>281</v>
      </c>
      <c r="C24" s="258"/>
      <c r="D24" s="52" t="s">
        <v>274</v>
      </c>
      <c r="E24" s="288"/>
      <c r="F24" s="100">
        <f>IFERROR(F$15/SUM(F$15:F$16),"-")</f>
        <v>0.54227146386658431</v>
      </c>
      <c r="G24" s="100">
        <f>IFERROR(G$15/SUM(G$15:G$16),"-")</f>
        <v>0.54227146386658431</v>
      </c>
      <c r="H24" s="100">
        <f>IFERROR(H$15/SUM(H$15:H$16),"-")</f>
        <v>0.54227146386658431</v>
      </c>
      <c r="I24" s="100">
        <f>IFERROR(I$15/SUM(I$15:I$16),"-")</f>
        <v>0.54227146386658431</v>
      </c>
      <c r="J24" s="26"/>
      <c r="K24" s="100">
        <f t="shared" ref="K24:AW24" si="15">IFERROR(K$15/SUM(K$15:K$16),"-")</f>
        <v>0.54227146386658431</v>
      </c>
      <c r="L24" s="100">
        <f t="shared" si="15"/>
        <v>0.54158599934827201</v>
      </c>
      <c r="M24" s="100">
        <f t="shared" si="15"/>
        <v>0.54158599934827201</v>
      </c>
      <c r="N24" s="100">
        <f t="shared" si="15"/>
        <v>0.54017763745982239</v>
      </c>
      <c r="O24" s="100">
        <f t="shared" si="15"/>
        <v>0.54017763745982239</v>
      </c>
      <c r="P24" s="100">
        <f t="shared" si="15"/>
        <v>0.54370549916679289</v>
      </c>
      <c r="Q24" s="100">
        <f t="shared" si="15"/>
        <v>0.54370549916679289</v>
      </c>
      <c r="R24" s="100">
        <f t="shared" si="15"/>
        <v>0.54514294323703338</v>
      </c>
      <c r="S24" s="100">
        <f t="shared" si="15"/>
        <v>0.54514294323703338</v>
      </c>
      <c r="T24" s="100">
        <f t="shared" si="15"/>
        <v>0.54524899560870788</v>
      </c>
      <c r="U24" s="100">
        <f t="shared" si="15"/>
        <v>0.54524899560870788</v>
      </c>
      <c r="V24" s="100">
        <f t="shared" si="15"/>
        <v>0.54524899560870788</v>
      </c>
      <c r="W24" s="100">
        <f t="shared" si="15"/>
        <v>0.54269077879178096</v>
      </c>
      <c r="X24" s="100">
        <f t="shared" si="15"/>
        <v>0.54269077879178096</v>
      </c>
      <c r="Y24" s="100">
        <f t="shared" si="15"/>
        <v>0.54269077879178096</v>
      </c>
      <c r="Z24" s="192">
        <f t="shared" si="15"/>
        <v>0.54269077879178096</v>
      </c>
      <c r="AA24" s="192">
        <f t="shared" si="15"/>
        <v>0.5430301229432084</v>
      </c>
      <c r="AB24" s="192">
        <f t="shared" si="15"/>
        <v>0.54303495509170951</v>
      </c>
      <c r="AC24" s="192">
        <f t="shared" si="15"/>
        <v>0.54303495509170951</v>
      </c>
      <c r="AD24" s="192">
        <f t="shared" si="15"/>
        <v>0.54303495509170951</v>
      </c>
      <c r="AE24" s="192">
        <f t="shared" si="15"/>
        <v>0.5429408476722235</v>
      </c>
      <c r="AF24" s="192" t="str">
        <f t="shared" si="15"/>
        <v>-</v>
      </c>
      <c r="AG24" s="192" t="str">
        <f t="shared" si="15"/>
        <v>-</v>
      </c>
      <c r="AH24" s="192" t="str">
        <f t="shared" si="15"/>
        <v>-</v>
      </c>
      <c r="AI24" s="192" t="str">
        <f t="shared" si="15"/>
        <v>-</v>
      </c>
      <c r="AJ24" s="192" t="str">
        <f t="shared" si="15"/>
        <v>-</v>
      </c>
      <c r="AK24" s="192" t="str">
        <f t="shared" si="15"/>
        <v>-</v>
      </c>
      <c r="AL24" s="192" t="str">
        <f t="shared" si="15"/>
        <v>-</v>
      </c>
      <c r="AM24" s="192" t="str">
        <f t="shared" si="15"/>
        <v>-</v>
      </c>
      <c r="AN24" s="192" t="str">
        <f t="shared" si="15"/>
        <v>-</v>
      </c>
      <c r="AO24" s="192" t="str">
        <f t="shared" si="15"/>
        <v>-</v>
      </c>
      <c r="AP24" s="192" t="str">
        <f t="shared" si="15"/>
        <v>-</v>
      </c>
      <c r="AQ24" s="192" t="str">
        <f t="shared" si="15"/>
        <v>-</v>
      </c>
      <c r="AR24" s="192" t="str">
        <f t="shared" si="15"/>
        <v>-</v>
      </c>
      <c r="AS24" s="192" t="str">
        <f t="shared" si="15"/>
        <v>-</v>
      </c>
      <c r="AT24" s="192" t="str">
        <f t="shared" si="15"/>
        <v>-</v>
      </c>
      <c r="AU24" s="192" t="str">
        <f t="shared" si="15"/>
        <v>-</v>
      </c>
      <c r="AV24" s="192" t="str">
        <f t="shared" si="15"/>
        <v>-</v>
      </c>
      <c r="AW24" s="192" t="str">
        <f t="shared" si="15"/>
        <v>-</v>
      </c>
      <c r="AX24" s="58"/>
    </row>
    <row r="25" spans="1:50" s="25" customFormat="1" ht="12.4">
      <c r="A25" s="58"/>
      <c r="B25" s="52" t="s">
        <v>282</v>
      </c>
      <c r="C25" s="258"/>
      <c r="D25" s="52" t="s">
        <v>274</v>
      </c>
      <c r="E25" s="288"/>
      <c r="F25" s="100">
        <f>IFERROR(F16/SUM(F$15:F$16),"-")</f>
        <v>0.45772853613341569</v>
      </c>
      <c r="G25" s="100">
        <f>IFERROR(G16/SUM(G$15:G$16),"-")</f>
        <v>0.45772853613341569</v>
      </c>
      <c r="H25" s="100">
        <f>IFERROR(H16/SUM(H$15:H$16),"-")</f>
        <v>0.45772853613341569</v>
      </c>
      <c r="I25" s="100">
        <f>IFERROR(I16/SUM(I$15:I$16),"-")</f>
        <v>0.45772853613341569</v>
      </c>
      <c r="J25" s="26"/>
      <c r="K25" s="100">
        <f t="shared" ref="K25:AW25" si="16">IFERROR(K16/SUM(K$15:K$16),"-")</f>
        <v>0.45772853613341569</v>
      </c>
      <c r="L25" s="100">
        <f t="shared" si="16"/>
        <v>0.45841400065172805</v>
      </c>
      <c r="M25" s="100">
        <f t="shared" si="16"/>
        <v>0.45841400065172805</v>
      </c>
      <c r="N25" s="100">
        <f t="shared" si="16"/>
        <v>0.45982236254017766</v>
      </c>
      <c r="O25" s="100">
        <f t="shared" si="16"/>
        <v>0.45982236254017766</v>
      </c>
      <c r="P25" s="100">
        <f t="shared" si="16"/>
        <v>0.45629450083320711</v>
      </c>
      <c r="Q25" s="100">
        <f t="shared" si="16"/>
        <v>0.45629450083320711</v>
      </c>
      <c r="R25" s="100">
        <f t="shared" si="16"/>
        <v>0.45485705676296662</v>
      </c>
      <c r="S25" s="100">
        <f t="shared" si="16"/>
        <v>0.45485705676296662</v>
      </c>
      <c r="T25" s="100">
        <f t="shared" si="16"/>
        <v>0.45475100439129218</v>
      </c>
      <c r="U25" s="100">
        <f t="shared" si="16"/>
        <v>0.45475100439129218</v>
      </c>
      <c r="V25" s="100">
        <f t="shared" si="16"/>
        <v>0.45475100439129218</v>
      </c>
      <c r="W25" s="100">
        <f t="shared" si="16"/>
        <v>0.45730922120821904</v>
      </c>
      <c r="X25" s="100">
        <f t="shared" si="16"/>
        <v>0.45730922120821904</v>
      </c>
      <c r="Y25" s="100">
        <f t="shared" si="16"/>
        <v>0.45730922120821904</v>
      </c>
      <c r="Z25" s="192">
        <f t="shared" si="16"/>
        <v>0.45730922120821904</v>
      </c>
      <c r="AA25" s="192">
        <f t="shared" si="16"/>
        <v>0.4569698770567916</v>
      </c>
      <c r="AB25" s="192">
        <f t="shared" si="16"/>
        <v>0.45696504490829049</v>
      </c>
      <c r="AC25" s="192">
        <f t="shared" si="16"/>
        <v>0.45696504490829049</v>
      </c>
      <c r="AD25" s="192">
        <f t="shared" si="16"/>
        <v>0.45696504490829049</v>
      </c>
      <c r="AE25" s="192">
        <f t="shared" si="16"/>
        <v>0.4570591523277765</v>
      </c>
      <c r="AF25" s="192" t="str">
        <f t="shared" si="16"/>
        <v>-</v>
      </c>
      <c r="AG25" s="192" t="str">
        <f t="shared" si="16"/>
        <v>-</v>
      </c>
      <c r="AH25" s="192" t="str">
        <f t="shared" si="16"/>
        <v>-</v>
      </c>
      <c r="AI25" s="192" t="str">
        <f t="shared" si="16"/>
        <v>-</v>
      </c>
      <c r="AJ25" s="192" t="str">
        <f t="shared" si="16"/>
        <v>-</v>
      </c>
      <c r="AK25" s="192" t="str">
        <f t="shared" si="16"/>
        <v>-</v>
      </c>
      <c r="AL25" s="192" t="str">
        <f t="shared" si="16"/>
        <v>-</v>
      </c>
      <c r="AM25" s="192" t="str">
        <f t="shared" si="16"/>
        <v>-</v>
      </c>
      <c r="AN25" s="192" t="str">
        <f t="shared" si="16"/>
        <v>-</v>
      </c>
      <c r="AO25" s="192" t="str">
        <f t="shared" si="16"/>
        <v>-</v>
      </c>
      <c r="AP25" s="192" t="str">
        <f t="shared" si="16"/>
        <v>-</v>
      </c>
      <c r="AQ25" s="192" t="str">
        <f t="shared" si="16"/>
        <v>-</v>
      </c>
      <c r="AR25" s="192" t="str">
        <f t="shared" si="16"/>
        <v>-</v>
      </c>
      <c r="AS25" s="192" t="str">
        <f t="shared" si="16"/>
        <v>-</v>
      </c>
      <c r="AT25" s="192" t="str">
        <f t="shared" si="16"/>
        <v>-</v>
      </c>
      <c r="AU25" s="192" t="str">
        <f t="shared" si="16"/>
        <v>-</v>
      </c>
      <c r="AV25" s="192" t="str">
        <f t="shared" si="16"/>
        <v>-</v>
      </c>
      <c r="AW25" s="192" t="str">
        <f t="shared" si="16"/>
        <v>-</v>
      </c>
      <c r="AX25" s="58"/>
    </row>
    <row r="26" spans="1:50" s="25" customFormat="1" ht="12.4">
      <c r="A26" s="58"/>
      <c r="B26" s="52" t="s">
        <v>283</v>
      </c>
      <c r="C26" s="258"/>
      <c r="D26" s="52" t="s">
        <v>265</v>
      </c>
      <c r="E26" s="288"/>
      <c r="F26" s="101">
        <f t="shared" ref="F26:I26" si="17">IFERROR(F22*F24/F20,0)</f>
        <v>0.8210906261174864</v>
      </c>
      <c r="G26" s="101">
        <f t="shared" si="17"/>
        <v>0.83874848904474419</v>
      </c>
      <c r="H26" s="101">
        <f t="shared" si="17"/>
        <v>0.87236448696454871</v>
      </c>
      <c r="I26" s="101">
        <f t="shared" si="17"/>
        <v>0.87236448696454871</v>
      </c>
      <c r="J26" s="26"/>
      <c r="K26" s="101">
        <f t="shared" ref="K26:Z26" si="18">IFERROR(K22*K24/K20,0)</f>
        <v>0.87236448696454871</v>
      </c>
      <c r="L26" s="101">
        <f t="shared" si="18"/>
        <v>0.80855297207153687</v>
      </c>
      <c r="M26" s="101">
        <f t="shared" si="18"/>
        <v>0.81743816956682847</v>
      </c>
      <c r="N26" s="101">
        <f t="shared" si="18"/>
        <v>0.58801430801413623</v>
      </c>
      <c r="O26" s="101">
        <f t="shared" si="18"/>
        <v>0.58801430801413623</v>
      </c>
      <c r="P26" s="101">
        <f t="shared" si="18"/>
        <v>0.59947018454356049</v>
      </c>
      <c r="Q26" s="101">
        <f t="shared" si="18"/>
        <v>0.60598616481033829</v>
      </c>
      <c r="R26" s="101">
        <f t="shared" si="18"/>
        <v>0.56532989185916882</v>
      </c>
      <c r="S26" s="101">
        <f t="shared" si="18"/>
        <v>0.59150062149233495</v>
      </c>
      <c r="T26" s="101">
        <f t="shared" si="18"/>
        <v>0.58171859120178016</v>
      </c>
      <c r="U26" s="101">
        <f t="shared" si="18"/>
        <v>0.58171859120178016</v>
      </c>
      <c r="V26" s="101">
        <f t="shared" si="18"/>
        <v>0.58171859120178016</v>
      </c>
      <c r="W26" s="101">
        <f t="shared" si="18"/>
        <v>0.57444734794427255</v>
      </c>
      <c r="X26" s="101">
        <f t="shared" si="18"/>
        <v>0.57444734794427255</v>
      </c>
      <c r="Y26" s="101">
        <f t="shared" si="18"/>
        <v>0.57444734794427255</v>
      </c>
      <c r="Z26" s="101">
        <f t="shared" si="18"/>
        <v>0.57444734794427255</v>
      </c>
      <c r="AA26" s="101">
        <f t="shared" ref="AA26" si="19">IFERROR(AA22*AA24/AA20,0)</f>
        <v>0.55335435069173089</v>
      </c>
      <c r="AB26" s="101">
        <f t="shared" ref="AB26:AW26" si="20">IFERROR(AB22*AB24/AB20,0)</f>
        <v>0.55336048589601861</v>
      </c>
      <c r="AC26" s="101">
        <f t="shared" si="20"/>
        <v>0.55336048589601861</v>
      </c>
      <c r="AD26" s="101">
        <f t="shared" si="20"/>
        <v>0.55336048589601861</v>
      </c>
      <c r="AE26" s="101">
        <f t="shared" si="20"/>
        <v>0.54642468243374698</v>
      </c>
      <c r="AF26" s="101">
        <f t="shared" si="20"/>
        <v>0</v>
      </c>
      <c r="AG26" s="101">
        <f t="shared" si="20"/>
        <v>0</v>
      </c>
      <c r="AH26" s="101">
        <f t="shared" si="20"/>
        <v>0</v>
      </c>
      <c r="AI26" s="101">
        <f t="shared" si="20"/>
        <v>0</v>
      </c>
      <c r="AJ26" s="101">
        <f t="shared" si="20"/>
        <v>0</v>
      </c>
      <c r="AK26" s="101">
        <f t="shared" si="20"/>
        <v>0</v>
      </c>
      <c r="AL26" s="101">
        <f t="shared" si="20"/>
        <v>0</v>
      </c>
      <c r="AM26" s="101">
        <f t="shared" si="20"/>
        <v>0</v>
      </c>
      <c r="AN26" s="101">
        <f t="shared" si="20"/>
        <v>0</v>
      </c>
      <c r="AO26" s="101">
        <f t="shared" si="20"/>
        <v>0</v>
      </c>
      <c r="AP26" s="101">
        <f t="shared" si="20"/>
        <v>0</v>
      </c>
      <c r="AQ26" s="101">
        <f t="shared" si="20"/>
        <v>0</v>
      </c>
      <c r="AR26" s="101">
        <f t="shared" si="20"/>
        <v>0</v>
      </c>
      <c r="AS26" s="101">
        <f t="shared" si="20"/>
        <v>0</v>
      </c>
      <c r="AT26" s="101">
        <f t="shared" si="20"/>
        <v>0</v>
      </c>
      <c r="AU26" s="101">
        <f t="shared" si="20"/>
        <v>0</v>
      </c>
      <c r="AV26" s="101">
        <f t="shared" si="20"/>
        <v>0</v>
      </c>
      <c r="AW26" s="101">
        <f t="shared" si="20"/>
        <v>0</v>
      </c>
      <c r="AX26" s="58"/>
    </row>
    <row r="27" spans="1:50" s="25" customFormat="1" ht="12.4">
      <c r="A27" s="58"/>
      <c r="B27" s="52" t="s">
        <v>284</v>
      </c>
      <c r="C27" s="258"/>
      <c r="D27" s="52" t="s">
        <v>265</v>
      </c>
      <c r="E27" s="288"/>
      <c r="F27" s="101">
        <f t="shared" ref="F27:I27" si="21">IFERROR(F23*F24/F15,0)</f>
        <v>0.15547554431747992</v>
      </c>
      <c r="G27" s="101">
        <f t="shared" si="21"/>
        <v>0.15547554431747992</v>
      </c>
      <c r="H27" s="101">
        <f t="shared" si="21"/>
        <v>0.17343722977146386</v>
      </c>
      <c r="I27" s="101">
        <f t="shared" si="21"/>
        <v>0.17343722977146386</v>
      </c>
      <c r="J27" s="162"/>
      <c r="K27" s="101">
        <f t="shared" ref="K27:Z27" si="22">IFERROR(K23*K24/K15,0)</f>
        <v>0.17343722977146386</v>
      </c>
      <c r="L27" s="101">
        <f t="shared" si="22"/>
        <v>0.18453037244340509</v>
      </c>
      <c r="M27" s="101">
        <f t="shared" si="22"/>
        <v>0.18453037244340509</v>
      </c>
      <c r="N27" s="101">
        <f t="shared" si="22"/>
        <v>0.1504783278495217</v>
      </c>
      <c r="O27" s="101">
        <f t="shared" si="22"/>
        <v>0.1504783278495217</v>
      </c>
      <c r="P27" s="101">
        <f t="shared" si="22"/>
        <v>0.1363211634600818</v>
      </c>
      <c r="Q27" s="101">
        <f t="shared" si="22"/>
        <v>0.1363211634600818</v>
      </c>
      <c r="R27" s="101">
        <f t="shared" si="22"/>
        <v>0.13460137858299748</v>
      </c>
      <c r="S27" s="101">
        <f t="shared" si="22"/>
        <v>0.14098670383065276</v>
      </c>
      <c r="T27" s="101">
        <f t="shared" si="22"/>
        <v>0.14494519293655983</v>
      </c>
      <c r="U27" s="101">
        <f t="shared" si="22"/>
        <v>0.14494519293655983</v>
      </c>
      <c r="V27" s="101">
        <f t="shared" si="22"/>
        <v>0.14494519293655983</v>
      </c>
      <c r="W27" s="101">
        <f t="shared" si="22"/>
        <v>0.15116734785286379</v>
      </c>
      <c r="X27" s="101">
        <f t="shared" si="22"/>
        <v>0.15116734785286379</v>
      </c>
      <c r="Y27" s="101">
        <f t="shared" si="22"/>
        <v>0.15116734785286379</v>
      </c>
      <c r="Z27" s="101">
        <f t="shared" si="22"/>
        <v>0.15116734785286379</v>
      </c>
      <c r="AA27" s="101">
        <f t="shared" ref="AA27" si="23">IFERROR(AA23*AA24/AA15,0)</f>
        <v>0.16835048100137431</v>
      </c>
      <c r="AB27" s="101">
        <f t="shared" ref="AB27:AW27" si="24">IFERROR(AB23*AB24/AB15,0)</f>
        <v>0.16835234755323497</v>
      </c>
      <c r="AC27" s="101">
        <f t="shared" si="24"/>
        <v>0.16835234755323497</v>
      </c>
      <c r="AD27" s="101">
        <f t="shared" si="24"/>
        <v>0.16835234755323497</v>
      </c>
      <c r="AE27" s="101">
        <f t="shared" si="24"/>
        <v>0.17249778757664383</v>
      </c>
      <c r="AF27" s="101">
        <f t="shared" si="24"/>
        <v>0</v>
      </c>
      <c r="AG27" s="101">
        <f t="shared" si="24"/>
        <v>0</v>
      </c>
      <c r="AH27" s="101">
        <f t="shared" si="24"/>
        <v>0</v>
      </c>
      <c r="AI27" s="101">
        <f t="shared" si="24"/>
        <v>0</v>
      </c>
      <c r="AJ27" s="101">
        <f t="shared" si="24"/>
        <v>0</v>
      </c>
      <c r="AK27" s="101">
        <f t="shared" si="24"/>
        <v>0</v>
      </c>
      <c r="AL27" s="101">
        <f t="shared" si="24"/>
        <v>0</v>
      </c>
      <c r="AM27" s="101">
        <f t="shared" si="24"/>
        <v>0</v>
      </c>
      <c r="AN27" s="101">
        <f t="shared" si="24"/>
        <v>0</v>
      </c>
      <c r="AO27" s="101">
        <f t="shared" si="24"/>
        <v>0</v>
      </c>
      <c r="AP27" s="101">
        <f t="shared" si="24"/>
        <v>0</v>
      </c>
      <c r="AQ27" s="101">
        <f t="shared" si="24"/>
        <v>0</v>
      </c>
      <c r="AR27" s="101">
        <f t="shared" si="24"/>
        <v>0</v>
      </c>
      <c r="AS27" s="101">
        <f t="shared" si="24"/>
        <v>0</v>
      </c>
      <c r="AT27" s="101">
        <f t="shared" si="24"/>
        <v>0</v>
      </c>
      <c r="AU27" s="101">
        <f t="shared" si="24"/>
        <v>0</v>
      </c>
      <c r="AV27" s="101">
        <f t="shared" si="24"/>
        <v>0</v>
      </c>
      <c r="AW27" s="101">
        <f t="shared" si="24"/>
        <v>0</v>
      </c>
      <c r="AX27" s="58"/>
    </row>
    <row r="28" spans="1:50" s="25" customFormat="1" ht="12.4">
      <c r="A28" s="58"/>
      <c r="B28" s="52" t="s">
        <v>285</v>
      </c>
      <c r="C28" s="258"/>
      <c r="D28" s="52" t="s">
        <v>265</v>
      </c>
      <c r="E28" s="288"/>
      <c r="F28" s="101">
        <f t="shared" ref="F28:I28" si="25">IFERROR(F22*F25/F21,0)</f>
        <v>0.82109062611748651</v>
      </c>
      <c r="G28" s="101">
        <f t="shared" si="25"/>
        <v>0.83874848904474431</v>
      </c>
      <c r="H28" s="101">
        <f t="shared" si="25"/>
        <v>0.87236448696454871</v>
      </c>
      <c r="I28" s="101">
        <f t="shared" si="25"/>
        <v>0.87236448696454871</v>
      </c>
      <c r="J28" s="162"/>
      <c r="K28" s="101">
        <f t="shared" ref="K28:Z28" si="26">IFERROR(K22*K25/K21,0)</f>
        <v>0.87236448696454871</v>
      </c>
      <c r="L28" s="101">
        <f t="shared" si="26"/>
        <v>0.81743816956682835</v>
      </c>
      <c r="M28" s="101">
        <f t="shared" si="26"/>
        <v>0.81743816956682835</v>
      </c>
      <c r="N28" s="101">
        <f t="shared" si="26"/>
        <v>0.58801430801413634</v>
      </c>
      <c r="O28" s="101">
        <f t="shared" si="26"/>
        <v>0.58801430801413634</v>
      </c>
      <c r="P28" s="101">
        <f t="shared" si="26"/>
        <v>0.5994701845435606</v>
      </c>
      <c r="Q28" s="101">
        <f t="shared" si="26"/>
        <v>0.6059861648103384</v>
      </c>
      <c r="R28" s="101">
        <f t="shared" si="26"/>
        <v>0.56532989185916882</v>
      </c>
      <c r="S28" s="101">
        <f t="shared" si="26"/>
        <v>0.58552586773988713</v>
      </c>
      <c r="T28" s="101">
        <f t="shared" si="26"/>
        <v>0.57584264583610567</v>
      </c>
      <c r="U28" s="101">
        <f t="shared" si="26"/>
        <v>0.57584264583610567</v>
      </c>
      <c r="V28" s="101">
        <f t="shared" si="26"/>
        <v>0.57584264583610567</v>
      </c>
      <c r="W28" s="101">
        <f t="shared" si="26"/>
        <v>0.56864484948018912</v>
      </c>
      <c r="X28" s="101">
        <f t="shared" si="26"/>
        <v>0.56864484948018912</v>
      </c>
      <c r="Y28" s="101">
        <f t="shared" si="26"/>
        <v>0.56864484948018912</v>
      </c>
      <c r="Z28" s="101">
        <f t="shared" si="26"/>
        <v>0.56864484948018912</v>
      </c>
      <c r="AA28" s="101">
        <f t="shared" ref="AA28" si="27">IFERROR(AA22*AA25/AA21,0)</f>
        <v>0.54776491280595574</v>
      </c>
      <c r="AB28" s="101">
        <f t="shared" ref="AB28:AW28" si="28">IFERROR(AB22*AB25/AB21,0)</f>
        <v>0.54777098603848307</v>
      </c>
      <c r="AC28" s="101">
        <f t="shared" si="28"/>
        <v>0.55336048589601861</v>
      </c>
      <c r="AD28" s="101">
        <f t="shared" si="28"/>
        <v>0.55336048589601861</v>
      </c>
      <c r="AE28" s="101">
        <f t="shared" si="28"/>
        <v>0.54642468243374687</v>
      </c>
      <c r="AF28" s="101">
        <f t="shared" si="28"/>
        <v>0</v>
      </c>
      <c r="AG28" s="101">
        <f t="shared" si="28"/>
        <v>0</v>
      </c>
      <c r="AH28" s="101">
        <f t="shared" si="28"/>
        <v>0</v>
      </c>
      <c r="AI28" s="101">
        <f t="shared" si="28"/>
        <v>0</v>
      </c>
      <c r="AJ28" s="101">
        <f t="shared" si="28"/>
        <v>0</v>
      </c>
      <c r="AK28" s="101">
        <f t="shared" si="28"/>
        <v>0</v>
      </c>
      <c r="AL28" s="101">
        <f t="shared" si="28"/>
        <v>0</v>
      </c>
      <c r="AM28" s="101">
        <f t="shared" si="28"/>
        <v>0</v>
      </c>
      <c r="AN28" s="101">
        <f t="shared" si="28"/>
        <v>0</v>
      </c>
      <c r="AO28" s="101">
        <f t="shared" si="28"/>
        <v>0</v>
      </c>
      <c r="AP28" s="101">
        <f t="shared" si="28"/>
        <v>0</v>
      </c>
      <c r="AQ28" s="101">
        <f t="shared" si="28"/>
        <v>0</v>
      </c>
      <c r="AR28" s="101">
        <f t="shared" si="28"/>
        <v>0</v>
      </c>
      <c r="AS28" s="101">
        <f t="shared" si="28"/>
        <v>0</v>
      </c>
      <c r="AT28" s="101">
        <f t="shared" si="28"/>
        <v>0</v>
      </c>
      <c r="AU28" s="101">
        <f t="shared" si="28"/>
        <v>0</v>
      </c>
      <c r="AV28" s="101">
        <f t="shared" si="28"/>
        <v>0</v>
      </c>
      <c r="AW28" s="101">
        <f t="shared" si="28"/>
        <v>0</v>
      </c>
      <c r="AX28" s="58"/>
    </row>
    <row r="29" spans="1:50" s="25" customFormat="1" ht="12.4">
      <c r="A29" s="58"/>
      <c r="B29" s="52" t="s">
        <v>286</v>
      </c>
      <c r="C29" s="258"/>
      <c r="D29" s="52" t="s">
        <v>265</v>
      </c>
      <c r="E29" s="288"/>
      <c r="F29" s="101">
        <f t="shared" ref="F29:I29" si="29">IFERROR(F23*F25/F16,0)</f>
        <v>0.15547554431747992</v>
      </c>
      <c r="G29" s="101">
        <f t="shared" si="29"/>
        <v>0.15547554431747992</v>
      </c>
      <c r="H29" s="101">
        <f t="shared" si="29"/>
        <v>0.17343722977146386</v>
      </c>
      <c r="I29" s="101">
        <f t="shared" si="29"/>
        <v>0.17343722977146386</v>
      </c>
      <c r="J29" s="162"/>
      <c r="K29" s="101">
        <f t="shared" ref="K29:Z29" si="30">IFERROR(K23*K25/K16,0)</f>
        <v>0.17343722977146386</v>
      </c>
      <c r="L29" s="101">
        <f t="shared" si="30"/>
        <v>0.18453037244340506</v>
      </c>
      <c r="M29" s="101">
        <f t="shared" si="30"/>
        <v>0.18453037244340506</v>
      </c>
      <c r="N29" s="101">
        <f t="shared" si="30"/>
        <v>0.15047832784952167</v>
      </c>
      <c r="O29" s="101">
        <f t="shared" si="30"/>
        <v>0.15047832784952167</v>
      </c>
      <c r="P29" s="101">
        <f t="shared" si="30"/>
        <v>0.13632116346008183</v>
      </c>
      <c r="Q29" s="101">
        <f t="shared" si="30"/>
        <v>0.13632116346008183</v>
      </c>
      <c r="R29" s="101">
        <f t="shared" si="30"/>
        <v>0.13460137858299748</v>
      </c>
      <c r="S29" s="101">
        <f t="shared" si="30"/>
        <v>0.14098670383065276</v>
      </c>
      <c r="T29" s="101">
        <f t="shared" si="30"/>
        <v>0.14494519293655986</v>
      </c>
      <c r="U29" s="101">
        <f t="shared" si="30"/>
        <v>0.14494519293655986</v>
      </c>
      <c r="V29" s="101">
        <f t="shared" si="30"/>
        <v>0.14494519293655986</v>
      </c>
      <c r="W29" s="101">
        <f t="shared" si="30"/>
        <v>0.15116734785286379</v>
      </c>
      <c r="X29" s="101">
        <f t="shared" si="30"/>
        <v>0.15116734785286379</v>
      </c>
      <c r="Y29" s="101">
        <f t="shared" si="30"/>
        <v>0.15116734785286379</v>
      </c>
      <c r="Z29" s="101">
        <f t="shared" si="30"/>
        <v>0.15116734785286379</v>
      </c>
      <c r="AA29" s="101">
        <f t="shared" ref="AA29" si="31">IFERROR(AA23*AA25/AA16,0)</f>
        <v>0.16835048100137429</v>
      </c>
      <c r="AB29" s="101">
        <f t="shared" ref="AB29:AW29" si="32">IFERROR(AB23*AB25/AB16,0)</f>
        <v>0.16835234755323494</v>
      </c>
      <c r="AC29" s="101">
        <f t="shared" si="32"/>
        <v>0.16835234755323494</v>
      </c>
      <c r="AD29" s="101">
        <f t="shared" si="32"/>
        <v>0.16835234755323494</v>
      </c>
      <c r="AE29" s="101">
        <f t="shared" si="32"/>
        <v>0.17249778757664383</v>
      </c>
      <c r="AF29" s="101">
        <f t="shared" si="32"/>
        <v>0</v>
      </c>
      <c r="AG29" s="101">
        <f t="shared" si="32"/>
        <v>0</v>
      </c>
      <c r="AH29" s="101">
        <f t="shared" si="32"/>
        <v>0</v>
      </c>
      <c r="AI29" s="101">
        <f t="shared" si="32"/>
        <v>0</v>
      </c>
      <c r="AJ29" s="101">
        <f t="shared" si="32"/>
        <v>0</v>
      </c>
      <c r="AK29" s="101">
        <f t="shared" si="32"/>
        <v>0</v>
      </c>
      <c r="AL29" s="101">
        <f t="shared" si="32"/>
        <v>0</v>
      </c>
      <c r="AM29" s="101">
        <f t="shared" si="32"/>
        <v>0</v>
      </c>
      <c r="AN29" s="101">
        <f t="shared" si="32"/>
        <v>0</v>
      </c>
      <c r="AO29" s="101">
        <f t="shared" si="32"/>
        <v>0</v>
      </c>
      <c r="AP29" s="101">
        <f t="shared" si="32"/>
        <v>0</v>
      </c>
      <c r="AQ29" s="101">
        <f t="shared" si="32"/>
        <v>0</v>
      </c>
      <c r="AR29" s="101">
        <f t="shared" si="32"/>
        <v>0</v>
      </c>
      <c r="AS29" s="101">
        <f t="shared" si="32"/>
        <v>0</v>
      </c>
      <c r="AT29" s="101">
        <f t="shared" si="32"/>
        <v>0</v>
      </c>
      <c r="AU29" s="101">
        <f t="shared" si="32"/>
        <v>0</v>
      </c>
      <c r="AV29" s="101">
        <f t="shared" si="32"/>
        <v>0</v>
      </c>
      <c r="AW29" s="101">
        <f t="shared" si="32"/>
        <v>0</v>
      </c>
      <c r="AX29" s="58"/>
    </row>
    <row r="30" spans="1:50" s="25" customFormat="1" ht="12.4">
      <c r="A30" s="58"/>
      <c r="B30" s="52" t="s">
        <v>287</v>
      </c>
      <c r="C30" s="258"/>
      <c r="D30" s="52" t="s">
        <v>265</v>
      </c>
      <c r="E30" s="288"/>
      <c r="F30" s="81">
        <f t="shared" ref="F30:I30" si="33">IFERROR((F26+F27)*F15,0)</f>
        <v>27435649.992199942</v>
      </c>
      <c r="G30" s="81">
        <f t="shared" si="33"/>
        <v>27931729.993278325</v>
      </c>
      <c r="H30" s="81">
        <f t="shared" si="33"/>
        <v>29380753.429981537</v>
      </c>
      <c r="I30" s="81">
        <f t="shared" si="33"/>
        <v>29380753.429981537</v>
      </c>
      <c r="J30" s="26"/>
      <c r="K30" s="81">
        <f t="shared" ref="K30:Z30" si="34">IFERROR((K26+K27)*K15,0)</f>
        <v>29380753.429981537</v>
      </c>
      <c r="L30" s="81">
        <f t="shared" si="34"/>
        <v>28058576.81592517</v>
      </c>
      <c r="M30" s="81">
        <f t="shared" si="34"/>
        <v>28309619.185957137</v>
      </c>
      <c r="N30" s="81">
        <f t="shared" si="34"/>
        <v>20974667.84379961</v>
      </c>
      <c r="O30" s="81">
        <f t="shared" si="34"/>
        <v>20974667.84379961</v>
      </c>
      <c r="P30" s="81">
        <f t="shared" si="34"/>
        <v>21126041.183880579</v>
      </c>
      <c r="Q30" s="81">
        <f t="shared" si="34"/>
        <v>21313128.009300303</v>
      </c>
      <c r="R30" s="81">
        <f t="shared" si="34"/>
        <v>20260210.554218944</v>
      </c>
      <c r="S30" s="81">
        <f t="shared" si="34"/>
        <v>21202578.118799202</v>
      </c>
      <c r="T30" s="81">
        <f t="shared" si="34"/>
        <v>21203322.557372622</v>
      </c>
      <c r="U30" s="81">
        <f t="shared" si="34"/>
        <v>21203322.557372622</v>
      </c>
      <c r="V30" s="81">
        <f t="shared" si="34"/>
        <v>21203322.557372622</v>
      </c>
      <c r="W30" s="81">
        <f t="shared" si="34"/>
        <v>21100149.739084929</v>
      </c>
      <c r="X30" s="81">
        <f t="shared" si="34"/>
        <v>21100149.739084929</v>
      </c>
      <c r="Y30" s="81">
        <f t="shared" si="34"/>
        <v>21100149.739084929</v>
      </c>
      <c r="Z30" s="81">
        <f t="shared" si="34"/>
        <v>21100149.739084929</v>
      </c>
      <c r="AA30" s="81">
        <f t="shared" ref="AA30" si="35">IFERROR((AA26+AA27)*AA15,0)</f>
        <v>21102649.278706394</v>
      </c>
      <c r="AB30" s="81">
        <f t="shared" ref="AB30:AW30" si="36">IFERROR((AB26+AB27)*AB15,0)</f>
        <v>21102837.060434833</v>
      </c>
      <c r="AC30" s="81">
        <f t="shared" si="36"/>
        <v>21102837.060434833</v>
      </c>
      <c r="AD30" s="81">
        <f t="shared" si="36"/>
        <v>21102837.060434833</v>
      </c>
      <c r="AE30" s="81">
        <f t="shared" si="36"/>
        <v>21096321.20991905</v>
      </c>
      <c r="AF30" s="81">
        <f t="shared" si="36"/>
        <v>0</v>
      </c>
      <c r="AG30" s="81">
        <f t="shared" si="36"/>
        <v>0</v>
      </c>
      <c r="AH30" s="81">
        <f t="shared" si="36"/>
        <v>0</v>
      </c>
      <c r="AI30" s="81">
        <f t="shared" si="36"/>
        <v>0</v>
      </c>
      <c r="AJ30" s="81">
        <f t="shared" si="36"/>
        <v>0</v>
      </c>
      <c r="AK30" s="81">
        <f t="shared" si="36"/>
        <v>0</v>
      </c>
      <c r="AL30" s="81">
        <f t="shared" si="36"/>
        <v>0</v>
      </c>
      <c r="AM30" s="81">
        <f t="shared" si="36"/>
        <v>0</v>
      </c>
      <c r="AN30" s="81">
        <f t="shared" si="36"/>
        <v>0</v>
      </c>
      <c r="AO30" s="81">
        <f t="shared" si="36"/>
        <v>0</v>
      </c>
      <c r="AP30" s="81">
        <f t="shared" si="36"/>
        <v>0</v>
      </c>
      <c r="AQ30" s="81">
        <f t="shared" si="36"/>
        <v>0</v>
      </c>
      <c r="AR30" s="81">
        <f t="shared" si="36"/>
        <v>0</v>
      </c>
      <c r="AS30" s="81">
        <f t="shared" si="36"/>
        <v>0</v>
      </c>
      <c r="AT30" s="81">
        <f t="shared" si="36"/>
        <v>0</v>
      </c>
      <c r="AU30" s="81">
        <f t="shared" si="36"/>
        <v>0</v>
      </c>
      <c r="AV30" s="81">
        <f t="shared" si="36"/>
        <v>0</v>
      </c>
      <c r="AW30" s="81">
        <f t="shared" si="36"/>
        <v>0</v>
      </c>
      <c r="AX30" s="58"/>
    </row>
    <row r="31" spans="1:50" s="25" customFormat="1" ht="12.4">
      <c r="A31" s="58"/>
      <c r="B31" s="52" t="s">
        <v>288</v>
      </c>
      <c r="C31" s="258"/>
      <c r="D31" s="52" t="s">
        <v>265</v>
      </c>
      <c r="E31" s="288"/>
      <c r="F31" s="81">
        <f t="shared" ref="F31:I31" si="37">IFERROR((F28+F29)*F16,0)</f>
        <v>23158290.165694792</v>
      </c>
      <c r="G31" s="81">
        <f t="shared" si="37"/>
        <v>23577028.727151785</v>
      </c>
      <c r="H31" s="81">
        <f t="shared" si="37"/>
        <v>24800141.910677802</v>
      </c>
      <c r="I31" s="81">
        <f t="shared" si="37"/>
        <v>24800141.910677802</v>
      </c>
      <c r="J31" s="26"/>
      <c r="K31" s="81">
        <f t="shared" ref="K31:Z31" si="38">IFERROR((K28+K29)*K16,0)</f>
        <v>24800141.910677802</v>
      </c>
      <c r="L31" s="81">
        <f t="shared" si="38"/>
        <v>23962077.682174731</v>
      </c>
      <c r="M31" s="81">
        <f t="shared" si="38"/>
        <v>23962077.682174731</v>
      </c>
      <c r="N31" s="81">
        <f t="shared" si="38"/>
        <v>17854536.457275659</v>
      </c>
      <c r="O31" s="81">
        <f t="shared" si="38"/>
        <v>17854536.457275659</v>
      </c>
      <c r="P31" s="81">
        <f t="shared" si="38"/>
        <v>17729628.321495768</v>
      </c>
      <c r="Q31" s="81">
        <f t="shared" si="38"/>
        <v>17886637.382004045</v>
      </c>
      <c r="R31" s="81">
        <f t="shared" si="38"/>
        <v>16904740.043719202</v>
      </c>
      <c r="S31" s="81">
        <f t="shared" si="38"/>
        <v>17546731.628571678</v>
      </c>
      <c r="T31" s="81">
        <f t="shared" si="38"/>
        <v>17541092.844371587</v>
      </c>
      <c r="U31" s="81">
        <f t="shared" si="38"/>
        <v>17541092.844371587</v>
      </c>
      <c r="V31" s="81">
        <f t="shared" si="38"/>
        <v>17541092.844371587</v>
      </c>
      <c r="W31" s="81">
        <f t="shared" si="38"/>
        <v>17638278.083449129</v>
      </c>
      <c r="X31" s="81">
        <f t="shared" si="38"/>
        <v>17638278.083449129</v>
      </c>
      <c r="Y31" s="81">
        <f t="shared" si="38"/>
        <v>17638278.083449129</v>
      </c>
      <c r="Z31" s="81">
        <f t="shared" si="38"/>
        <v>17638278.083449129</v>
      </c>
      <c r="AA31" s="81">
        <f t="shared" ref="AA31" si="39">IFERROR((AA28+AA29)*AA16,0)</f>
        <v>17620735.380023163</v>
      </c>
      <c r="AB31" s="81">
        <f t="shared" ref="AB31:AW31" si="40">IFERROR((AB28+AB29)*AB16,0)</f>
        <v>17620549.052621007</v>
      </c>
      <c r="AC31" s="81">
        <f t="shared" si="40"/>
        <v>17758081.306912106</v>
      </c>
      <c r="AD31" s="81">
        <f t="shared" si="40"/>
        <v>17758081.306912106</v>
      </c>
      <c r="AE31" s="81">
        <f t="shared" si="40"/>
        <v>17759331.851305436</v>
      </c>
      <c r="AF31" s="81">
        <f t="shared" si="40"/>
        <v>0</v>
      </c>
      <c r="AG31" s="81">
        <f t="shared" si="40"/>
        <v>0</v>
      </c>
      <c r="AH31" s="81">
        <f t="shared" si="40"/>
        <v>0</v>
      </c>
      <c r="AI31" s="81">
        <f t="shared" si="40"/>
        <v>0</v>
      </c>
      <c r="AJ31" s="81">
        <f t="shared" si="40"/>
        <v>0</v>
      </c>
      <c r="AK31" s="81">
        <f t="shared" si="40"/>
        <v>0</v>
      </c>
      <c r="AL31" s="81">
        <f t="shared" si="40"/>
        <v>0</v>
      </c>
      <c r="AM31" s="81">
        <f t="shared" si="40"/>
        <v>0</v>
      </c>
      <c r="AN31" s="81">
        <f t="shared" si="40"/>
        <v>0</v>
      </c>
      <c r="AO31" s="81">
        <f t="shared" si="40"/>
        <v>0</v>
      </c>
      <c r="AP31" s="81">
        <f t="shared" si="40"/>
        <v>0</v>
      </c>
      <c r="AQ31" s="81">
        <f t="shared" si="40"/>
        <v>0</v>
      </c>
      <c r="AR31" s="81">
        <f t="shared" si="40"/>
        <v>0</v>
      </c>
      <c r="AS31" s="81">
        <f t="shared" si="40"/>
        <v>0</v>
      </c>
      <c r="AT31" s="81">
        <f t="shared" si="40"/>
        <v>0</v>
      </c>
      <c r="AU31" s="81">
        <f t="shared" si="40"/>
        <v>0</v>
      </c>
      <c r="AV31" s="81">
        <f t="shared" si="40"/>
        <v>0</v>
      </c>
      <c r="AW31" s="81">
        <f t="shared" si="40"/>
        <v>0</v>
      </c>
      <c r="AX31" s="58"/>
    </row>
    <row r="32" spans="1:50" s="25" customFormat="1" ht="12.4">
      <c r="A32" s="58"/>
      <c r="B32" s="52" t="s">
        <v>289</v>
      </c>
      <c r="C32" s="258"/>
      <c r="D32" s="52" t="s">
        <v>265</v>
      </c>
      <c r="E32" s="288"/>
      <c r="F32" s="81">
        <f t="shared" ref="F32:I32" si="41">IFERROR(SUM(F30:F31),0)</f>
        <v>50593940.157894731</v>
      </c>
      <c r="G32" s="81">
        <f t="shared" si="41"/>
        <v>51508758.720430106</v>
      </c>
      <c r="H32" s="81">
        <f t="shared" si="41"/>
        <v>54180895.340659335</v>
      </c>
      <c r="I32" s="81">
        <f t="shared" si="41"/>
        <v>54180895.340659335</v>
      </c>
      <c r="J32" s="26"/>
      <c r="K32" s="81">
        <f t="shared" ref="K32:Z32" si="42">IFERROR(SUM(K30:K31),0)</f>
        <v>54180895.340659335</v>
      </c>
      <c r="L32" s="81">
        <f t="shared" si="42"/>
        <v>52020654.498099901</v>
      </c>
      <c r="M32" s="81">
        <f t="shared" si="42"/>
        <v>52271696.868131869</v>
      </c>
      <c r="N32" s="81">
        <f t="shared" si="42"/>
        <v>38829204.301075265</v>
      </c>
      <c r="O32" s="81">
        <f t="shared" si="42"/>
        <v>38829204.301075265</v>
      </c>
      <c r="P32" s="81">
        <f t="shared" si="42"/>
        <v>38855669.505376346</v>
      </c>
      <c r="Q32" s="81">
        <f t="shared" si="42"/>
        <v>39199765.391304344</v>
      </c>
      <c r="R32" s="81">
        <f t="shared" si="42"/>
        <v>37164950.59793815</v>
      </c>
      <c r="S32" s="81">
        <f t="shared" si="42"/>
        <v>38749309.747370884</v>
      </c>
      <c r="T32" s="81">
        <f t="shared" si="42"/>
        <v>38744415.401744209</v>
      </c>
      <c r="U32" s="81">
        <f t="shared" si="42"/>
        <v>38744415.401744209</v>
      </c>
      <c r="V32" s="81">
        <f t="shared" si="42"/>
        <v>38744415.401744209</v>
      </c>
      <c r="W32" s="81">
        <f t="shared" si="42"/>
        <v>38738427.822534055</v>
      </c>
      <c r="X32" s="81">
        <f t="shared" si="42"/>
        <v>38738427.822534055</v>
      </c>
      <c r="Y32" s="81">
        <f t="shared" si="42"/>
        <v>38738427.822534055</v>
      </c>
      <c r="Z32" s="81">
        <f t="shared" si="42"/>
        <v>38738427.822534055</v>
      </c>
      <c r="AA32" s="81">
        <f t="shared" ref="AA32" si="43">IFERROR(SUM(AA30:AA31),0)</f>
        <v>38723384.658729553</v>
      </c>
      <c r="AB32" s="81">
        <f t="shared" ref="AB32:AW32" si="44">IFERROR(SUM(AB30:AB31),0)</f>
        <v>38723386.11305584</v>
      </c>
      <c r="AC32" s="81">
        <f t="shared" si="44"/>
        <v>38860918.367346942</v>
      </c>
      <c r="AD32" s="81">
        <f t="shared" si="44"/>
        <v>38860918.367346942</v>
      </c>
      <c r="AE32" s="81">
        <f t="shared" si="44"/>
        <v>38855653.06122449</v>
      </c>
      <c r="AF32" s="81">
        <f t="shared" si="44"/>
        <v>0</v>
      </c>
      <c r="AG32" s="81">
        <f t="shared" si="44"/>
        <v>0</v>
      </c>
      <c r="AH32" s="81">
        <f t="shared" si="44"/>
        <v>0</v>
      </c>
      <c r="AI32" s="81">
        <f t="shared" si="44"/>
        <v>0</v>
      </c>
      <c r="AJ32" s="81">
        <f t="shared" si="44"/>
        <v>0</v>
      </c>
      <c r="AK32" s="81">
        <f t="shared" si="44"/>
        <v>0</v>
      </c>
      <c r="AL32" s="81">
        <f t="shared" si="44"/>
        <v>0</v>
      </c>
      <c r="AM32" s="81">
        <f t="shared" si="44"/>
        <v>0</v>
      </c>
      <c r="AN32" s="81">
        <f t="shared" si="44"/>
        <v>0</v>
      </c>
      <c r="AO32" s="81">
        <f t="shared" si="44"/>
        <v>0</v>
      </c>
      <c r="AP32" s="81">
        <f t="shared" si="44"/>
        <v>0</v>
      </c>
      <c r="AQ32" s="81">
        <f t="shared" si="44"/>
        <v>0</v>
      </c>
      <c r="AR32" s="81">
        <f t="shared" si="44"/>
        <v>0</v>
      </c>
      <c r="AS32" s="81">
        <f t="shared" si="44"/>
        <v>0</v>
      </c>
      <c r="AT32" s="81">
        <f t="shared" si="44"/>
        <v>0</v>
      </c>
      <c r="AU32" s="81">
        <f t="shared" si="44"/>
        <v>0</v>
      </c>
      <c r="AV32" s="81">
        <f t="shared" si="44"/>
        <v>0</v>
      </c>
      <c r="AW32" s="81">
        <f t="shared" si="44"/>
        <v>0</v>
      </c>
      <c r="AX32" s="58"/>
    </row>
    <row r="33" spans="1:50" s="25" customFormat="1" ht="12.4">
      <c r="A33" s="58"/>
      <c r="B33" s="52" t="s">
        <v>290</v>
      </c>
      <c r="C33" s="258"/>
      <c r="D33" s="52" t="s">
        <v>265</v>
      </c>
      <c r="E33" s="288"/>
      <c r="F33" s="101">
        <f t="shared" ref="F33:I33" si="45">IFERROR(F30/F15,0)</f>
        <v>0.9765661704349663</v>
      </c>
      <c r="G33" s="101">
        <f t="shared" si="45"/>
        <v>0.99422403336222409</v>
      </c>
      <c r="H33" s="101">
        <f t="shared" si="45"/>
        <v>1.0458017167360125</v>
      </c>
      <c r="I33" s="101">
        <f t="shared" si="45"/>
        <v>1.0458017167360125</v>
      </c>
      <c r="J33" s="26"/>
      <c r="K33" s="101">
        <f t="shared" ref="K33:Z33" si="46">IFERROR(K30/K15,0)</f>
        <v>1.0458017167360125</v>
      </c>
      <c r="L33" s="101">
        <f t="shared" si="46"/>
        <v>0.99308334451494196</v>
      </c>
      <c r="M33" s="101">
        <f t="shared" si="46"/>
        <v>1.0019685420102336</v>
      </c>
      <c r="N33" s="101">
        <f t="shared" si="46"/>
        <v>0.73849263586365788</v>
      </c>
      <c r="O33" s="101">
        <f t="shared" si="46"/>
        <v>0.73849263586365788</v>
      </c>
      <c r="P33" s="101">
        <f t="shared" si="46"/>
        <v>0.73579134800364232</v>
      </c>
      <c r="Q33" s="101">
        <f t="shared" si="46"/>
        <v>0.74230732827042012</v>
      </c>
      <c r="R33" s="101">
        <f t="shared" si="46"/>
        <v>0.6999312704421663</v>
      </c>
      <c r="S33" s="101">
        <f t="shared" si="46"/>
        <v>0.73248732532298766</v>
      </c>
      <c r="T33" s="101">
        <f t="shared" si="46"/>
        <v>0.72666378413833999</v>
      </c>
      <c r="U33" s="101">
        <f t="shared" si="46"/>
        <v>0.72666378413833999</v>
      </c>
      <c r="V33" s="101">
        <f t="shared" si="46"/>
        <v>0.72666378413833999</v>
      </c>
      <c r="W33" s="101">
        <f t="shared" si="46"/>
        <v>0.72561469579713644</v>
      </c>
      <c r="X33" s="101">
        <f t="shared" si="46"/>
        <v>0.72561469579713644</v>
      </c>
      <c r="Y33" s="101">
        <f t="shared" si="46"/>
        <v>0.72561469579713644</v>
      </c>
      <c r="Z33" s="101">
        <f t="shared" si="46"/>
        <v>0.72561469579713644</v>
      </c>
      <c r="AA33" s="101">
        <f t="shared" ref="AA33:AA34" si="47">IFERROR(AA30/AA15,0)</f>
        <v>0.72170483169310518</v>
      </c>
      <c r="AB33" s="101">
        <f t="shared" ref="AB33:AW33" si="48">IFERROR(AB30/AB15,0)</f>
        <v>0.72171283344925352</v>
      </c>
      <c r="AC33" s="101">
        <f t="shared" si="48"/>
        <v>0.72171283344925352</v>
      </c>
      <c r="AD33" s="101">
        <f t="shared" si="48"/>
        <v>0.72171283344925352</v>
      </c>
      <c r="AE33" s="101">
        <f t="shared" si="48"/>
        <v>0.71892247001039078</v>
      </c>
      <c r="AF33" s="101">
        <f t="shared" si="48"/>
        <v>0</v>
      </c>
      <c r="AG33" s="101">
        <f t="shared" si="48"/>
        <v>0</v>
      </c>
      <c r="AH33" s="101">
        <f t="shared" si="48"/>
        <v>0</v>
      </c>
      <c r="AI33" s="101">
        <f t="shared" si="48"/>
        <v>0</v>
      </c>
      <c r="AJ33" s="101">
        <f t="shared" si="48"/>
        <v>0</v>
      </c>
      <c r="AK33" s="101">
        <f t="shared" si="48"/>
        <v>0</v>
      </c>
      <c r="AL33" s="101">
        <f t="shared" si="48"/>
        <v>0</v>
      </c>
      <c r="AM33" s="101">
        <f t="shared" si="48"/>
        <v>0</v>
      </c>
      <c r="AN33" s="101">
        <f t="shared" si="48"/>
        <v>0</v>
      </c>
      <c r="AO33" s="101">
        <f t="shared" si="48"/>
        <v>0</v>
      </c>
      <c r="AP33" s="101">
        <f t="shared" si="48"/>
        <v>0</v>
      </c>
      <c r="AQ33" s="101">
        <f t="shared" si="48"/>
        <v>0</v>
      </c>
      <c r="AR33" s="101">
        <f t="shared" si="48"/>
        <v>0</v>
      </c>
      <c r="AS33" s="101">
        <f t="shared" si="48"/>
        <v>0</v>
      </c>
      <c r="AT33" s="101">
        <f t="shared" si="48"/>
        <v>0</v>
      </c>
      <c r="AU33" s="101">
        <f t="shared" si="48"/>
        <v>0</v>
      </c>
      <c r="AV33" s="101">
        <f t="shared" si="48"/>
        <v>0</v>
      </c>
      <c r="AW33" s="101">
        <f t="shared" si="48"/>
        <v>0</v>
      </c>
      <c r="AX33" s="58"/>
    </row>
    <row r="34" spans="1:50" s="25" customFormat="1" ht="12.4">
      <c r="A34" s="58"/>
      <c r="B34" s="52" t="s">
        <v>291</v>
      </c>
      <c r="C34" s="234"/>
      <c r="D34" s="52" t="s">
        <v>265</v>
      </c>
      <c r="E34" s="288"/>
      <c r="F34" s="101">
        <f t="shared" ref="F34:I34" si="49">IFERROR(F31/F16,0)</f>
        <v>0.9765661704349663</v>
      </c>
      <c r="G34" s="101">
        <f t="shared" si="49"/>
        <v>0.9942240333622242</v>
      </c>
      <c r="H34" s="101">
        <f t="shared" si="49"/>
        <v>1.0458017167360125</v>
      </c>
      <c r="I34" s="101">
        <f t="shared" si="49"/>
        <v>1.0458017167360125</v>
      </c>
      <c r="J34" s="26"/>
      <c r="K34" s="101">
        <f t="shared" ref="K34:Z34" si="50">IFERROR(K31/K16,0)</f>
        <v>1.0458017167360125</v>
      </c>
      <c r="L34" s="101">
        <f t="shared" si="50"/>
        <v>1.0019685420102333</v>
      </c>
      <c r="M34" s="101">
        <f t="shared" si="50"/>
        <v>1.0019685420102333</v>
      </c>
      <c r="N34" s="101">
        <f t="shared" si="50"/>
        <v>0.73849263586365799</v>
      </c>
      <c r="O34" s="101">
        <f t="shared" si="50"/>
        <v>0.73849263586365799</v>
      </c>
      <c r="P34" s="101">
        <f t="shared" si="50"/>
        <v>0.73579134800364243</v>
      </c>
      <c r="Q34" s="101">
        <f t="shared" si="50"/>
        <v>0.74230732827042023</v>
      </c>
      <c r="R34" s="101">
        <f t="shared" si="50"/>
        <v>0.69993127044216641</v>
      </c>
      <c r="S34" s="101">
        <f t="shared" si="50"/>
        <v>0.72651257157053983</v>
      </c>
      <c r="T34" s="101">
        <f t="shared" si="50"/>
        <v>0.7207878387726655</v>
      </c>
      <c r="U34" s="101">
        <f t="shared" si="50"/>
        <v>0.7207878387726655</v>
      </c>
      <c r="V34" s="101">
        <f t="shared" si="50"/>
        <v>0.7207878387726655</v>
      </c>
      <c r="W34" s="101">
        <f t="shared" si="50"/>
        <v>0.71981219733305291</v>
      </c>
      <c r="X34" s="101">
        <f t="shared" si="50"/>
        <v>0.71981219733305291</v>
      </c>
      <c r="Y34" s="101">
        <f t="shared" si="50"/>
        <v>0.71981219733305291</v>
      </c>
      <c r="Z34" s="101">
        <f t="shared" si="50"/>
        <v>0.71981219733305291</v>
      </c>
      <c r="AA34" s="101">
        <f t="shared" si="47"/>
        <v>0.71611539380733003</v>
      </c>
      <c r="AB34" s="101">
        <f t="shared" ref="AB34:AW34" si="51">IFERROR(AB31/AB16,0)</f>
        <v>0.71612333359171798</v>
      </c>
      <c r="AC34" s="101">
        <f t="shared" si="51"/>
        <v>0.72171283344925363</v>
      </c>
      <c r="AD34" s="101">
        <f t="shared" si="51"/>
        <v>0.72171283344925363</v>
      </c>
      <c r="AE34" s="101">
        <f t="shared" si="51"/>
        <v>0.71892247001039067</v>
      </c>
      <c r="AF34" s="101">
        <f t="shared" si="51"/>
        <v>0</v>
      </c>
      <c r="AG34" s="101">
        <f t="shared" si="51"/>
        <v>0</v>
      </c>
      <c r="AH34" s="101">
        <f t="shared" si="51"/>
        <v>0</v>
      </c>
      <c r="AI34" s="101">
        <f t="shared" si="51"/>
        <v>0</v>
      </c>
      <c r="AJ34" s="101">
        <f t="shared" si="51"/>
        <v>0</v>
      </c>
      <c r="AK34" s="101">
        <f t="shared" si="51"/>
        <v>0</v>
      </c>
      <c r="AL34" s="101">
        <f t="shared" si="51"/>
        <v>0</v>
      </c>
      <c r="AM34" s="101">
        <f t="shared" si="51"/>
        <v>0</v>
      </c>
      <c r="AN34" s="101">
        <f t="shared" si="51"/>
        <v>0</v>
      </c>
      <c r="AO34" s="101">
        <f t="shared" si="51"/>
        <v>0</v>
      </c>
      <c r="AP34" s="101">
        <f t="shared" si="51"/>
        <v>0</v>
      </c>
      <c r="AQ34" s="101">
        <f t="shared" si="51"/>
        <v>0</v>
      </c>
      <c r="AR34" s="101">
        <f t="shared" si="51"/>
        <v>0</v>
      </c>
      <c r="AS34" s="101">
        <f t="shared" si="51"/>
        <v>0</v>
      </c>
      <c r="AT34" s="101">
        <f t="shared" si="51"/>
        <v>0</v>
      </c>
      <c r="AU34" s="101">
        <f t="shared" si="51"/>
        <v>0</v>
      </c>
      <c r="AV34" s="101">
        <f t="shared" si="51"/>
        <v>0</v>
      </c>
      <c r="AW34" s="101">
        <f t="shared" si="51"/>
        <v>0</v>
      </c>
      <c r="AX34" s="58"/>
    </row>
    <row r="35" spans="1:50" s="25" customFormat="1" ht="12.4">
      <c r="A35" s="58"/>
      <c r="B35" s="279" t="s">
        <v>292</v>
      </c>
      <c r="C35" s="280"/>
      <c r="D35" s="280"/>
      <c r="E35" s="280"/>
      <c r="F35" s="280"/>
      <c r="G35" s="280"/>
      <c r="H35" s="280"/>
      <c r="I35" s="280"/>
      <c r="J35" s="280"/>
      <c r="K35" s="280"/>
      <c r="L35" s="280"/>
      <c r="M35" s="280"/>
      <c r="N35" s="280"/>
      <c r="O35" s="280"/>
      <c r="P35" s="280"/>
      <c r="Q35" s="280"/>
      <c r="R35" s="280"/>
      <c r="S35" s="280"/>
      <c r="T35" s="280"/>
      <c r="U35" s="281"/>
      <c r="V35" s="280"/>
      <c r="W35" s="280"/>
      <c r="X35" s="280"/>
      <c r="Y35" s="280"/>
      <c r="Z35" s="280"/>
      <c r="AA35" s="280"/>
      <c r="AB35" s="280"/>
      <c r="AC35" s="280"/>
      <c r="AD35" s="280"/>
      <c r="AE35" s="280"/>
      <c r="AF35" s="280"/>
      <c r="AG35" s="280"/>
      <c r="AH35" s="280"/>
      <c r="AI35" s="280"/>
      <c r="AJ35" s="280"/>
      <c r="AK35" s="280"/>
      <c r="AL35" s="280"/>
      <c r="AM35" s="280"/>
      <c r="AN35" s="280"/>
      <c r="AO35" s="281"/>
      <c r="AP35" s="280"/>
      <c r="AQ35" s="280"/>
      <c r="AR35" s="280"/>
      <c r="AS35" s="280"/>
      <c r="AT35" s="280"/>
      <c r="AU35" s="280"/>
      <c r="AV35" s="280"/>
      <c r="AW35" s="281"/>
      <c r="AX35" s="58"/>
    </row>
    <row r="36" spans="1:50" s="25" customFormat="1" ht="12.4">
      <c r="A36" s="58"/>
      <c r="B36" s="52" t="s">
        <v>293</v>
      </c>
      <c r="C36" s="52"/>
      <c r="D36" s="52" t="s">
        <v>265</v>
      </c>
      <c r="E36" s="52"/>
      <c r="F36" s="102">
        <f>F33+F34</f>
        <v>1.9531323408699326</v>
      </c>
      <c r="G36" s="103">
        <f>G33+G34</f>
        <v>1.9884480667244482</v>
      </c>
      <c r="H36" s="103">
        <f>H33+H34</f>
        <v>2.091603433472025</v>
      </c>
      <c r="I36" s="103">
        <f>I33+I34</f>
        <v>2.091603433472025</v>
      </c>
      <c r="J36" s="161"/>
      <c r="K36" s="103">
        <f>K33+K34</f>
        <v>2.091603433472025</v>
      </c>
      <c r="L36" s="103">
        <f>L33+L34</f>
        <v>1.9950518865251752</v>
      </c>
      <c r="M36" s="103">
        <f t="shared" ref="M36:AW36" si="52">M33+M34</f>
        <v>2.0039370840204667</v>
      </c>
      <c r="N36" s="103">
        <f>N33+N34</f>
        <v>1.4769852717273158</v>
      </c>
      <c r="O36" s="103">
        <f t="shared" si="52"/>
        <v>1.4769852717273158</v>
      </c>
      <c r="P36" s="103">
        <f t="shared" si="52"/>
        <v>1.4715826960072849</v>
      </c>
      <c r="Q36" s="103">
        <f t="shared" si="52"/>
        <v>1.4846146565408405</v>
      </c>
      <c r="R36" s="103">
        <f t="shared" si="52"/>
        <v>1.3998625408843326</v>
      </c>
      <c r="S36" s="103">
        <f t="shared" si="52"/>
        <v>1.4589998968935274</v>
      </c>
      <c r="T36" s="103">
        <f t="shared" si="52"/>
        <v>1.4474516229110055</v>
      </c>
      <c r="U36" s="103">
        <f t="shared" si="52"/>
        <v>1.4474516229110055</v>
      </c>
      <c r="V36" s="103">
        <f t="shared" si="52"/>
        <v>1.4474516229110055</v>
      </c>
      <c r="W36" s="103">
        <f t="shared" si="52"/>
        <v>1.4454268931301892</v>
      </c>
      <c r="X36" s="103">
        <f t="shared" si="52"/>
        <v>1.4454268931301892</v>
      </c>
      <c r="Y36" s="103">
        <f t="shared" si="52"/>
        <v>1.4454268931301892</v>
      </c>
      <c r="Z36" s="103">
        <f t="shared" si="52"/>
        <v>1.4454268931301892</v>
      </c>
      <c r="AA36" s="103">
        <f t="shared" si="52"/>
        <v>1.4378202255004351</v>
      </c>
      <c r="AB36" s="103">
        <f t="shared" si="52"/>
        <v>1.4378361670409716</v>
      </c>
      <c r="AC36" s="103">
        <f t="shared" si="52"/>
        <v>1.443425666898507</v>
      </c>
      <c r="AD36" s="103">
        <f t="shared" si="52"/>
        <v>1.443425666898507</v>
      </c>
      <c r="AE36" s="103">
        <f t="shared" si="52"/>
        <v>1.4378449400207813</v>
      </c>
      <c r="AF36" s="103">
        <f t="shared" si="52"/>
        <v>0</v>
      </c>
      <c r="AG36" s="103">
        <f t="shared" si="52"/>
        <v>0</v>
      </c>
      <c r="AH36" s="103">
        <f t="shared" si="52"/>
        <v>0</v>
      </c>
      <c r="AI36" s="103">
        <f t="shared" si="52"/>
        <v>0</v>
      </c>
      <c r="AJ36" s="103">
        <f t="shared" si="52"/>
        <v>0</v>
      </c>
      <c r="AK36" s="103">
        <f t="shared" si="52"/>
        <v>0</v>
      </c>
      <c r="AL36" s="103">
        <f t="shared" si="52"/>
        <v>0</v>
      </c>
      <c r="AM36" s="103">
        <f t="shared" si="52"/>
        <v>0</v>
      </c>
      <c r="AN36" s="103">
        <f t="shared" si="52"/>
        <v>0</v>
      </c>
      <c r="AO36" s="103">
        <f t="shared" si="52"/>
        <v>0</v>
      </c>
      <c r="AP36" s="103">
        <f t="shared" si="52"/>
        <v>0</v>
      </c>
      <c r="AQ36" s="103">
        <f t="shared" si="52"/>
        <v>0</v>
      </c>
      <c r="AR36" s="103">
        <f t="shared" si="52"/>
        <v>0</v>
      </c>
      <c r="AS36" s="103">
        <f t="shared" si="52"/>
        <v>0</v>
      </c>
      <c r="AT36" s="103">
        <f t="shared" si="52"/>
        <v>0</v>
      </c>
      <c r="AU36" s="103">
        <f t="shared" si="52"/>
        <v>0</v>
      </c>
      <c r="AV36" s="103">
        <f t="shared" si="52"/>
        <v>0</v>
      </c>
      <c r="AW36" s="103">
        <f t="shared" si="52"/>
        <v>0</v>
      </c>
      <c r="AX36" s="58"/>
    </row>
    <row r="37" spans="1:50" s="29" customFormat="1" ht="12.4">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row>
    <row r="38" spans="1:50" s="29" customFormat="1" ht="12.4">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row>
    <row r="39" spans="1:50" s="29" customFormat="1" ht="12.4">
      <c r="A39" s="58"/>
      <c r="B39" s="58" t="s">
        <v>294</v>
      </c>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row>
    <row r="40" spans="1:50" s="29" customFormat="1" ht="12.4">
      <c r="A40" s="58"/>
      <c r="B40" s="276" t="s">
        <v>295</v>
      </c>
      <c r="C40" s="276"/>
      <c r="D40" s="276"/>
      <c r="E40" s="276"/>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row>
    <row r="41" spans="1:50" s="29" customFormat="1" ht="14.25" customHeight="1">
      <c r="A41" s="58"/>
      <c r="B41" s="276" t="s">
        <v>296</v>
      </c>
      <c r="C41" s="276"/>
      <c r="D41" s="276"/>
      <c r="E41" s="276"/>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row>
    <row r="42" spans="1:50" s="29" customFormat="1" ht="16.5" customHeight="1">
      <c r="A42" s="58"/>
      <c r="B42" s="276" t="s">
        <v>297</v>
      </c>
      <c r="C42" s="276"/>
      <c r="D42" s="276"/>
      <c r="E42" s="276"/>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row>
    <row r="43" spans="1:50" s="29" customFormat="1" ht="45" customHeight="1">
      <c r="A43" s="58"/>
      <c r="B43" s="276" t="s">
        <v>298</v>
      </c>
      <c r="C43" s="276"/>
      <c r="D43" s="276"/>
      <c r="E43" s="276"/>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row>
    <row r="44" spans="1:50" s="29" customFormat="1" ht="54" customHeight="1">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row>
    <row r="45" spans="1:50" s="29" customFormat="1" ht="12.4">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row>
    <row r="46" spans="1:50" s="29" customFormat="1" ht="12.4">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row>
    <row r="47" spans="1:50" s="152" customFormat="1"/>
    <row r="48" spans="1:50" s="152" customFormat="1"/>
    <row r="49" s="152" customFormat="1"/>
    <row r="50" s="152" customFormat="1"/>
    <row r="51" s="152" customFormat="1"/>
    <row r="52" s="152" customFormat="1"/>
    <row r="53" s="152" customFormat="1"/>
    <row r="54" s="152" customFormat="1"/>
    <row r="55" s="152" customFormat="1"/>
    <row r="56" s="152" customFormat="1"/>
    <row r="57" s="152" customFormat="1"/>
  </sheetData>
  <mergeCells count="24">
    <mergeCell ref="AP19:AW19"/>
    <mergeCell ref="K6:AW6"/>
    <mergeCell ref="K7:AW7"/>
    <mergeCell ref="B43:E43"/>
    <mergeCell ref="B41:E41"/>
    <mergeCell ref="B42:E42"/>
    <mergeCell ref="E22:E34"/>
    <mergeCell ref="B35:U35"/>
    <mergeCell ref="C20:C34"/>
    <mergeCell ref="F6:I6"/>
    <mergeCell ref="F7:I7"/>
    <mergeCell ref="V11:AO11"/>
    <mergeCell ref="AP11:AW11"/>
    <mergeCell ref="V35:AO35"/>
    <mergeCell ref="AP35:AW35"/>
    <mergeCell ref="V19:AO19"/>
    <mergeCell ref="B3:L3"/>
    <mergeCell ref="B40:E40"/>
    <mergeCell ref="B6:B10"/>
    <mergeCell ref="C6:C10"/>
    <mergeCell ref="D6:D10"/>
    <mergeCell ref="E6:E7"/>
    <mergeCell ref="B11:U11"/>
    <mergeCell ref="B19:U19"/>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79998168889431442"/>
    <pageSetUpPr autoPageBreaks="0"/>
  </sheetPr>
  <dimension ref="A1:AX67"/>
  <sheetViews>
    <sheetView topLeftCell="V10" zoomScaleNormal="100" workbookViewId="0">
      <selection activeCell="Y23" sqref="Y23"/>
    </sheetView>
  </sheetViews>
  <sheetFormatPr defaultColWidth="0" defaultRowHeight="13.5" zeroHeight="1"/>
  <cols>
    <col min="1" max="1" width="9" style="23" customWidth="1"/>
    <col min="2" max="2" width="48.28515625" style="23" bestFit="1" customWidth="1"/>
    <col min="3" max="3" width="32.7109375" style="23" customWidth="1"/>
    <col min="4" max="4" width="11.5703125" style="23" bestFit="1" customWidth="1"/>
    <col min="5" max="5" width="29.5703125" style="23" bestFit="1" customWidth="1"/>
    <col min="6" max="9" width="19.5703125" style="23" customWidth="1"/>
    <col min="10" max="10" width="1.28515625" style="23" customWidth="1"/>
    <col min="11" max="49" width="18.7109375" style="23" customWidth="1"/>
    <col min="50" max="50" width="9" style="23" customWidth="1"/>
    <col min="51" max="16384" width="9" style="23" hidden="1"/>
  </cols>
  <sheetData>
    <row r="1" spans="1:50" s="21" customFormat="1" ht="12.75" customHeight="1"/>
    <row r="2" spans="1:50" s="21" customFormat="1" ht="18.75" customHeight="1">
      <c r="B2" s="4" t="s">
        <v>299</v>
      </c>
      <c r="C2" s="4"/>
      <c r="D2" s="4"/>
      <c r="E2" s="4"/>
      <c r="F2" s="4"/>
      <c r="G2" s="4"/>
      <c r="H2" s="4"/>
      <c r="I2" s="4"/>
      <c r="J2" s="4"/>
    </row>
    <row r="3" spans="1:50" s="21" customFormat="1" ht="14.25" customHeight="1">
      <c r="B3" s="67" t="s">
        <v>300</v>
      </c>
      <c r="C3" s="30"/>
      <c r="D3" s="30"/>
      <c r="E3" s="30"/>
      <c r="F3" s="30"/>
      <c r="G3" s="30"/>
      <c r="H3" s="30"/>
      <c r="I3" s="30"/>
      <c r="J3" s="30"/>
      <c r="K3" s="30"/>
      <c r="L3" s="30"/>
      <c r="V3" s="22"/>
      <c r="W3" s="22"/>
      <c r="X3" s="22"/>
      <c r="Y3" s="22"/>
      <c r="Z3" s="22"/>
      <c r="AA3" s="22"/>
    </row>
    <row r="4" spans="1:50" s="21" customFormat="1" ht="12.75" customHeight="1"/>
    <row r="5" spans="1:50" s="152" customFormat="1"/>
    <row r="6" spans="1:50" s="25" customFormat="1" ht="16.5" customHeight="1">
      <c r="A6" s="58"/>
      <c r="B6" s="274" t="s">
        <v>49</v>
      </c>
      <c r="C6" s="274" t="s">
        <v>259</v>
      </c>
      <c r="D6" s="274" t="s">
        <v>104</v>
      </c>
      <c r="E6" s="278"/>
      <c r="F6" s="236" t="s">
        <v>105</v>
      </c>
      <c r="G6" s="237"/>
      <c r="H6" s="237"/>
      <c r="I6" s="238"/>
      <c r="J6" s="160"/>
      <c r="K6" s="282" t="s">
        <v>106</v>
      </c>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4"/>
      <c r="AX6" s="58"/>
    </row>
    <row r="7" spans="1:50" s="25" customFormat="1" ht="31.5" customHeight="1">
      <c r="A7" s="58"/>
      <c r="B7" s="277"/>
      <c r="C7" s="277"/>
      <c r="D7" s="277"/>
      <c r="E7" s="278"/>
      <c r="F7" s="289" t="s">
        <v>260</v>
      </c>
      <c r="G7" s="290"/>
      <c r="H7" s="290"/>
      <c r="I7" s="291"/>
      <c r="J7" s="26"/>
      <c r="K7" s="285" t="s">
        <v>108</v>
      </c>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c r="AP7" s="286"/>
      <c r="AQ7" s="286"/>
      <c r="AR7" s="286"/>
      <c r="AS7" s="286"/>
      <c r="AT7" s="286"/>
      <c r="AU7" s="286"/>
      <c r="AV7" s="286"/>
      <c r="AW7" s="287"/>
      <c r="AX7" s="58"/>
    </row>
    <row r="8" spans="1:50" s="25" customFormat="1" ht="24.75">
      <c r="A8" s="58"/>
      <c r="B8" s="277"/>
      <c r="C8" s="277"/>
      <c r="D8" s="277"/>
      <c r="E8" s="90" t="s">
        <v>261</v>
      </c>
      <c r="F8" s="70" t="s">
        <v>110</v>
      </c>
      <c r="G8" s="70" t="s">
        <v>111</v>
      </c>
      <c r="H8" s="70" t="s">
        <v>112</v>
      </c>
      <c r="I8" s="70" t="s">
        <v>113</v>
      </c>
      <c r="J8" s="26"/>
      <c r="K8" s="70" t="s">
        <v>114</v>
      </c>
      <c r="L8" s="70" t="s">
        <v>115</v>
      </c>
      <c r="M8" s="70" t="s">
        <v>116</v>
      </c>
      <c r="N8" s="70" t="s">
        <v>117</v>
      </c>
      <c r="O8" s="70" t="s">
        <v>118</v>
      </c>
      <c r="P8" s="70" t="s">
        <v>119</v>
      </c>
      <c r="Q8" s="70" t="s">
        <v>120</v>
      </c>
      <c r="R8" s="70" t="s">
        <v>121</v>
      </c>
      <c r="S8" s="70" t="s">
        <v>122</v>
      </c>
      <c r="T8" s="70" t="s">
        <v>123</v>
      </c>
      <c r="U8" s="70" t="s">
        <v>124</v>
      </c>
      <c r="V8" s="70" t="s">
        <v>125</v>
      </c>
      <c r="W8" s="70" t="s">
        <v>126</v>
      </c>
      <c r="X8" s="70" t="s">
        <v>127</v>
      </c>
      <c r="Y8" s="70" t="s">
        <v>128</v>
      </c>
      <c r="Z8" s="70" t="s">
        <v>129</v>
      </c>
      <c r="AA8" s="70" t="s">
        <v>130</v>
      </c>
      <c r="AB8" s="70" t="s">
        <v>131</v>
      </c>
      <c r="AC8" s="70" t="s">
        <v>132</v>
      </c>
      <c r="AD8" s="70" t="s">
        <v>133</v>
      </c>
      <c r="AE8" s="70" t="s">
        <v>134</v>
      </c>
      <c r="AF8" s="70" t="s">
        <v>135</v>
      </c>
      <c r="AG8" s="70" t="s">
        <v>136</v>
      </c>
      <c r="AH8" s="70" t="s">
        <v>137</v>
      </c>
      <c r="AI8" s="70" t="s">
        <v>138</v>
      </c>
      <c r="AJ8" s="70" t="s">
        <v>139</v>
      </c>
      <c r="AK8" s="70" t="s">
        <v>140</v>
      </c>
      <c r="AL8" s="70" t="s">
        <v>141</v>
      </c>
      <c r="AM8" s="70" t="s">
        <v>142</v>
      </c>
      <c r="AN8" s="70" t="s">
        <v>143</v>
      </c>
      <c r="AO8" s="70" t="s">
        <v>144</v>
      </c>
      <c r="AP8" s="70" t="s">
        <v>145</v>
      </c>
      <c r="AQ8" s="70" t="s">
        <v>146</v>
      </c>
      <c r="AR8" s="70" t="s">
        <v>147</v>
      </c>
      <c r="AS8" s="70" t="s">
        <v>148</v>
      </c>
      <c r="AT8" s="70" t="s">
        <v>149</v>
      </c>
      <c r="AU8" s="70" t="s">
        <v>150</v>
      </c>
      <c r="AV8" s="70" t="s">
        <v>151</v>
      </c>
      <c r="AW8" s="70" t="s">
        <v>152</v>
      </c>
      <c r="AX8" s="58"/>
    </row>
    <row r="9" spans="1:50" s="25" customFormat="1" ht="12.4">
      <c r="A9" s="58"/>
      <c r="B9" s="277"/>
      <c r="C9" s="277"/>
      <c r="D9" s="277"/>
      <c r="E9" s="91" t="s">
        <v>153</v>
      </c>
      <c r="F9" s="72" t="s">
        <v>154</v>
      </c>
      <c r="G9" s="72" t="s">
        <v>155</v>
      </c>
      <c r="H9" s="72" t="s">
        <v>156</v>
      </c>
      <c r="I9" s="73" t="s">
        <v>157</v>
      </c>
      <c r="J9" s="26"/>
      <c r="K9" s="74" t="s">
        <v>158</v>
      </c>
      <c r="L9" s="72" t="s">
        <v>159</v>
      </c>
      <c r="M9" s="72" t="s">
        <v>160</v>
      </c>
      <c r="N9" s="72" t="s">
        <v>161</v>
      </c>
      <c r="O9" s="72" t="s">
        <v>162</v>
      </c>
      <c r="P9" s="72" t="s">
        <v>163</v>
      </c>
      <c r="Q9" s="72" t="s">
        <v>164</v>
      </c>
      <c r="R9" s="73" t="s">
        <v>165</v>
      </c>
      <c r="S9" s="72" t="s">
        <v>166</v>
      </c>
      <c r="T9" s="72" t="s">
        <v>167</v>
      </c>
      <c r="U9" s="72" t="s">
        <v>168</v>
      </c>
      <c r="V9" s="72" t="s">
        <v>169</v>
      </c>
      <c r="W9" s="72" t="s">
        <v>170</v>
      </c>
      <c r="X9" s="72" t="s">
        <v>171</v>
      </c>
      <c r="Y9" s="72" t="s">
        <v>172</v>
      </c>
      <c r="Z9" s="72" t="s">
        <v>173</v>
      </c>
      <c r="AA9" s="72" t="s">
        <v>174</v>
      </c>
      <c r="AB9" s="72" t="s">
        <v>175</v>
      </c>
      <c r="AC9" s="72" t="s">
        <v>176</v>
      </c>
      <c r="AD9" s="72" t="s">
        <v>177</v>
      </c>
      <c r="AE9" s="72" t="s">
        <v>178</v>
      </c>
      <c r="AF9" s="72" t="s">
        <v>179</v>
      </c>
      <c r="AG9" s="72" t="s">
        <v>180</v>
      </c>
      <c r="AH9" s="72" t="s">
        <v>181</v>
      </c>
      <c r="AI9" s="72" t="s">
        <v>182</v>
      </c>
      <c r="AJ9" s="72" t="s">
        <v>183</v>
      </c>
      <c r="AK9" s="72" t="s">
        <v>184</v>
      </c>
      <c r="AL9" s="72" t="s">
        <v>185</v>
      </c>
      <c r="AM9" s="72" t="s">
        <v>186</v>
      </c>
      <c r="AN9" s="72" t="s">
        <v>187</v>
      </c>
      <c r="AO9" s="72" t="s">
        <v>188</v>
      </c>
      <c r="AP9" s="72" t="s">
        <v>189</v>
      </c>
      <c r="AQ9" s="72" t="s">
        <v>190</v>
      </c>
      <c r="AR9" s="72" t="s">
        <v>191</v>
      </c>
      <c r="AS9" s="72" t="s">
        <v>192</v>
      </c>
      <c r="AT9" s="72" t="s">
        <v>193</v>
      </c>
      <c r="AU9" s="72" t="s">
        <v>194</v>
      </c>
      <c r="AV9" s="72" t="s">
        <v>195</v>
      </c>
      <c r="AW9" s="72" t="s">
        <v>196</v>
      </c>
      <c r="AX9" s="58"/>
    </row>
    <row r="10" spans="1:50" s="25" customFormat="1" ht="15" customHeight="1">
      <c r="A10" s="58"/>
      <c r="B10" s="275"/>
      <c r="C10" s="275"/>
      <c r="D10" s="275"/>
      <c r="E10" s="91" t="s">
        <v>197</v>
      </c>
      <c r="F10" s="75" t="s">
        <v>198</v>
      </c>
      <c r="G10" s="72" t="s">
        <v>198</v>
      </c>
      <c r="H10" s="72" t="s">
        <v>199</v>
      </c>
      <c r="I10" s="72" t="s">
        <v>199</v>
      </c>
      <c r="J10" s="26"/>
      <c r="K10" s="72" t="s">
        <v>200</v>
      </c>
      <c r="L10" s="72" t="s">
        <v>201</v>
      </c>
      <c r="M10" s="72" t="s">
        <v>201</v>
      </c>
      <c r="N10" s="72" t="s">
        <v>202</v>
      </c>
      <c r="O10" s="72" t="s">
        <v>202</v>
      </c>
      <c r="P10" s="72" t="s">
        <v>203</v>
      </c>
      <c r="Q10" s="72" t="s">
        <v>203</v>
      </c>
      <c r="R10" s="72" t="s">
        <v>204</v>
      </c>
      <c r="S10" s="72" t="s">
        <v>204</v>
      </c>
      <c r="T10" s="72" t="s">
        <v>205</v>
      </c>
      <c r="U10" s="72" t="s">
        <v>205</v>
      </c>
      <c r="V10" s="72" t="s">
        <v>205</v>
      </c>
      <c r="W10" s="72" t="s">
        <v>206</v>
      </c>
      <c r="X10" s="72" t="s">
        <v>206</v>
      </c>
      <c r="Y10" s="72" t="s">
        <v>206</v>
      </c>
      <c r="Z10" s="72" t="s">
        <v>206</v>
      </c>
      <c r="AA10" s="72" t="s">
        <v>207</v>
      </c>
      <c r="AB10" s="72" t="s">
        <v>207</v>
      </c>
      <c r="AC10" s="72" t="s">
        <v>207</v>
      </c>
      <c r="AD10" s="72" t="s">
        <v>207</v>
      </c>
      <c r="AE10" s="72" t="s">
        <v>208</v>
      </c>
      <c r="AF10" s="72" t="s">
        <v>208</v>
      </c>
      <c r="AG10" s="72" t="s">
        <v>208</v>
      </c>
      <c r="AH10" s="72" t="s">
        <v>208</v>
      </c>
      <c r="AI10" s="72" t="s">
        <v>209</v>
      </c>
      <c r="AJ10" s="72" t="s">
        <v>209</v>
      </c>
      <c r="AK10" s="72" t="s">
        <v>209</v>
      </c>
      <c r="AL10" s="72" t="s">
        <v>209</v>
      </c>
      <c r="AM10" s="72" t="s">
        <v>210</v>
      </c>
      <c r="AN10" s="72" t="s">
        <v>210</v>
      </c>
      <c r="AO10" s="72" t="s">
        <v>210</v>
      </c>
      <c r="AP10" s="72" t="s">
        <v>210</v>
      </c>
      <c r="AQ10" s="72" t="s">
        <v>211</v>
      </c>
      <c r="AR10" s="72" t="s">
        <v>211</v>
      </c>
      <c r="AS10" s="72" t="s">
        <v>211</v>
      </c>
      <c r="AT10" s="72" t="s">
        <v>211</v>
      </c>
      <c r="AU10" s="72" t="s">
        <v>212</v>
      </c>
      <c r="AV10" s="72" t="s">
        <v>212</v>
      </c>
      <c r="AW10" s="72" t="s">
        <v>212</v>
      </c>
      <c r="AX10" s="58"/>
    </row>
    <row r="11" spans="1:50" s="25" customFormat="1" ht="12.4">
      <c r="A11" s="58"/>
      <c r="B11" s="279" t="s">
        <v>262</v>
      </c>
      <c r="C11" s="280"/>
      <c r="D11" s="280"/>
      <c r="E11" s="280"/>
      <c r="F11" s="280"/>
      <c r="G11" s="280"/>
      <c r="H11" s="280"/>
      <c r="I11" s="280"/>
      <c r="J11" s="280"/>
      <c r="K11" s="280"/>
      <c r="L11" s="280"/>
      <c r="M11" s="280"/>
      <c r="N11" s="280"/>
      <c r="O11" s="280"/>
      <c r="P11" s="280"/>
      <c r="Q11" s="280"/>
      <c r="R11" s="280"/>
      <c r="S11" s="280"/>
      <c r="T11" s="280"/>
      <c r="U11" s="281"/>
      <c r="V11" s="280"/>
      <c r="W11" s="280"/>
      <c r="X11" s="280"/>
      <c r="Y11" s="280"/>
      <c r="Z11" s="280"/>
      <c r="AA11" s="280"/>
      <c r="AB11" s="280"/>
      <c r="AC11" s="280"/>
      <c r="AD11" s="280"/>
      <c r="AE11" s="280"/>
      <c r="AF11" s="280"/>
      <c r="AG11" s="280"/>
      <c r="AH11" s="280"/>
      <c r="AI11" s="280"/>
      <c r="AJ11" s="280"/>
      <c r="AK11" s="280"/>
      <c r="AL11" s="280"/>
      <c r="AM11" s="280"/>
      <c r="AN11" s="280"/>
      <c r="AO11" s="281"/>
      <c r="AP11" s="280"/>
      <c r="AQ11" s="280"/>
      <c r="AR11" s="280"/>
      <c r="AS11" s="280"/>
      <c r="AT11" s="280"/>
      <c r="AU11" s="280"/>
      <c r="AV11" s="280"/>
      <c r="AW11" s="281"/>
      <c r="AX11" s="58"/>
    </row>
    <row r="12" spans="1:50" s="25" customFormat="1" ht="12.4">
      <c r="A12" s="58"/>
      <c r="B12" s="52" t="s">
        <v>268</v>
      </c>
      <c r="C12" s="52" t="s">
        <v>269</v>
      </c>
      <c r="D12" s="52" t="s">
        <v>270</v>
      </c>
      <c r="E12" s="233"/>
      <c r="F12" s="94">
        <v>28094000</v>
      </c>
      <c r="G12" s="94">
        <v>28094000</v>
      </c>
      <c r="H12" s="94">
        <v>28094000</v>
      </c>
      <c r="I12" s="94">
        <v>28094000</v>
      </c>
      <c r="J12" s="26"/>
      <c r="K12" s="94">
        <v>28094000</v>
      </c>
      <c r="L12" s="94">
        <v>28254000</v>
      </c>
      <c r="M12" s="94">
        <v>28254000</v>
      </c>
      <c r="N12" s="94">
        <v>28402000</v>
      </c>
      <c r="O12" s="94">
        <v>28402000</v>
      </c>
      <c r="P12" s="94">
        <v>28712000</v>
      </c>
      <c r="Q12" s="94">
        <v>28712000</v>
      </c>
      <c r="R12" s="94">
        <v>28946000</v>
      </c>
      <c r="S12" s="131">
        <v>28946000</v>
      </c>
      <c r="T12" s="94">
        <v>29179000</v>
      </c>
      <c r="U12" s="131">
        <v>29179000</v>
      </c>
      <c r="V12" s="131">
        <v>29179000</v>
      </c>
      <c r="W12" s="94">
        <v>29079000</v>
      </c>
      <c r="X12" s="94">
        <v>29079000</v>
      </c>
      <c r="Y12" s="131">
        <v>29079000</v>
      </c>
      <c r="Z12" s="131">
        <v>29079000</v>
      </c>
      <c r="AA12" s="94">
        <v>29240000</v>
      </c>
      <c r="AB12" s="131">
        <v>29239936</v>
      </c>
      <c r="AC12" s="131">
        <v>29239936</v>
      </c>
      <c r="AD12" s="131">
        <v>29239936</v>
      </c>
      <c r="AE12" s="94">
        <v>29344362</v>
      </c>
      <c r="AF12" s="94"/>
      <c r="AG12" s="131"/>
      <c r="AH12" s="131"/>
      <c r="AI12" s="94"/>
      <c r="AJ12" s="94"/>
      <c r="AK12" s="131"/>
      <c r="AL12" s="131"/>
      <c r="AM12" s="94"/>
      <c r="AN12" s="94"/>
      <c r="AO12" s="131"/>
      <c r="AP12" s="131"/>
      <c r="AQ12" s="94"/>
      <c r="AR12" s="94"/>
      <c r="AS12" s="131"/>
      <c r="AT12" s="131"/>
      <c r="AU12" s="94"/>
      <c r="AV12" s="94"/>
      <c r="AW12" s="131"/>
      <c r="AX12" s="58"/>
    </row>
    <row r="13" spans="1:50" s="25" customFormat="1" ht="12.4">
      <c r="A13" s="58"/>
      <c r="B13" s="52" t="s">
        <v>271</v>
      </c>
      <c r="C13" s="52" t="s">
        <v>269</v>
      </c>
      <c r="D13" s="52" t="s">
        <v>270</v>
      </c>
      <c r="E13" s="258"/>
      <c r="F13" s="94">
        <v>23714000</v>
      </c>
      <c r="G13" s="94">
        <v>23714000</v>
      </c>
      <c r="H13" s="94">
        <v>23714000</v>
      </c>
      <c r="I13" s="94">
        <v>23714000</v>
      </c>
      <c r="J13" s="26"/>
      <c r="K13" s="94">
        <v>23714000</v>
      </c>
      <c r="L13" s="94">
        <v>23915000</v>
      </c>
      <c r="M13" s="94">
        <v>23915000</v>
      </c>
      <c r="N13" s="94">
        <v>24177000</v>
      </c>
      <c r="O13" s="94">
        <v>24177000</v>
      </c>
      <c r="P13" s="94">
        <v>24096000</v>
      </c>
      <c r="Q13" s="94">
        <v>24096000</v>
      </c>
      <c r="R13" s="94">
        <v>24152000</v>
      </c>
      <c r="S13" s="131">
        <v>24152000</v>
      </c>
      <c r="T13" s="94">
        <v>24336000</v>
      </c>
      <c r="U13" s="131">
        <v>24336000</v>
      </c>
      <c r="V13" s="131">
        <v>24336000</v>
      </c>
      <c r="W13" s="94">
        <v>24504000</v>
      </c>
      <c r="X13" s="94">
        <v>24504000</v>
      </c>
      <c r="Y13" s="131">
        <v>24504000</v>
      </c>
      <c r="Z13" s="131">
        <v>24504000</v>
      </c>
      <c r="AA13" s="94">
        <v>24606000</v>
      </c>
      <c r="AB13" s="131">
        <v>24605467</v>
      </c>
      <c r="AC13" s="131">
        <v>24605467</v>
      </c>
      <c r="AD13" s="131">
        <v>24605467</v>
      </c>
      <c r="AE13" s="94">
        <v>24702708</v>
      </c>
      <c r="AF13" s="94"/>
      <c r="AG13" s="131"/>
      <c r="AH13" s="131"/>
      <c r="AI13" s="94"/>
      <c r="AJ13" s="94"/>
      <c r="AK13" s="131"/>
      <c r="AL13" s="131"/>
      <c r="AM13" s="94"/>
      <c r="AN13" s="94"/>
      <c r="AO13" s="131"/>
      <c r="AP13" s="131"/>
      <c r="AQ13" s="94"/>
      <c r="AR13" s="94"/>
      <c r="AS13" s="131"/>
      <c r="AT13" s="131"/>
      <c r="AU13" s="94"/>
      <c r="AV13" s="94"/>
      <c r="AW13" s="131"/>
      <c r="AX13" s="58"/>
    </row>
    <row r="14" spans="1:50" s="25" customFormat="1" ht="12.4">
      <c r="A14" s="58"/>
      <c r="B14" s="52" t="s">
        <v>301</v>
      </c>
      <c r="C14" s="52" t="s">
        <v>302</v>
      </c>
      <c r="D14" s="52" t="s">
        <v>270</v>
      </c>
      <c r="E14" s="258"/>
      <c r="F14" s="94">
        <v>0</v>
      </c>
      <c r="G14" s="94">
        <v>0</v>
      </c>
      <c r="H14" s="94">
        <v>0</v>
      </c>
      <c r="I14" s="94">
        <v>767273</v>
      </c>
      <c r="J14" s="26"/>
      <c r="K14" s="94">
        <v>767273</v>
      </c>
      <c r="L14" s="94">
        <v>3069092</v>
      </c>
      <c r="M14" s="94">
        <v>6138184</v>
      </c>
      <c r="N14" s="94">
        <v>9261038</v>
      </c>
      <c r="O14" s="94">
        <v>3553039.7513767211</v>
      </c>
      <c r="P14" s="94">
        <v>5243412.9567544768</v>
      </c>
      <c r="Q14" s="94">
        <v>8618063</v>
      </c>
      <c r="R14" s="94">
        <v>9857400.5</v>
      </c>
      <c r="S14" s="131">
        <v>10543550.576983877</v>
      </c>
      <c r="T14" s="94">
        <v>12140593</v>
      </c>
      <c r="U14" s="94">
        <v>11781254.558570916</v>
      </c>
      <c r="V14" s="94">
        <v>11781254.558570916</v>
      </c>
      <c r="W14" s="94">
        <v>12820586</v>
      </c>
      <c r="X14" s="94">
        <v>12820586</v>
      </c>
      <c r="Y14" s="131">
        <v>10388366</v>
      </c>
      <c r="Z14" s="131">
        <v>10388366</v>
      </c>
      <c r="AA14" s="94">
        <v>11245398</v>
      </c>
      <c r="AB14" s="94">
        <v>11245398</v>
      </c>
      <c r="AC14" s="94">
        <v>14419320.616081851</v>
      </c>
      <c r="AD14" s="94">
        <v>14419320.616081851</v>
      </c>
      <c r="AE14" s="94">
        <v>15189376</v>
      </c>
      <c r="AF14" s="168"/>
      <c r="AG14" s="94"/>
      <c r="AH14" s="94"/>
      <c r="AI14" s="94"/>
      <c r="AJ14" s="168"/>
      <c r="AK14" s="94"/>
      <c r="AL14" s="94"/>
      <c r="AM14" s="94"/>
      <c r="AN14" s="168"/>
      <c r="AO14" s="94"/>
      <c r="AP14" s="94"/>
      <c r="AQ14" s="94"/>
      <c r="AR14" s="168"/>
      <c r="AS14" s="94"/>
      <c r="AT14" s="94"/>
      <c r="AU14" s="94"/>
      <c r="AV14" s="168"/>
      <c r="AW14" s="94"/>
      <c r="AX14" s="58"/>
    </row>
    <row r="15" spans="1:50" s="25" customFormat="1" ht="12.4">
      <c r="A15" s="58"/>
      <c r="B15" s="52" t="s">
        <v>303</v>
      </c>
      <c r="C15" s="52" t="s">
        <v>302</v>
      </c>
      <c r="D15" s="52" t="s">
        <v>270</v>
      </c>
      <c r="E15" s="258"/>
      <c r="F15" s="94">
        <v>0</v>
      </c>
      <c r="G15" s="94">
        <v>0</v>
      </c>
      <c r="H15" s="94">
        <v>0</v>
      </c>
      <c r="I15" s="94">
        <v>689010</v>
      </c>
      <c r="J15" s="26"/>
      <c r="K15" s="94">
        <v>689010</v>
      </c>
      <c r="L15" s="94">
        <v>2756039</v>
      </c>
      <c r="M15" s="94">
        <v>5512078</v>
      </c>
      <c r="N15" s="94">
        <v>8334231</v>
      </c>
      <c r="O15" s="94">
        <v>3011025.1506722383</v>
      </c>
      <c r="P15" s="94">
        <v>4453157.0197238941</v>
      </c>
      <c r="Q15" s="94">
        <v>6770234</v>
      </c>
      <c r="R15" s="94">
        <v>7718950.5</v>
      </c>
      <c r="S15" s="131">
        <v>8235808.8795108208</v>
      </c>
      <c r="T15" s="94">
        <v>9472191</v>
      </c>
      <c r="U15" s="94">
        <v>9197024.3072206154</v>
      </c>
      <c r="V15" s="94">
        <v>9197024.3072206154</v>
      </c>
      <c r="W15" s="94">
        <v>9981955</v>
      </c>
      <c r="X15" s="94">
        <v>9981955</v>
      </c>
      <c r="Y15" s="131">
        <v>8011924</v>
      </c>
      <c r="Z15" s="131">
        <v>8011924</v>
      </c>
      <c r="AA15" s="94">
        <v>8668474</v>
      </c>
      <c r="AB15" s="94">
        <v>8668474</v>
      </c>
      <c r="AC15" s="94">
        <v>11203697.656968206</v>
      </c>
      <c r="AD15" s="94">
        <v>11203697.656968206</v>
      </c>
      <c r="AE15" s="94">
        <v>11802662</v>
      </c>
      <c r="AF15" s="168"/>
      <c r="AG15" s="94"/>
      <c r="AH15" s="94"/>
      <c r="AI15" s="94"/>
      <c r="AJ15" s="168"/>
      <c r="AK15" s="94"/>
      <c r="AL15" s="94"/>
      <c r="AM15" s="94"/>
      <c r="AN15" s="168"/>
      <c r="AO15" s="94"/>
      <c r="AP15" s="94"/>
      <c r="AQ15" s="94"/>
      <c r="AR15" s="168"/>
      <c r="AS15" s="94"/>
      <c r="AT15" s="94"/>
      <c r="AU15" s="94"/>
      <c r="AV15" s="168"/>
      <c r="AW15" s="94"/>
      <c r="AX15" s="58"/>
    </row>
    <row r="16" spans="1:50" s="25" customFormat="1" ht="12.75" customHeight="1">
      <c r="A16" s="58"/>
      <c r="B16" s="52" t="s">
        <v>304</v>
      </c>
      <c r="C16" s="52" t="s">
        <v>305</v>
      </c>
      <c r="D16" s="52" t="s">
        <v>274</v>
      </c>
      <c r="E16" s="258"/>
      <c r="F16" s="104">
        <v>1</v>
      </c>
      <c r="G16" s="105"/>
      <c r="H16" s="104">
        <v>1</v>
      </c>
      <c r="I16" s="105"/>
      <c r="J16" s="26"/>
      <c r="K16" s="105"/>
      <c r="L16" s="104">
        <v>0.70070070070070067</v>
      </c>
      <c r="M16" s="105"/>
      <c r="N16" s="104">
        <v>0.95172715887997161</v>
      </c>
      <c r="O16" s="105"/>
      <c r="P16" s="104">
        <v>0.68674495812464831</v>
      </c>
      <c r="Q16" s="105"/>
      <c r="R16" s="104">
        <v>0.67753175433080082</v>
      </c>
      <c r="S16" s="105"/>
      <c r="T16" s="104">
        <v>0.71749498151284707</v>
      </c>
      <c r="U16" s="105"/>
      <c r="V16" s="105"/>
      <c r="W16" s="104">
        <v>0.75</v>
      </c>
      <c r="X16" s="104">
        <v>0.75</v>
      </c>
      <c r="Y16" s="105"/>
      <c r="Z16" s="105"/>
      <c r="AA16" s="104">
        <v>0.56209524923975385</v>
      </c>
      <c r="AB16" s="105"/>
      <c r="AC16" s="105"/>
      <c r="AD16" s="105"/>
      <c r="AE16" s="104">
        <v>-0.16288866173966324</v>
      </c>
      <c r="AF16" s="169"/>
      <c r="AG16" s="105"/>
      <c r="AH16" s="105"/>
      <c r="AI16" s="104"/>
      <c r="AJ16" s="169"/>
      <c r="AK16" s="105"/>
      <c r="AL16" s="105"/>
      <c r="AM16" s="104"/>
      <c r="AN16" s="169"/>
      <c r="AO16" s="105"/>
      <c r="AP16" s="105"/>
      <c r="AQ16" s="104"/>
      <c r="AR16" s="169"/>
      <c r="AS16" s="105"/>
      <c r="AT16" s="105"/>
      <c r="AU16" s="104"/>
      <c r="AV16" s="169"/>
      <c r="AW16" s="105"/>
      <c r="AX16" s="58"/>
    </row>
    <row r="17" spans="1:50" s="25" customFormat="1" ht="12.75" customHeight="1">
      <c r="A17" s="58"/>
      <c r="B17" s="52" t="s">
        <v>306</v>
      </c>
      <c r="C17" s="52" t="s">
        <v>305</v>
      </c>
      <c r="D17" s="52" t="s">
        <v>274</v>
      </c>
      <c r="E17" s="258"/>
      <c r="F17" s="106">
        <f>1-F16</f>
        <v>0</v>
      </c>
      <c r="G17" s="105"/>
      <c r="H17" s="106">
        <f>1-H16</f>
        <v>0</v>
      </c>
      <c r="I17" s="105"/>
      <c r="J17" s="26"/>
      <c r="K17" s="105"/>
      <c r="L17" s="106">
        <v>0.29929929929929933</v>
      </c>
      <c r="M17" s="105" t="str">
        <f t="shared" ref="M17:AW17" si="0">IF(M16="","",1-M16)</f>
        <v/>
      </c>
      <c r="N17" s="106">
        <v>4.8272841120028387E-2</v>
      </c>
      <c r="O17" s="105" t="str">
        <f t="shared" si="0"/>
        <v/>
      </c>
      <c r="P17" s="106">
        <v>0.31325504187535169</v>
      </c>
      <c r="Q17" s="105" t="str">
        <f t="shared" si="0"/>
        <v/>
      </c>
      <c r="R17" s="106">
        <f>IF(R16="","",1-R16)</f>
        <v>0.32246824566919918</v>
      </c>
      <c r="S17" s="105" t="str">
        <f t="shared" si="0"/>
        <v/>
      </c>
      <c r="T17" s="106">
        <f t="shared" si="0"/>
        <v>0.28250501848715293</v>
      </c>
      <c r="U17" s="105" t="str">
        <f t="shared" si="0"/>
        <v/>
      </c>
      <c r="V17" s="105" t="str">
        <f t="shared" si="0"/>
        <v/>
      </c>
      <c r="W17" s="106">
        <f t="shared" si="0"/>
        <v>0.25</v>
      </c>
      <c r="X17" s="106">
        <f t="shared" ref="X17" si="1">IF(X16="","",1-X16)</f>
        <v>0.25</v>
      </c>
      <c r="Y17" s="105" t="s">
        <v>307</v>
      </c>
      <c r="Z17" s="105" t="str">
        <f t="shared" si="0"/>
        <v/>
      </c>
      <c r="AA17" s="106">
        <f t="shared" si="0"/>
        <v>0.43790475076024615</v>
      </c>
      <c r="AB17" s="105" t="str">
        <f>IF(AB16="","",1-AB16)</f>
        <v/>
      </c>
      <c r="AC17" s="105" t="s">
        <v>307</v>
      </c>
      <c r="AD17" s="105" t="s">
        <v>307</v>
      </c>
      <c r="AE17" s="106">
        <f t="shared" si="0"/>
        <v>1.1628886617396632</v>
      </c>
      <c r="AF17" s="106" t="str">
        <f t="shared" si="0"/>
        <v/>
      </c>
      <c r="AG17" s="105" t="str">
        <f t="shared" si="0"/>
        <v/>
      </c>
      <c r="AH17" s="105" t="str">
        <f t="shared" si="0"/>
        <v/>
      </c>
      <c r="AI17" s="106" t="str">
        <f t="shared" si="0"/>
        <v/>
      </c>
      <c r="AJ17" s="106" t="str">
        <f t="shared" si="0"/>
        <v/>
      </c>
      <c r="AK17" s="105" t="str">
        <f t="shared" si="0"/>
        <v/>
      </c>
      <c r="AL17" s="105" t="str">
        <f t="shared" si="0"/>
        <v/>
      </c>
      <c r="AM17" s="106" t="str">
        <f t="shared" si="0"/>
        <v/>
      </c>
      <c r="AN17" s="106" t="str">
        <f t="shared" si="0"/>
        <v/>
      </c>
      <c r="AO17" s="105" t="str">
        <f t="shared" si="0"/>
        <v/>
      </c>
      <c r="AP17" s="105" t="str">
        <f t="shared" si="0"/>
        <v/>
      </c>
      <c r="AQ17" s="106" t="str">
        <f t="shared" si="0"/>
        <v/>
      </c>
      <c r="AR17" s="106" t="str">
        <f t="shared" si="0"/>
        <v/>
      </c>
      <c r="AS17" s="105" t="str">
        <f t="shared" si="0"/>
        <v/>
      </c>
      <c r="AT17" s="105" t="str">
        <f t="shared" si="0"/>
        <v/>
      </c>
      <c r="AU17" s="106" t="str">
        <f t="shared" si="0"/>
        <v/>
      </c>
      <c r="AV17" s="106" t="str">
        <f t="shared" si="0"/>
        <v/>
      </c>
      <c r="AW17" s="105" t="str">
        <f t="shared" si="0"/>
        <v/>
      </c>
      <c r="AX17" s="58"/>
    </row>
    <row r="18" spans="1:50" s="25" customFormat="1" ht="12.4">
      <c r="A18" s="58"/>
      <c r="B18" s="52" t="s">
        <v>308</v>
      </c>
      <c r="C18" s="52" t="s">
        <v>309</v>
      </c>
      <c r="D18" s="52" t="s">
        <v>274</v>
      </c>
      <c r="E18" s="258"/>
      <c r="F18" s="105"/>
      <c r="G18" s="104">
        <v>1</v>
      </c>
      <c r="H18" s="105"/>
      <c r="I18" s="104">
        <f>11227566/(11227566+16500)</f>
        <v>0.99853255930728257</v>
      </c>
      <c r="J18" s="26"/>
      <c r="K18" s="104">
        <v>0.99853255930728257</v>
      </c>
      <c r="L18" s="105"/>
      <c r="M18" s="104">
        <v>0.70070070070070067</v>
      </c>
      <c r="N18" s="105"/>
      <c r="O18" s="104">
        <v>0.95172715887997161</v>
      </c>
      <c r="P18" s="105"/>
      <c r="Q18" s="104">
        <v>0.68674495812464831</v>
      </c>
      <c r="R18" s="105"/>
      <c r="S18" s="132">
        <v>0.67753175433080082</v>
      </c>
      <c r="T18" s="105"/>
      <c r="U18" s="132">
        <v>0.71749498151284707</v>
      </c>
      <c r="V18" s="132">
        <v>0.71749498151284707</v>
      </c>
      <c r="W18" s="105"/>
      <c r="X18" s="105"/>
      <c r="Y18" s="132">
        <v>0.75</v>
      </c>
      <c r="Z18" s="132">
        <v>0.75</v>
      </c>
      <c r="AA18" s="105"/>
      <c r="AB18" s="132">
        <v>0.56209524923975385</v>
      </c>
      <c r="AC18" s="132">
        <v>0.56209524923975385</v>
      </c>
      <c r="AD18" s="132">
        <v>0.56209524923975385</v>
      </c>
      <c r="AE18" s="105"/>
      <c r="AF18" s="105"/>
      <c r="AG18" s="132"/>
      <c r="AH18" s="132"/>
      <c r="AI18" s="105"/>
      <c r="AJ18" s="105"/>
      <c r="AK18" s="132"/>
      <c r="AL18" s="132"/>
      <c r="AM18" s="105"/>
      <c r="AN18" s="105"/>
      <c r="AO18" s="132"/>
      <c r="AP18" s="132"/>
      <c r="AQ18" s="105"/>
      <c r="AR18" s="105"/>
      <c r="AS18" s="132"/>
      <c r="AT18" s="132"/>
      <c r="AU18" s="105"/>
      <c r="AV18" s="105"/>
      <c r="AW18" s="132"/>
      <c r="AX18" s="58"/>
    </row>
    <row r="19" spans="1:50" s="25" customFormat="1" ht="12.4">
      <c r="A19" s="58"/>
      <c r="B19" s="52" t="s">
        <v>310</v>
      </c>
      <c r="C19" s="52" t="s">
        <v>309</v>
      </c>
      <c r="D19" s="52" t="s">
        <v>274</v>
      </c>
      <c r="E19" s="258"/>
      <c r="F19" s="105"/>
      <c r="G19" s="106">
        <f>1-G18</f>
        <v>0</v>
      </c>
      <c r="H19" s="105"/>
      <c r="I19" s="106">
        <f>1-I18</f>
        <v>1.4674406927174255E-3</v>
      </c>
      <c r="J19" s="26"/>
      <c r="K19" s="106">
        <f>IF(K18="","",1-K18)</f>
        <v>1.4674406927174255E-3</v>
      </c>
      <c r="L19" s="105" t="str">
        <f t="shared" ref="L19:AW19" si="2">IF(L18="","",1-L18)</f>
        <v/>
      </c>
      <c r="M19" s="106">
        <v>0.29929929929929933</v>
      </c>
      <c r="N19" s="105" t="str">
        <f t="shared" si="2"/>
        <v/>
      </c>
      <c r="O19" s="106">
        <v>4.8272841120028387E-2</v>
      </c>
      <c r="P19" s="105" t="str">
        <f t="shared" si="2"/>
        <v/>
      </c>
      <c r="Q19" s="106">
        <v>0.31325504187535169</v>
      </c>
      <c r="R19" s="105" t="str">
        <f t="shared" si="2"/>
        <v/>
      </c>
      <c r="S19" s="132">
        <f t="shared" si="2"/>
        <v>0.32246824566919918</v>
      </c>
      <c r="T19" s="105" t="str">
        <f t="shared" si="2"/>
        <v/>
      </c>
      <c r="U19" s="132">
        <f t="shared" si="2"/>
        <v>0.28250501848715293</v>
      </c>
      <c r="V19" s="132">
        <f t="shared" si="2"/>
        <v>0.28250501848715293</v>
      </c>
      <c r="W19" s="105" t="str">
        <f t="shared" si="2"/>
        <v/>
      </c>
      <c r="X19" s="105" t="str">
        <f t="shared" ref="X19" si="3">IF(X18="","",1-X18)</f>
        <v/>
      </c>
      <c r="Y19" s="132">
        <v>0.25</v>
      </c>
      <c r="Z19" s="132">
        <v>0.25</v>
      </c>
      <c r="AA19" s="105" t="str">
        <f t="shared" si="2"/>
        <v/>
      </c>
      <c r="AB19" s="132">
        <v>0.43790475076024615</v>
      </c>
      <c r="AC19" s="132">
        <v>0.43790475076024615</v>
      </c>
      <c r="AD19" s="132">
        <v>0.43790475076024615</v>
      </c>
      <c r="AE19" s="105" t="str">
        <f t="shared" si="2"/>
        <v/>
      </c>
      <c r="AF19" s="105" t="str">
        <f t="shared" si="2"/>
        <v/>
      </c>
      <c r="AG19" s="132" t="str">
        <f t="shared" si="2"/>
        <v/>
      </c>
      <c r="AH19" s="132" t="str">
        <f t="shared" si="2"/>
        <v/>
      </c>
      <c r="AI19" s="105" t="str">
        <f t="shared" si="2"/>
        <v/>
      </c>
      <c r="AJ19" s="105" t="str">
        <f t="shared" si="2"/>
        <v/>
      </c>
      <c r="AK19" s="132" t="str">
        <f t="shared" si="2"/>
        <v/>
      </c>
      <c r="AL19" s="132" t="str">
        <f t="shared" si="2"/>
        <v/>
      </c>
      <c r="AM19" s="105" t="str">
        <f t="shared" si="2"/>
        <v/>
      </c>
      <c r="AN19" s="105" t="str">
        <f t="shared" si="2"/>
        <v/>
      </c>
      <c r="AO19" s="132" t="str">
        <f t="shared" si="2"/>
        <v/>
      </c>
      <c r="AP19" s="132" t="str">
        <f t="shared" si="2"/>
        <v/>
      </c>
      <c r="AQ19" s="105" t="str">
        <f t="shared" si="2"/>
        <v/>
      </c>
      <c r="AR19" s="105" t="str">
        <f t="shared" si="2"/>
        <v/>
      </c>
      <c r="AS19" s="132" t="str">
        <f t="shared" si="2"/>
        <v/>
      </c>
      <c r="AT19" s="132" t="str">
        <f t="shared" si="2"/>
        <v/>
      </c>
      <c r="AU19" s="105" t="str">
        <f t="shared" si="2"/>
        <v/>
      </c>
      <c r="AV19" s="105" t="str">
        <f t="shared" si="2"/>
        <v/>
      </c>
      <c r="AW19" s="132" t="str">
        <f t="shared" si="2"/>
        <v/>
      </c>
      <c r="AX19" s="58"/>
    </row>
    <row r="20" spans="1:50" s="25" customFormat="1" ht="12.4">
      <c r="A20" s="58"/>
      <c r="B20" s="52" t="s">
        <v>311</v>
      </c>
      <c r="C20" s="52" t="s">
        <v>305</v>
      </c>
      <c r="D20" s="52" t="s">
        <v>265</v>
      </c>
      <c r="E20" s="258"/>
      <c r="F20" s="107">
        <v>0.47299999999999998</v>
      </c>
      <c r="G20" s="105"/>
      <c r="H20" s="107">
        <v>0.65100000000000002</v>
      </c>
      <c r="I20" s="105"/>
      <c r="J20" s="26"/>
      <c r="K20" s="105"/>
      <c r="L20" s="107">
        <v>0.79600000000000004</v>
      </c>
      <c r="M20" s="105"/>
      <c r="N20" s="107">
        <v>0.97699999999999998</v>
      </c>
      <c r="O20" s="105"/>
      <c r="P20" s="107">
        <v>0.91500000000000004</v>
      </c>
      <c r="Q20" s="105"/>
      <c r="R20" s="107">
        <v>0.91500000000000004</v>
      </c>
      <c r="S20" s="105"/>
      <c r="T20" s="107">
        <v>0.92</v>
      </c>
      <c r="U20" s="105"/>
      <c r="V20" s="105"/>
      <c r="W20" s="107">
        <v>0.93700000000000006</v>
      </c>
      <c r="X20" s="107">
        <v>0.93700000000000006</v>
      </c>
      <c r="Y20" s="105"/>
      <c r="Z20" s="105"/>
      <c r="AA20" s="107">
        <v>0.91500000000000004</v>
      </c>
      <c r="AB20" s="105"/>
      <c r="AC20" s="105"/>
      <c r="AD20" s="105"/>
      <c r="AE20" s="107">
        <v>0.95599999999999996</v>
      </c>
      <c r="AF20" s="107"/>
      <c r="AG20" s="105"/>
      <c r="AH20" s="105"/>
      <c r="AI20" s="107"/>
      <c r="AJ20" s="107"/>
      <c r="AK20" s="105"/>
      <c r="AL20" s="105"/>
      <c r="AM20" s="107"/>
      <c r="AN20" s="107"/>
      <c r="AO20" s="105"/>
      <c r="AP20" s="105"/>
      <c r="AQ20" s="107"/>
      <c r="AR20" s="107"/>
      <c r="AS20" s="105"/>
      <c r="AT20" s="105"/>
      <c r="AU20" s="107"/>
      <c r="AV20" s="107"/>
      <c r="AW20" s="105"/>
      <c r="AX20" s="58"/>
    </row>
    <row r="21" spans="1:50" s="25" customFormat="1" ht="12.4">
      <c r="A21" s="58"/>
      <c r="B21" s="52" t="s">
        <v>312</v>
      </c>
      <c r="C21" s="52" t="s">
        <v>305</v>
      </c>
      <c r="D21" s="52" t="s">
        <v>265</v>
      </c>
      <c r="E21" s="258"/>
      <c r="F21" s="107">
        <v>0.35799999999999998</v>
      </c>
      <c r="G21" s="105"/>
      <c r="H21" s="107">
        <v>0.49199999999999999</v>
      </c>
      <c r="I21" s="105"/>
      <c r="J21" s="26"/>
      <c r="K21" s="105"/>
      <c r="L21" s="107">
        <v>0.60099999999999998</v>
      </c>
      <c r="M21" s="105"/>
      <c r="N21" s="107">
        <v>0.73699999999999999</v>
      </c>
      <c r="O21" s="105"/>
      <c r="P21" s="107">
        <v>0.69099999999999995</v>
      </c>
      <c r="Q21" s="105"/>
      <c r="R21" s="107">
        <v>0.69099999999999995</v>
      </c>
      <c r="S21" s="105"/>
      <c r="T21" s="107">
        <v>0.69399999999999995</v>
      </c>
      <c r="U21" s="105"/>
      <c r="V21" s="105"/>
      <c r="W21" s="107">
        <v>0.70699999999999996</v>
      </c>
      <c r="X21" s="107">
        <v>0.70699999999999996</v>
      </c>
      <c r="Y21" s="105"/>
      <c r="Z21" s="105"/>
      <c r="AA21" s="107">
        <v>0.69</v>
      </c>
      <c r="AB21" s="105"/>
      <c r="AC21" s="105"/>
      <c r="AD21" s="105"/>
      <c r="AE21" s="107">
        <v>0.72199999999999998</v>
      </c>
      <c r="AF21" s="107"/>
      <c r="AG21" s="105"/>
      <c r="AH21" s="105"/>
      <c r="AI21" s="107"/>
      <c r="AJ21" s="107"/>
      <c r="AK21" s="105"/>
      <c r="AL21" s="105"/>
      <c r="AM21" s="107"/>
      <c r="AN21" s="107"/>
      <c r="AO21" s="105"/>
      <c r="AP21" s="105"/>
      <c r="AQ21" s="107"/>
      <c r="AR21" s="107"/>
      <c r="AS21" s="105"/>
      <c r="AT21" s="105"/>
      <c r="AU21" s="107"/>
      <c r="AV21" s="107"/>
      <c r="AW21" s="105"/>
      <c r="AX21" s="58"/>
    </row>
    <row r="22" spans="1:50" s="25" customFormat="1" ht="12.4">
      <c r="A22" s="58"/>
      <c r="B22" s="52" t="s">
        <v>313</v>
      </c>
      <c r="C22" s="52" t="s">
        <v>305</v>
      </c>
      <c r="D22" s="52" t="s">
        <v>265</v>
      </c>
      <c r="E22" s="258"/>
      <c r="F22" s="107">
        <v>0.01</v>
      </c>
      <c r="G22" s="105"/>
      <c r="H22" s="107">
        <v>3.5000000000000003E-2</v>
      </c>
      <c r="I22" s="105"/>
      <c r="J22" s="26"/>
      <c r="K22" s="105"/>
      <c r="L22" s="107">
        <v>9.7000000000000003E-2</v>
      </c>
      <c r="M22" s="105"/>
      <c r="N22" s="107">
        <v>0.04</v>
      </c>
      <c r="O22" s="105"/>
      <c r="P22" s="107">
        <v>4.2999999999999997E-2</v>
      </c>
      <c r="Q22" s="105"/>
      <c r="R22" s="107">
        <v>2.4E-2</v>
      </c>
      <c r="S22" s="105"/>
      <c r="T22" s="107">
        <v>0.04</v>
      </c>
      <c r="U22" s="105"/>
      <c r="V22" s="105"/>
      <c r="W22" s="107">
        <v>0.04</v>
      </c>
      <c r="X22" s="107">
        <v>0.04</v>
      </c>
      <c r="Y22" s="105"/>
      <c r="Z22" s="105"/>
      <c r="AA22" s="107">
        <v>3.1E-2</v>
      </c>
      <c r="AB22" s="105"/>
      <c r="AC22" s="105"/>
      <c r="AD22" s="105"/>
      <c r="AE22" s="107">
        <v>3.3000000000000002E-2</v>
      </c>
      <c r="AF22" s="107"/>
      <c r="AG22" s="105"/>
      <c r="AH22" s="105"/>
      <c r="AI22" s="107"/>
      <c r="AJ22" s="107"/>
      <c r="AK22" s="105"/>
      <c r="AL22" s="105"/>
      <c r="AM22" s="107"/>
      <c r="AN22" s="107"/>
      <c r="AO22" s="105"/>
      <c r="AP22" s="105"/>
      <c r="AQ22" s="107"/>
      <c r="AR22" s="107"/>
      <c r="AS22" s="105"/>
      <c r="AT22" s="105"/>
      <c r="AU22" s="107"/>
      <c r="AV22" s="107"/>
      <c r="AW22" s="105"/>
      <c r="AX22" s="58"/>
    </row>
    <row r="23" spans="1:50" s="25" customFormat="1" ht="12.4">
      <c r="A23" s="58"/>
      <c r="B23" s="52" t="s">
        <v>314</v>
      </c>
      <c r="C23" s="52" t="s">
        <v>305</v>
      </c>
      <c r="D23" s="52" t="s">
        <v>265</v>
      </c>
      <c r="E23" s="258"/>
      <c r="F23" s="107">
        <v>0.01</v>
      </c>
      <c r="G23" s="105"/>
      <c r="H23" s="107">
        <v>3.5000000000000003E-2</v>
      </c>
      <c r="I23" s="105"/>
      <c r="J23" s="26"/>
      <c r="K23" s="105"/>
      <c r="L23" s="107">
        <v>9.7000000000000003E-2</v>
      </c>
      <c r="M23" s="105"/>
      <c r="N23" s="107">
        <v>0.04</v>
      </c>
      <c r="O23" s="105"/>
      <c r="P23" s="107">
        <v>4.2999999999999997E-2</v>
      </c>
      <c r="Q23" s="105"/>
      <c r="R23" s="107">
        <v>2.4E-2</v>
      </c>
      <c r="S23" s="105"/>
      <c r="T23" s="107">
        <v>0.04</v>
      </c>
      <c r="U23" s="105"/>
      <c r="V23" s="105"/>
      <c r="W23" s="107">
        <v>0.04</v>
      </c>
      <c r="X23" s="107">
        <v>0.04</v>
      </c>
      <c r="Y23" s="105"/>
      <c r="Z23" s="105"/>
      <c r="AA23" s="107">
        <v>3.1E-2</v>
      </c>
      <c r="AB23" s="105"/>
      <c r="AC23" s="105"/>
      <c r="AD23" s="105"/>
      <c r="AE23" s="107">
        <v>3.3000000000000002E-2</v>
      </c>
      <c r="AF23" s="107"/>
      <c r="AG23" s="105"/>
      <c r="AH23" s="105"/>
      <c r="AI23" s="107"/>
      <c r="AJ23" s="107"/>
      <c r="AK23" s="105"/>
      <c r="AL23" s="105"/>
      <c r="AM23" s="107"/>
      <c r="AN23" s="107"/>
      <c r="AO23" s="105"/>
      <c r="AP23" s="105"/>
      <c r="AQ23" s="107"/>
      <c r="AR23" s="107"/>
      <c r="AS23" s="105"/>
      <c r="AT23" s="105"/>
      <c r="AU23" s="107"/>
      <c r="AV23" s="107"/>
      <c r="AW23" s="105"/>
      <c r="AX23" s="58"/>
    </row>
    <row r="24" spans="1:50" s="25" customFormat="1" ht="12.4">
      <c r="A24" s="58"/>
      <c r="B24" s="52" t="s">
        <v>315</v>
      </c>
      <c r="C24" s="52" t="s">
        <v>305</v>
      </c>
      <c r="D24" s="52" t="s">
        <v>265</v>
      </c>
      <c r="E24" s="258"/>
      <c r="F24" s="107">
        <v>0.38100000000000001</v>
      </c>
      <c r="G24" s="105"/>
      <c r="H24" s="107">
        <v>0.34200000000000003</v>
      </c>
      <c r="I24" s="105"/>
      <c r="J24" s="26"/>
      <c r="K24" s="105"/>
      <c r="L24" s="107">
        <v>0.32500000000000001</v>
      </c>
      <c r="M24" s="105"/>
      <c r="N24" s="107">
        <v>0.34599999999999997</v>
      </c>
      <c r="O24" s="105"/>
      <c r="P24" s="107">
        <v>0.32600000000000001</v>
      </c>
      <c r="Q24" s="105"/>
      <c r="R24" s="107">
        <v>0.35899999999999999</v>
      </c>
      <c r="S24" s="105"/>
      <c r="T24" s="107">
        <v>0.39400000000000002</v>
      </c>
      <c r="U24" s="105"/>
      <c r="V24" s="105"/>
      <c r="W24" s="107">
        <v>0.434</v>
      </c>
      <c r="X24" s="107">
        <v>0.434</v>
      </c>
      <c r="Y24" s="105"/>
      <c r="Z24" s="105"/>
      <c r="AA24" s="107">
        <v>0.80600000000000005</v>
      </c>
      <c r="AB24" s="105"/>
      <c r="AC24" s="105"/>
      <c r="AD24" s="105"/>
      <c r="AE24" s="107">
        <v>0.57799999999999996</v>
      </c>
      <c r="AF24" s="107"/>
      <c r="AG24" s="105"/>
      <c r="AH24" s="105"/>
      <c r="AI24" s="107"/>
      <c r="AJ24" s="107"/>
      <c r="AK24" s="105"/>
      <c r="AL24" s="105"/>
      <c r="AM24" s="107"/>
      <c r="AN24" s="107"/>
      <c r="AO24" s="105"/>
      <c r="AP24" s="105"/>
      <c r="AQ24" s="107"/>
      <c r="AR24" s="107"/>
      <c r="AS24" s="105"/>
      <c r="AT24" s="105"/>
      <c r="AU24" s="107"/>
      <c r="AV24" s="107"/>
      <c r="AW24" s="105"/>
      <c r="AX24" s="58"/>
    </row>
    <row r="25" spans="1:50" s="25" customFormat="1" ht="12.4">
      <c r="A25" s="58"/>
      <c r="B25" s="52" t="s">
        <v>316</v>
      </c>
      <c r="C25" s="52" t="s">
        <v>305</v>
      </c>
      <c r="D25" s="52" t="s">
        <v>265</v>
      </c>
      <c r="E25" s="258"/>
      <c r="F25" s="107">
        <v>0.28799999999999998</v>
      </c>
      <c r="G25" s="105"/>
      <c r="H25" s="107">
        <v>0.25900000000000001</v>
      </c>
      <c r="I25" s="105"/>
      <c r="J25" s="26"/>
      <c r="K25" s="105"/>
      <c r="L25" s="107">
        <v>0.245</v>
      </c>
      <c r="M25" s="105"/>
      <c r="N25" s="107">
        <v>0.26100000000000001</v>
      </c>
      <c r="O25" s="105"/>
      <c r="P25" s="107">
        <v>0.24399999999999999</v>
      </c>
      <c r="Q25" s="105"/>
      <c r="R25" s="107">
        <v>0.26900000000000002</v>
      </c>
      <c r="S25" s="105"/>
      <c r="T25" s="107">
        <v>0.29499999999999998</v>
      </c>
      <c r="U25" s="105"/>
      <c r="V25" s="105"/>
      <c r="W25" s="107">
        <v>0.32500000000000001</v>
      </c>
      <c r="X25" s="107">
        <v>0.32500000000000001</v>
      </c>
      <c r="Y25" s="105"/>
      <c r="Z25" s="105"/>
      <c r="AA25" s="107">
        <v>0.60499999999999998</v>
      </c>
      <c r="AB25" s="105"/>
      <c r="AC25" s="105"/>
      <c r="AD25" s="105"/>
      <c r="AE25" s="107">
        <v>0.433</v>
      </c>
      <c r="AF25" s="107"/>
      <c r="AG25" s="105"/>
      <c r="AH25" s="105"/>
      <c r="AI25" s="107"/>
      <c r="AJ25" s="107"/>
      <c r="AK25" s="105"/>
      <c r="AL25" s="105"/>
      <c r="AM25" s="107"/>
      <c r="AN25" s="107"/>
      <c r="AO25" s="105"/>
      <c r="AP25" s="105"/>
      <c r="AQ25" s="107"/>
      <c r="AR25" s="107"/>
      <c r="AS25" s="105"/>
      <c r="AT25" s="105"/>
      <c r="AU25" s="107"/>
      <c r="AV25" s="107"/>
      <c r="AW25" s="105"/>
      <c r="AX25" s="58"/>
    </row>
    <row r="26" spans="1:50" s="25" customFormat="1" ht="12.4">
      <c r="A26" s="58"/>
      <c r="B26" s="52" t="s">
        <v>317</v>
      </c>
      <c r="C26" s="52" t="s">
        <v>305</v>
      </c>
      <c r="D26" s="52" t="s">
        <v>265</v>
      </c>
      <c r="E26" s="258"/>
      <c r="F26" s="107" t="e">
        <f>NA()</f>
        <v>#N/A</v>
      </c>
      <c r="G26" s="105"/>
      <c r="H26" s="107" t="e">
        <f>NA()</f>
        <v>#N/A</v>
      </c>
      <c r="I26" s="105"/>
      <c r="J26" s="26"/>
      <c r="K26" s="105"/>
      <c r="L26" s="107">
        <v>0.53200000000000003</v>
      </c>
      <c r="M26" s="105"/>
      <c r="N26" s="107">
        <v>0.54700000000000004</v>
      </c>
      <c r="O26" s="105"/>
      <c r="P26" s="107">
        <v>0.58899999999999997</v>
      </c>
      <c r="Q26" s="105"/>
      <c r="R26" s="107">
        <v>0.59399999999999997</v>
      </c>
      <c r="S26" s="105"/>
      <c r="T26" s="107">
        <v>1.012</v>
      </c>
      <c r="U26" s="105"/>
      <c r="V26" s="105"/>
      <c r="W26" s="107">
        <v>0.97099999999999997</v>
      </c>
      <c r="X26" s="107">
        <v>0.97099999999999997</v>
      </c>
      <c r="Y26" s="105"/>
      <c r="Z26" s="105"/>
      <c r="AA26" s="107">
        <v>0.80600000000000005</v>
      </c>
      <c r="AB26" s="105"/>
      <c r="AC26" s="105"/>
      <c r="AD26" s="105"/>
      <c r="AE26" s="107">
        <v>0.57799999999999996</v>
      </c>
      <c r="AF26" s="107"/>
      <c r="AG26" s="105"/>
      <c r="AH26" s="105"/>
      <c r="AI26" s="107"/>
      <c r="AJ26" s="107"/>
      <c r="AK26" s="105"/>
      <c r="AL26" s="105"/>
      <c r="AM26" s="107"/>
      <c r="AN26" s="107"/>
      <c r="AO26" s="105"/>
      <c r="AP26" s="105"/>
      <c r="AQ26" s="107"/>
      <c r="AR26" s="107"/>
      <c r="AS26" s="105"/>
      <c r="AT26" s="105"/>
      <c r="AU26" s="107"/>
      <c r="AV26" s="107"/>
      <c r="AW26" s="105"/>
      <c r="AX26" s="58"/>
    </row>
    <row r="27" spans="1:50" s="25" customFormat="1" ht="12.4">
      <c r="A27" s="58"/>
      <c r="B27" s="52" t="s">
        <v>318</v>
      </c>
      <c r="C27" s="52" t="s">
        <v>305</v>
      </c>
      <c r="D27" s="52" t="s">
        <v>265</v>
      </c>
      <c r="E27" s="258"/>
      <c r="F27" s="107" t="e">
        <f>NA()</f>
        <v>#N/A</v>
      </c>
      <c r="G27" s="105"/>
      <c r="H27" s="107" t="e">
        <f>NA()</f>
        <v>#N/A</v>
      </c>
      <c r="I27" s="105"/>
      <c r="J27" s="26"/>
      <c r="K27" s="105"/>
      <c r="L27" s="107">
        <v>0.40200000000000002</v>
      </c>
      <c r="M27" s="105"/>
      <c r="N27" s="107">
        <v>0.41299999999999998</v>
      </c>
      <c r="O27" s="105"/>
      <c r="P27" s="107">
        <v>0.442</v>
      </c>
      <c r="Q27" s="105"/>
      <c r="R27" s="107">
        <v>0.44500000000000001</v>
      </c>
      <c r="S27" s="105"/>
      <c r="T27" s="107">
        <v>0.75900000000000001</v>
      </c>
      <c r="U27" s="105"/>
      <c r="V27" s="105"/>
      <c r="W27" s="107">
        <v>0.72799999999999998</v>
      </c>
      <c r="X27" s="107">
        <v>0.72799999999999998</v>
      </c>
      <c r="Y27" s="105"/>
      <c r="Z27" s="105"/>
      <c r="AA27" s="107">
        <v>0.60499999999999998</v>
      </c>
      <c r="AB27" s="105"/>
      <c r="AC27" s="105"/>
      <c r="AD27" s="105"/>
      <c r="AE27" s="107">
        <v>0.433</v>
      </c>
      <c r="AF27" s="107"/>
      <c r="AG27" s="105"/>
      <c r="AH27" s="105"/>
      <c r="AI27" s="107"/>
      <c r="AJ27" s="107"/>
      <c r="AK27" s="105"/>
      <c r="AL27" s="105"/>
      <c r="AM27" s="107"/>
      <c r="AN27" s="107"/>
      <c r="AO27" s="105"/>
      <c r="AP27" s="105"/>
      <c r="AQ27" s="107"/>
      <c r="AR27" s="107"/>
      <c r="AS27" s="105"/>
      <c r="AT27" s="105"/>
      <c r="AU27" s="107"/>
      <c r="AV27" s="107"/>
      <c r="AW27" s="105"/>
      <c r="AX27" s="58"/>
    </row>
    <row r="28" spans="1:50" s="25" customFormat="1" ht="12.4">
      <c r="A28" s="58"/>
      <c r="B28" s="52" t="s">
        <v>319</v>
      </c>
      <c r="C28" s="52" t="s">
        <v>305</v>
      </c>
      <c r="D28" s="52" t="s">
        <v>265</v>
      </c>
      <c r="E28" s="258"/>
      <c r="F28" s="94">
        <v>5700000</v>
      </c>
      <c r="G28" s="108"/>
      <c r="H28" s="94">
        <v>9500000</v>
      </c>
      <c r="I28" s="108"/>
      <c r="J28" s="26"/>
      <c r="K28" s="108"/>
      <c r="L28" s="94">
        <v>4800000</v>
      </c>
      <c r="M28" s="108"/>
      <c r="N28" s="94">
        <v>3500000</v>
      </c>
      <c r="O28" s="108"/>
      <c r="P28" s="94">
        <v>4600000</v>
      </c>
      <c r="Q28" s="108"/>
      <c r="R28" s="94">
        <v>3700000</v>
      </c>
      <c r="S28" s="108"/>
      <c r="T28" s="94">
        <v>6700000</v>
      </c>
      <c r="U28" s="108"/>
      <c r="V28" s="108"/>
      <c r="W28" s="94">
        <v>5100000</v>
      </c>
      <c r="X28" s="94">
        <v>5100000</v>
      </c>
      <c r="Y28" s="108"/>
      <c r="Z28" s="108"/>
      <c r="AA28" s="94">
        <v>4600000</v>
      </c>
      <c r="AB28" s="108"/>
      <c r="AC28" s="108"/>
      <c r="AD28" s="108"/>
      <c r="AE28" s="94">
        <v>5800000</v>
      </c>
      <c r="AF28" s="94"/>
      <c r="AG28" s="108"/>
      <c r="AH28" s="108"/>
      <c r="AI28" s="94"/>
      <c r="AJ28" s="94"/>
      <c r="AK28" s="108"/>
      <c r="AL28" s="108"/>
      <c r="AM28" s="94"/>
      <c r="AN28" s="94"/>
      <c r="AO28" s="108"/>
      <c r="AP28" s="108"/>
      <c r="AQ28" s="94"/>
      <c r="AR28" s="94"/>
      <c r="AS28" s="108"/>
      <c r="AT28" s="108"/>
      <c r="AU28" s="94"/>
      <c r="AV28" s="94"/>
      <c r="AW28" s="108"/>
      <c r="AX28" s="58"/>
    </row>
    <row r="29" spans="1:50" s="25" customFormat="1" ht="12.4">
      <c r="A29" s="58"/>
      <c r="B29" s="52" t="s">
        <v>320</v>
      </c>
      <c r="C29" s="52" t="s">
        <v>309</v>
      </c>
      <c r="D29" s="52" t="s">
        <v>265</v>
      </c>
      <c r="E29" s="258"/>
      <c r="F29" s="105"/>
      <c r="G29" s="107">
        <v>0.46300000000000002</v>
      </c>
      <c r="H29" s="105"/>
      <c r="I29" s="107">
        <v>0.65300000000000002</v>
      </c>
      <c r="J29" s="26"/>
      <c r="K29" s="107">
        <v>0.65300000000000002</v>
      </c>
      <c r="L29" s="105"/>
      <c r="M29" s="107">
        <v>0.78800000000000003</v>
      </c>
      <c r="N29" s="105"/>
      <c r="O29" s="107">
        <v>0.97699999999999998</v>
      </c>
      <c r="P29" s="105"/>
      <c r="Q29" s="107">
        <v>0.91300000000000003</v>
      </c>
      <c r="R29" s="105"/>
      <c r="S29" s="133">
        <v>0.91900000000000004</v>
      </c>
      <c r="T29" s="105"/>
      <c r="U29" s="133">
        <v>0.92800000000000005</v>
      </c>
      <c r="V29" s="133">
        <v>0.92800000000000005</v>
      </c>
      <c r="W29" s="105"/>
      <c r="X29" s="105"/>
      <c r="Y29" s="133">
        <v>0.93700000000000006</v>
      </c>
      <c r="Z29" s="133">
        <v>0.93700000000000006</v>
      </c>
      <c r="AA29" s="105"/>
      <c r="AB29" s="133">
        <v>0.93600000000000005</v>
      </c>
      <c r="AC29" s="133">
        <v>0.93600000000000005</v>
      </c>
      <c r="AD29" s="133">
        <v>0.93600000000000005</v>
      </c>
      <c r="AE29" s="105"/>
      <c r="AF29" s="105"/>
      <c r="AG29" s="133"/>
      <c r="AH29" s="133"/>
      <c r="AI29" s="105"/>
      <c r="AJ29" s="105"/>
      <c r="AK29" s="133"/>
      <c r="AL29" s="133"/>
      <c r="AM29" s="105"/>
      <c r="AN29" s="105"/>
      <c r="AO29" s="133"/>
      <c r="AP29" s="133"/>
      <c r="AQ29" s="105"/>
      <c r="AR29" s="105"/>
      <c r="AS29" s="133"/>
      <c r="AT29" s="133"/>
      <c r="AU29" s="105"/>
      <c r="AV29" s="105"/>
      <c r="AW29" s="133"/>
      <c r="AX29" s="58"/>
    </row>
    <row r="30" spans="1:50" s="25" customFormat="1" ht="12.4">
      <c r="A30" s="58"/>
      <c r="B30" s="52" t="s">
        <v>321</v>
      </c>
      <c r="C30" s="52" t="s">
        <v>309</v>
      </c>
      <c r="D30" s="52" t="s">
        <v>265</v>
      </c>
      <c r="E30" s="258"/>
      <c r="F30" s="105"/>
      <c r="G30" s="107">
        <v>0.35</v>
      </c>
      <c r="H30" s="105"/>
      <c r="I30" s="107">
        <v>0.49399999999999999</v>
      </c>
      <c r="J30" s="26"/>
      <c r="K30" s="107">
        <v>0.49399999999999999</v>
      </c>
      <c r="L30" s="105"/>
      <c r="M30" s="107">
        <v>0.59499999999999997</v>
      </c>
      <c r="N30" s="105"/>
      <c r="O30" s="107">
        <v>0.73799999999999999</v>
      </c>
      <c r="P30" s="105"/>
      <c r="Q30" s="107">
        <v>0.68899999999999995</v>
      </c>
      <c r="R30" s="105"/>
      <c r="S30" s="133">
        <v>0.69399999999999995</v>
      </c>
      <c r="T30" s="105"/>
      <c r="U30" s="133">
        <v>0.7</v>
      </c>
      <c r="V30" s="133">
        <v>0.7</v>
      </c>
      <c r="W30" s="105"/>
      <c r="X30" s="105"/>
      <c r="Y30" s="133">
        <v>0.70699999999999996</v>
      </c>
      <c r="Z30" s="133">
        <v>0.70699999999999996</v>
      </c>
      <c r="AA30" s="105"/>
      <c r="AB30" s="133">
        <v>0.70599999999999996</v>
      </c>
      <c r="AC30" s="133">
        <v>0.70599999999999996</v>
      </c>
      <c r="AD30" s="133">
        <v>0.70599999999999996</v>
      </c>
      <c r="AE30" s="105"/>
      <c r="AF30" s="105"/>
      <c r="AG30" s="133"/>
      <c r="AH30" s="133"/>
      <c r="AI30" s="105"/>
      <c r="AJ30" s="105"/>
      <c r="AK30" s="133"/>
      <c r="AL30" s="133"/>
      <c r="AM30" s="105"/>
      <c r="AN30" s="105"/>
      <c r="AO30" s="133"/>
      <c r="AP30" s="133"/>
      <c r="AQ30" s="105"/>
      <c r="AR30" s="105"/>
      <c r="AS30" s="133"/>
      <c r="AT30" s="133"/>
      <c r="AU30" s="105"/>
      <c r="AV30" s="105"/>
      <c r="AW30" s="133"/>
      <c r="AX30" s="58"/>
    </row>
    <row r="31" spans="1:50" s="25" customFormat="1" ht="12.4">
      <c r="A31" s="58"/>
      <c r="B31" s="52" t="s">
        <v>322</v>
      </c>
      <c r="C31" s="52" t="s">
        <v>309</v>
      </c>
      <c r="D31" s="52" t="s">
        <v>265</v>
      </c>
      <c r="E31" s="258"/>
      <c r="F31" s="105"/>
      <c r="G31" s="107">
        <v>0.01</v>
      </c>
      <c r="H31" s="105"/>
      <c r="I31" s="107">
        <v>3.5000000000000003E-2</v>
      </c>
      <c r="J31" s="26"/>
      <c r="K31" s="107">
        <v>3.5000000000000003E-2</v>
      </c>
      <c r="L31" s="105"/>
      <c r="M31" s="107">
        <v>3.7999999999999999E-2</v>
      </c>
      <c r="N31" s="105"/>
      <c r="O31" s="107">
        <v>0.04</v>
      </c>
      <c r="P31" s="105"/>
      <c r="Q31" s="107">
        <v>4.2999999999999997E-2</v>
      </c>
      <c r="R31" s="105"/>
      <c r="S31" s="133">
        <v>2.4E-2</v>
      </c>
      <c r="T31" s="105"/>
      <c r="U31" s="133">
        <v>3.9E-2</v>
      </c>
      <c r="V31" s="133">
        <v>3.9E-2</v>
      </c>
      <c r="W31" s="105"/>
      <c r="X31" s="105"/>
      <c r="Y31" s="133">
        <v>0.04</v>
      </c>
      <c r="Z31" s="133">
        <v>0.04</v>
      </c>
      <c r="AA31" s="105"/>
      <c r="AB31" s="133">
        <v>3.1E-2</v>
      </c>
      <c r="AC31" s="133">
        <v>3.1E-2</v>
      </c>
      <c r="AD31" s="133">
        <v>3.1E-2</v>
      </c>
      <c r="AE31" s="105"/>
      <c r="AF31" s="105"/>
      <c r="AG31" s="133"/>
      <c r="AH31" s="133"/>
      <c r="AI31" s="105"/>
      <c r="AJ31" s="105"/>
      <c r="AK31" s="133"/>
      <c r="AL31" s="133"/>
      <c r="AM31" s="105"/>
      <c r="AN31" s="105"/>
      <c r="AO31" s="133"/>
      <c r="AP31" s="133"/>
      <c r="AQ31" s="105"/>
      <c r="AR31" s="105"/>
      <c r="AS31" s="133"/>
      <c r="AT31" s="133"/>
      <c r="AU31" s="105"/>
      <c r="AV31" s="105"/>
      <c r="AW31" s="133"/>
      <c r="AX31" s="58"/>
    </row>
    <row r="32" spans="1:50" s="25" customFormat="1" ht="12.4">
      <c r="A32" s="58"/>
      <c r="B32" s="52" t="s">
        <v>323</v>
      </c>
      <c r="C32" s="52" t="s">
        <v>309</v>
      </c>
      <c r="D32" s="52" t="s">
        <v>265</v>
      </c>
      <c r="E32" s="258"/>
      <c r="F32" s="105"/>
      <c r="G32" s="107">
        <v>0.01</v>
      </c>
      <c r="H32" s="105"/>
      <c r="I32" s="107">
        <v>3.5000000000000003E-2</v>
      </c>
      <c r="J32" s="26"/>
      <c r="K32" s="107">
        <v>3.5000000000000003E-2</v>
      </c>
      <c r="L32" s="105"/>
      <c r="M32" s="107">
        <v>3.7999999999999999E-2</v>
      </c>
      <c r="N32" s="105"/>
      <c r="O32" s="107">
        <v>0.04</v>
      </c>
      <c r="P32" s="105"/>
      <c r="Q32" s="107">
        <v>4.2999999999999997E-2</v>
      </c>
      <c r="R32" s="105"/>
      <c r="S32" s="133">
        <v>2.4E-2</v>
      </c>
      <c r="T32" s="105"/>
      <c r="U32" s="133">
        <v>3.9E-2</v>
      </c>
      <c r="V32" s="133">
        <v>3.9E-2</v>
      </c>
      <c r="W32" s="105"/>
      <c r="X32" s="105"/>
      <c r="Y32" s="133">
        <v>0.04</v>
      </c>
      <c r="Z32" s="133">
        <v>0.04</v>
      </c>
      <c r="AA32" s="105"/>
      <c r="AB32" s="133">
        <v>3.1E-2</v>
      </c>
      <c r="AC32" s="133">
        <v>3.1E-2</v>
      </c>
      <c r="AD32" s="133">
        <v>3.1E-2</v>
      </c>
      <c r="AE32" s="105"/>
      <c r="AF32" s="105"/>
      <c r="AG32" s="133"/>
      <c r="AH32" s="133"/>
      <c r="AI32" s="105"/>
      <c r="AJ32" s="105"/>
      <c r="AK32" s="133"/>
      <c r="AL32" s="133"/>
      <c r="AM32" s="105"/>
      <c r="AN32" s="105"/>
      <c r="AO32" s="133"/>
      <c r="AP32" s="133"/>
      <c r="AQ32" s="105"/>
      <c r="AR32" s="105"/>
      <c r="AS32" s="133"/>
      <c r="AT32" s="133"/>
      <c r="AU32" s="105"/>
      <c r="AV32" s="105"/>
      <c r="AW32" s="133"/>
      <c r="AX32" s="58"/>
    </row>
    <row r="33" spans="1:50" s="25" customFormat="1" ht="12.4">
      <c r="A33" s="58"/>
      <c r="B33" s="52" t="s">
        <v>324</v>
      </c>
      <c r="C33" s="52" t="s">
        <v>305</v>
      </c>
      <c r="D33" s="52" t="s">
        <v>265</v>
      </c>
      <c r="E33" s="258"/>
      <c r="F33" s="105"/>
      <c r="G33" s="107">
        <v>0.38100000000000001</v>
      </c>
      <c r="H33" s="105"/>
      <c r="I33" s="107">
        <v>0.34300000000000003</v>
      </c>
      <c r="J33" s="26"/>
      <c r="K33" s="107">
        <v>0.34300000000000003</v>
      </c>
      <c r="L33" s="105"/>
      <c r="M33" s="107">
        <v>0.32500000000000001</v>
      </c>
      <c r="N33" s="105"/>
      <c r="O33" s="107">
        <v>0.34599999999999997</v>
      </c>
      <c r="P33" s="105"/>
      <c r="Q33" s="107">
        <v>0.32600000000000001</v>
      </c>
      <c r="R33" s="105"/>
      <c r="S33" s="133">
        <v>0.35899999999999999</v>
      </c>
      <c r="T33" s="105"/>
      <c r="U33" s="133">
        <v>0.36499999999999999</v>
      </c>
      <c r="V33" s="133">
        <v>0.36499999999999999</v>
      </c>
      <c r="W33" s="105"/>
      <c r="X33" s="105"/>
      <c r="Y33" s="133">
        <v>0.48199999999999998</v>
      </c>
      <c r="Z33" s="133">
        <v>0.48199999999999998</v>
      </c>
      <c r="AA33" s="105"/>
      <c r="AB33" s="133">
        <v>0.80600000000000005</v>
      </c>
      <c r="AC33" s="133">
        <v>0.80600000000000005</v>
      </c>
      <c r="AD33" s="133">
        <v>0.80600000000000005</v>
      </c>
      <c r="AE33" s="105"/>
      <c r="AF33" s="105"/>
      <c r="AG33" s="133"/>
      <c r="AH33" s="133"/>
      <c r="AI33" s="105"/>
      <c r="AJ33" s="105"/>
      <c r="AK33" s="133"/>
      <c r="AL33" s="133"/>
      <c r="AM33" s="105"/>
      <c r="AN33" s="105"/>
      <c r="AO33" s="133"/>
      <c r="AP33" s="133"/>
      <c r="AQ33" s="105"/>
      <c r="AR33" s="105"/>
      <c r="AS33" s="133"/>
      <c r="AT33" s="133"/>
      <c r="AU33" s="105"/>
      <c r="AV33" s="105"/>
      <c r="AW33" s="133"/>
      <c r="AX33" s="58"/>
    </row>
    <row r="34" spans="1:50" s="25" customFormat="1" ht="12.4">
      <c r="A34" s="58"/>
      <c r="B34" s="52" t="s">
        <v>325</v>
      </c>
      <c r="C34" s="52" t="s">
        <v>305</v>
      </c>
      <c r="D34" s="52" t="s">
        <v>265</v>
      </c>
      <c r="E34" s="258"/>
      <c r="F34" s="105"/>
      <c r="G34" s="107">
        <v>0.28799999999999998</v>
      </c>
      <c r="H34" s="105"/>
      <c r="I34" s="107">
        <v>0.25900000000000001</v>
      </c>
      <c r="J34" s="26"/>
      <c r="K34" s="107">
        <v>0.25900000000000001</v>
      </c>
      <c r="L34" s="105"/>
      <c r="M34" s="107">
        <v>0.245</v>
      </c>
      <c r="N34" s="105"/>
      <c r="O34" s="107">
        <v>0.26100000000000001</v>
      </c>
      <c r="P34" s="105"/>
      <c r="Q34" s="107">
        <v>0.24399999999999999</v>
      </c>
      <c r="R34" s="105"/>
      <c r="S34" s="133">
        <v>0.26900000000000002</v>
      </c>
      <c r="T34" s="105"/>
      <c r="U34" s="133">
        <v>0.27400000000000002</v>
      </c>
      <c r="V34" s="133">
        <v>0.27400000000000002</v>
      </c>
      <c r="W34" s="105"/>
      <c r="X34" s="105"/>
      <c r="Y34" s="133">
        <v>0.36199999999999999</v>
      </c>
      <c r="Z34" s="133">
        <v>0.36199999999999999</v>
      </c>
      <c r="AA34" s="105"/>
      <c r="AB34" s="133">
        <v>0.60499999999999998</v>
      </c>
      <c r="AC34" s="133">
        <v>0.60499999999999998</v>
      </c>
      <c r="AD34" s="133">
        <v>0.60499999999999998</v>
      </c>
      <c r="AE34" s="105"/>
      <c r="AF34" s="105"/>
      <c r="AG34" s="133"/>
      <c r="AH34" s="133"/>
      <c r="AI34" s="105"/>
      <c r="AJ34" s="105"/>
      <c r="AK34" s="133"/>
      <c r="AL34" s="133"/>
      <c r="AM34" s="105"/>
      <c r="AN34" s="105"/>
      <c r="AO34" s="133"/>
      <c r="AP34" s="133"/>
      <c r="AQ34" s="105"/>
      <c r="AR34" s="105"/>
      <c r="AS34" s="133"/>
      <c r="AT34" s="133"/>
      <c r="AU34" s="105"/>
      <c r="AV34" s="105"/>
      <c r="AW34" s="133"/>
      <c r="AX34" s="58"/>
    </row>
    <row r="35" spans="1:50" s="25" customFormat="1" ht="12.4">
      <c r="A35" s="58"/>
      <c r="B35" s="52" t="s">
        <v>326</v>
      </c>
      <c r="C35" s="52" t="s">
        <v>305</v>
      </c>
      <c r="D35" s="52" t="s">
        <v>265</v>
      </c>
      <c r="E35" s="258"/>
      <c r="F35" s="105"/>
      <c r="G35" s="107" t="e">
        <f>NA()</f>
        <v>#N/A</v>
      </c>
      <c r="H35" s="105"/>
      <c r="I35" s="107">
        <v>0.44500000000000001</v>
      </c>
      <c r="J35" s="26"/>
      <c r="K35" s="107">
        <v>0.44500000000000001</v>
      </c>
      <c r="L35" s="105"/>
      <c r="M35" s="107">
        <v>0.53200000000000003</v>
      </c>
      <c r="N35" s="105"/>
      <c r="O35" s="107">
        <v>0.54700000000000004</v>
      </c>
      <c r="P35" s="105"/>
      <c r="Q35" s="107">
        <v>0.58899999999999997</v>
      </c>
      <c r="R35" s="105"/>
      <c r="S35" s="133">
        <v>0.59399999999999997</v>
      </c>
      <c r="T35" s="105"/>
      <c r="U35" s="133">
        <v>0.74299999999999999</v>
      </c>
      <c r="V35" s="133">
        <v>0.74299999999999999</v>
      </c>
      <c r="W35" s="105"/>
      <c r="X35" s="105"/>
      <c r="Y35" s="133">
        <v>1.08</v>
      </c>
      <c r="Z35" s="133">
        <v>1.08</v>
      </c>
      <c r="AA35" s="105"/>
      <c r="AB35" s="133">
        <v>0.80600000000000005</v>
      </c>
      <c r="AC35" s="133">
        <v>0.80600000000000005</v>
      </c>
      <c r="AD35" s="133">
        <v>0.80600000000000005</v>
      </c>
      <c r="AE35" s="105"/>
      <c r="AF35" s="105"/>
      <c r="AG35" s="133"/>
      <c r="AH35" s="133"/>
      <c r="AI35" s="105"/>
      <c r="AJ35" s="105"/>
      <c r="AK35" s="133"/>
      <c r="AL35" s="133"/>
      <c r="AM35" s="105"/>
      <c r="AN35" s="105"/>
      <c r="AO35" s="133"/>
      <c r="AP35" s="133"/>
      <c r="AQ35" s="105"/>
      <c r="AR35" s="105"/>
      <c r="AS35" s="133"/>
      <c r="AT35" s="133"/>
      <c r="AU35" s="105"/>
      <c r="AV35" s="105"/>
      <c r="AW35" s="133"/>
      <c r="AX35" s="58"/>
    </row>
    <row r="36" spans="1:50" s="25" customFormat="1" ht="12.4">
      <c r="A36" s="58"/>
      <c r="B36" s="52" t="s">
        <v>327</v>
      </c>
      <c r="C36" s="52" t="s">
        <v>305</v>
      </c>
      <c r="D36" s="52" t="s">
        <v>265</v>
      </c>
      <c r="E36" s="258"/>
      <c r="F36" s="105"/>
      <c r="G36" s="107" t="e">
        <f>NA()</f>
        <v>#N/A</v>
      </c>
      <c r="H36" s="105"/>
      <c r="I36" s="107">
        <v>0.33600000000000002</v>
      </c>
      <c r="J36" s="26"/>
      <c r="K36" s="107">
        <v>0.33600000000000002</v>
      </c>
      <c r="L36" s="105"/>
      <c r="M36" s="107">
        <v>0.40200000000000002</v>
      </c>
      <c r="N36" s="105"/>
      <c r="O36" s="107">
        <v>0.41299999999999998</v>
      </c>
      <c r="P36" s="105"/>
      <c r="Q36" s="107">
        <v>0.442</v>
      </c>
      <c r="R36" s="105"/>
      <c r="S36" s="133">
        <v>0.44500000000000001</v>
      </c>
      <c r="T36" s="105"/>
      <c r="U36" s="133">
        <v>0.55800000000000005</v>
      </c>
      <c r="V36" s="133">
        <v>0.55800000000000005</v>
      </c>
      <c r="W36" s="105"/>
      <c r="X36" s="105"/>
      <c r="Y36" s="133">
        <v>0.81</v>
      </c>
      <c r="Z36" s="133">
        <v>0.81</v>
      </c>
      <c r="AA36" s="105"/>
      <c r="AB36" s="133">
        <v>0.60499999999999998</v>
      </c>
      <c r="AC36" s="133">
        <v>0.60499999999999998</v>
      </c>
      <c r="AD36" s="133">
        <v>0.60499999999999998</v>
      </c>
      <c r="AE36" s="105"/>
      <c r="AF36" s="105"/>
      <c r="AG36" s="133"/>
      <c r="AH36" s="133"/>
      <c r="AI36" s="105"/>
      <c r="AJ36" s="105"/>
      <c r="AK36" s="133"/>
      <c r="AL36" s="133"/>
      <c r="AM36" s="105"/>
      <c r="AN36" s="105"/>
      <c r="AO36" s="133"/>
      <c r="AP36" s="133"/>
      <c r="AQ36" s="105"/>
      <c r="AR36" s="105"/>
      <c r="AS36" s="133"/>
      <c r="AT36" s="133"/>
      <c r="AU36" s="105"/>
      <c r="AV36" s="105"/>
      <c r="AW36" s="133"/>
      <c r="AX36" s="58"/>
    </row>
    <row r="37" spans="1:50" s="25" customFormat="1" ht="12.4">
      <c r="A37" s="58"/>
      <c r="B37" s="52" t="s">
        <v>328</v>
      </c>
      <c r="C37" s="52" t="s">
        <v>309</v>
      </c>
      <c r="D37" s="52" t="s">
        <v>265</v>
      </c>
      <c r="E37" s="258"/>
      <c r="F37" s="108"/>
      <c r="G37" s="94">
        <v>5700000</v>
      </c>
      <c r="H37" s="108"/>
      <c r="I37" s="94">
        <v>9500000</v>
      </c>
      <c r="J37" s="26"/>
      <c r="K37" s="94">
        <v>9500000</v>
      </c>
      <c r="L37" s="108"/>
      <c r="M37" s="94">
        <v>4800000</v>
      </c>
      <c r="N37" s="108"/>
      <c r="O37" s="94">
        <v>3500000</v>
      </c>
      <c r="P37" s="108"/>
      <c r="Q37" s="94">
        <v>4600000</v>
      </c>
      <c r="R37" s="108"/>
      <c r="S37" s="131">
        <v>3700000</v>
      </c>
      <c r="T37" s="108"/>
      <c r="U37" s="131">
        <v>6700000</v>
      </c>
      <c r="V37" s="131">
        <v>6700000</v>
      </c>
      <c r="W37" s="108"/>
      <c r="X37" s="108"/>
      <c r="Y37" s="131">
        <v>5100000</v>
      </c>
      <c r="Z37" s="131">
        <v>5100000</v>
      </c>
      <c r="AA37" s="108"/>
      <c r="AB37" s="94">
        <v>4600000</v>
      </c>
      <c r="AC37" s="131">
        <v>4600000</v>
      </c>
      <c r="AD37" s="131">
        <v>4600000</v>
      </c>
      <c r="AE37" s="108"/>
      <c r="AF37" s="108"/>
      <c r="AG37" s="131"/>
      <c r="AH37" s="131"/>
      <c r="AI37" s="108"/>
      <c r="AJ37" s="108"/>
      <c r="AK37" s="131"/>
      <c r="AL37" s="131"/>
      <c r="AM37" s="108"/>
      <c r="AN37" s="108"/>
      <c r="AO37" s="131"/>
      <c r="AP37" s="131"/>
      <c r="AQ37" s="108"/>
      <c r="AR37" s="108"/>
      <c r="AS37" s="131"/>
      <c r="AT37" s="131"/>
      <c r="AU37" s="108"/>
      <c r="AV37" s="108"/>
      <c r="AW37" s="131"/>
      <c r="AX37" s="58"/>
    </row>
    <row r="38" spans="1:50" s="25" customFormat="1" ht="12.4">
      <c r="A38" s="58"/>
      <c r="B38" s="52" t="s">
        <v>329</v>
      </c>
      <c r="C38" s="52"/>
      <c r="D38" s="52" t="s">
        <v>330</v>
      </c>
      <c r="E38" s="258"/>
      <c r="F38" s="94">
        <v>12</v>
      </c>
      <c r="G38" s="94">
        <v>12</v>
      </c>
      <c r="H38" s="94">
        <v>12</v>
      </c>
      <c r="I38" s="94">
        <v>12</v>
      </c>
      <c r="J38" s="26"/>
      <c r="K38" s="94">
        <v>12</v>
      </c>
      <c r="L38" s="94">
        <v>12</v>
      </c>
      <c r="M38" s="94">
        <v>12</v>
      </c>
      <c r="N38" s="94">
        <v>12</v>
      </c>
      <c r="O38" s="94">
        <v>12</v>
      </c>
      <c r="P38" s="94">
        <v>12</v>
      </c>
      <c r="Q38" s="94">
        <v>12</v>
      </c>
      <c r="R38" s="94">
        <v>12</v>
      </c>
      <c r="S38" s="94">
        <v>12</v>
      </c>
      <c r="T38" s="94">
        <v>12</v>
      </c>
      <c r="U38" s="94">
        <v>12</v>
      </c>
      <c r="V38" s="94">
        <v>12</v>
      </c>
      <c r="W38" s="94">
        <v>12</v>
      </c>
      <c r="X38" s="94">
        <v>12</v>
      </c>
      <c r="Y38" s="94">
        <v>12</v>
      </c>
      <c r="Z38" s="94">
        <v>12</v>
      </c>
      <c r="AA38" s="94">
        <v>12</v>
      </c>
      <c r="AB38" s="94">
        <v>12</v>
      </c>
      <c r="AC38" s="94">
        <v>12</v>
      </c>
      <c r="AD38" s="94">
        <v>12</v>
      </c>
      <c r="AE38" s="94">
        <v>12</v>
      </c>
      <c r="AF38" s="94">
        <v>12</v>
      </c>
      <c r="AG38" s="94">
        <v>12</v>
      </c>
      <c r="AH38" s="94">
        <v>12</v>
      </c>
      <c r="AI38" s="94">
        <v>12</v>
      </c>
      <c r="AJ38" s="94">
        <v>12</v>
      </c>
      <c r="AK38" s="94">
        <v>12</v>
      </c>
      <c r="AL38" s="94">
        <v>12</v>
      </c>
      <c r="AM38" s="94">
        <v>12</v>
      </c>
      <c r="AN38" s="94">
        <v>12</v>
      </c>
      <c r="AO38" s="94">
        <v>12</v>
      </c>
      <c r="AP38" s="94">
        <v>12</v>
      </c>
      <c r="AQ38" s="94">
        <v>12</v>
      </c>
      <c r="AR38" s="94">
        <v>12</v>
      </c>
      <c r="AS38" s="94">
        <v>12</v>
      </c>
      <c r="AT38" s="94">
        <v>12</v>
      </c>
      <c r="AU38" s="94">
        <v>12</v>
      </c>
      <c r="AV38" s="94">
        <v>12</v>
      </c>
      <c r="AW38" s="94">
        <v>12</v>
      </c>
      <c r="AX38" s="58"/>
    </row>
    <row r="39" spans="1:50" s="25" customFormat="1" ht="12.4">
      <c r="A39" s="58"/>
      <c r="B39" s="279" t="s">
        <v>276</v>
      </c>
      <c r="C39" s="280"/>
      <c r="D39" s="280"/>
      <c r="E39" s="280"/>
      <c r="F39" s="280"/>
      <c r="G39" s="280"/>
      <c r="H39" s="280"/>
      <c r="I39" s="280"/>
      <c r="J39" s="280"/>
      <c r="K39" s="280"/>
      <c r="L39" s="280"/>
      <c r="M39" s="280"/>
      <c r="N39" s="280"/>
      <c r="O39" s="280"/>
      <c r="P39" s="280"/>
      <c r="Q39" s="280"/>
      <c r="R39" s="280"/>
      <c r="S39" s="280"/>
      <c r="T39" s="280"/>
      <c r="U39" s="281"/>
      <c r="V39" s="280"/>
      <c r="W39" s="280"/>
      <c r="X39" s="280"/>
      <c r="Y39" s="280"/>
      <c r="Z39" s="280"/>
      <c r="AA39" s="280"/>
      <c r="AB39" s="280"/>
      <c r="AC39" s="280"/>
      <c r="AD39" s="280"/>
      <c r="AE39" s="280"/>
      <c r="AF39" s="280"/>
      <c r="AG39" s="280"/>
      <c r="AH39" s="280"/>
      <c r="AI39" s="280"/>
      <c r="AJ39" s="280"/>
      <c r="AK39" s="280"/>
      <c r="AL39" s="280"/>
      <c r="AM39" s="280"/>
      <c r="AN39" s="280"/>
      <c r="AO39" s="281"/>
      <c r="AP39" s="280"/>
      <c r="AQ39" s="280"/>
      <c r="AR39" s="280"/>
      <c r="AS39" s="280"/>
      <c r="AT39" s="280"/>
      <c r="AU39" s="280"/>
      <c r="AV39" s="280"/>
      <c r="AW39" s="281"/>
      <c r="AX39" s="58"/>
    </row>
    <row r="40" spans="1:50" s="25" customFormat="1" ht="12.4">
      <c r="A40" s="58"/>
      <c r="B40" s="52" t="s">
        <v>281</v>
      </c>
      <c r="C40" s="233"/>
      <c r="D40" s="52" t="s">
        <v>274</v>
      </c>
      <c r="E40" s="258"/>
      <c r="F40" s="192">
        <f t="shared" ref="F40:I41" si="4">IFERROR(F12/SUM(F$12:F$13),"-")</f>
        <v>0.54227146386658431</v>
      </c>
      <c r="G40" s="192">
        <f t="shared" si="4"/>
        <v>0.54227146386658431</v>
      </c>
      <c r="H40" s="192">
        <f t="shared" si="4"/>
        <v>0.54227146386658431</v>
      </c>
      <c r="I40" s="192">
        <f t="shared" si="4"/>
        <v>0.54227146386658431</v>
      </c>
      <c r="J40" s="26"/>
      <c r="K40" s="192">
        <f t="shared" ref="K40:AW40" si="5">IFERROR(K12/SUM(K$12:K$13),"-")</f>
        <v>0.54227146386658431</v>
      </c>
      <c r="L40" s="192">
        <f t="shared" si="5"/>
        <v>0.54158599934827201</v>
      </c>
      <c r="M40" s="192">
        <f t="shared" si="5"/>
        <v>0.54158599934827201</v>
      </c>
      <c r="N40" s="192">
        <f t="shared" si="5"/>
        <v>0.54017763745982239</v>
      </c>
      <c r="O40" s="192">
        <f t="shared" si="5"/>
        <v>0.54017763745982239</v>
      </c>
      <c r="P40" s="192">
        <f t="shared" si="5"/>
        <v>0.54370549916679289</v>
      </c>
      <c r="Q40" s="192">
        <f t="shared" si="5"/>
        <v>0.54370549916679289</v>
      </c>
      <c r="R40" s="192">
        <f t="shared" si="5"/>
        <v>0.54514294323703338</v>
      </c>
      <c r="S40" s="192">
        <f t="shared" si="5"/>
        <v>0.54514294323703338</v>
      </c>
      <c r="T40" s="192">
        <f t="shared" si="5"/>
        <v>0.54524899560870788</v>
      </c>
      <c r="U40" s="192">
        <f t="shared" si="5"/>
        <v>0.54524899560870788</v>
      </c>
      <c r="V40" s="192">
        <f t="shared" si="5"/>
        <v>0.54524899560870788</v>
      </c>
      <c r="W40" s="192">
        <f t="shared" si="5"/>
        <v>0.54269077879178096</v>
      </c>
      <c r="X40" s="192">
        <f t="shared" si="5"/>
        <v>0.54269077879178096</v>
      </c>
      <c r="Y40" s="192">
        <f t="shared" si="5"/>
        <v>0.54269077879178096</v>
      </c>
      <c r="Z40" s="192">
        <f t="shared" si="5"/>
        <v>0.54269077879178096</v>
      </c>
      <c r="AA40" s="192">
        <f t="shared" si="5"/>
        <v>0.5430301229432084</v>
      </c>
      <c r="AB40" s="192">
        <f>IFERROR(AB12/SUM(AB$12:AB$13),"-")</f>
        <v>0.54303495509170951</v>
      </c>
      <c r="AC40" s="192">
        <f t="shared" si="5"/>
        <v>0.54303495509170951</v>
      </c>
      <c r="AD40" s="192">
        <f t="shared" si="5"/>
        <v>0.54303495509170951</v>
      </c>
      <c r="AE40" s="192">
        <f t="shared" si="5"/>
        <v>0.5429408476722235</v>
      </c>
      <c r="AF40" s="192" t="str">
        <f t="shared" si="5"/>
        <v>-</v>
      </c>
      <c r="AG40" s="192" t="str">
        <f t="shared" si="5"/>
        <v>-</v>
      </c>
      <c r="AH40" s="192" t="str">
        <f t="shared" si="5"/>
        <v>-</v>
      </c>
      <c r="AI40" s="192" t="str">
        <f t="shared" si="5"/>
        <v>-</v>
      </c>
      <c r="AJ40" s="192" t="str">
        <f t="shared" si="5"/>
        <v>-</v>
      </c>
      <c r="AK40" s="192" t="str">
        <f t="shared" si="5"/>
        <v>-</v>
      </c>
      <c r="AL40" s="192" t="str">
        <f t="shared" si="5"/>
        <v>-</v>
      </c>
      <c r="AM40" s="192" t="str">
        <f t="shared" si="5"/>
        <v>-</v>
      </c>
      <c r="AN40" s="192" t="str">
        <f t="shared" si="5"/>
        <v>-</v>
      </c>
      <c r="AO40" s="192" t="str">
        <f t="shared" si="5"/>
        <v>-</v>
      </c>
      <c r="AP40" s="192" t="str">
        <f t="shared" si="5"/>
        <v>-</v>
      </c>
      <c r="AQ40" s="192" t="str">
        <f t="shared" si="5"/>
        <v>-</v>
      </c>
      <c r="AR40" s="192" t="str">
        <f t="shared" si="5"/>
        <v>-</v>
      </c>
      <c r="AS40" s="192" t="str">
        <f t="shared" si="5"/>
        <v>-</v>
      </c>
      <c r="AT40" s="192" t="str">
        <f t="shared" si="5"/>
        <v>-</v>
      </c>
      <c r="AU40" s="192" t="str">
        <f t="shared" si="5"/>
        <v>-</v>
      </c>
      <c r="AV40" s="192" t="str">
        <f t="shared" si="5"/>
        <v>-</v>
      </c>
      <c r="AW40" s="192" t="str">
        <f t="shared" si="5"/>
        <v>-</v>
      </c>
      <c r="AX40" s="58"/>
    </row>
    <row r="41" spans="1:50" s="25" customFormat="1" ht="12.4">
      <c r="A41" s="58"/>
      <c r="B41" s="52" t="s">
        <v>282</v>
      </c>
      <c r="C41" s="258"/>
      <c r="D41" s="52" t="s">
        <v>274</v>
      </c>
      <c r="E41" s="258"/>
      <c r="F41" s="192">
        <f t="shared" si="4"/>
        <v>0.45772853613341569</v>
      </c>
      <c r="G41" s="192">
        <f t="shared" si="4"/>
        <v>0.45772853613341569</v>
      </c>
      <c r="H41" s="192">
        <f t="shared" si="4"/>
        <v>0.45772853613341569</v>
      </c>
      <c r="I41" s="192">
        <f t="shared" si="4"/>
        <v>0.45772853613341569</v>
      </c>
      <c r="J41" s="26"/>
      <c r="K41" s="192">
        <f t="shared" ref="K41:AW41" si="6">IFERROR(K13/SUM(K$12:K$13),"-")</f>
        <v>0.45772853613341569</v>
      </c>
      <c r="L41" s="192">
        <f t="shared" si="6"/>
        <v>0.45841400065172805</v>
      </c>
      <c r="M41" s="192">
        <f t="shared" si="6"/>
        <v>0.45841400065172805</v>
      </c>
      <c r="N41" s="192">
        <f t="shared" si="6"/>
        <v>0.45982236254017766</v>
      </c>
      <c r="O41" s="192">
        <f t="shared" si="6"/>
        <v>0.45982236254017766</v>
      </c>
      <c r="P41" s="192">
        <f t="shared" si="6"/>
        <v>0.45629450083320711</v>
      </c>
      <c r="Q41" s="192">
        <f t="shared" si="6"/>
        <v>0.45629450083320711</v>
      </c>
      <c r="R41" s="192">
        <f t="shared" si="6"/>
        <v>0.45485705676296662</v>
      </c>
      <c r="S41" s="192">
        <f t="shared" si="6"/>
        <v>0.45485705676296662</v>
      </c>
      <c r="T41" s="192">
        <f t="shared" si="6"/>
        <v>0.45475100439129218</v>
      </c>
      <c r="U41" s="192">
        <f t="shared" si="6"/>
        <v>0.45475100439129218</v>
      </c>
      <c r="V41" s="192">
        <f t="shared" si="6"/>
        <v>0.45475100439129218</v>
      </c>
      <c r="W41" s="192">
        <f t="shared" si="6"/>
        <v>0.45730922120821904</v>
      </c>
      <c r="X41" s="192">
        <f t="shared" si="6"/>
        <v>0.45730922120821904</v>
      </c>
      <c r="Y41" s="192">
        <f t="shared" si="6"/>
        <v>0.45730922120821904</v>
      </c>
      <c r="Z41" s="192">
        <f t="shared" si="6"/>
        <v>0.45730922120821904</v>
      </c>
      <c r="AA41" s="192">
        <f t="shared" si="6"/>
        <v>0.4569698770567916</v>
      </c>
      <c r="AB41" s="192">
        <f>IFERROR(AB13/SUM(AB$12:AB$13),"-")</f>
        <v>0.45696504490829049</v>
      </c>
      <c r="AC41" s="192">
        <f t="shared" si="6"/>
        <v>0.45696504490829049</v>
      </c>
      <c r="AD41" s="192">
        <f t="shared" si="6"/>
        <v>0.45696504490829049</v>
      </c>
      <c r="AE41" s="192">
        <f t="shared" si="6"/>
        <v>0.4570591523277765</v>
      </c>
      <c r="AF41" s="192" t="str">
        <f t="shared" si="6"/>
        <v>-</v>
      </c>
      <c r="AG41" s="192" t="str">
        <f t="shared" si="6"/>
        <v>-</v>
      </c>
      <c r="AH41" s="192" t="str">
        <f t="shared" si="6"/>
        <v>-</v>
      </c>
      <c r="AI41" s="192" t="str">
        <f t="shared" si="6"/>
        <v>-</v>
      </c>
      <c r="AJ41" s="192" t="str">
        <f t="shared" si="6"/>
        <v>-</v>
      </c>
      <c r="AK41" s="192" t="str">
        <f t="shared" si="6"/>
        <v>-</v>
      </c>
      <c r="AL41" s="192" t="str">
        <f t="shared" si="6"/>
        <v>-</v>
      </c>
      <c r="AM41" s="192" t="str">
        <f t="shared" si="6"/>
        <v>-</v>
      </c>
      <c r="AN41" s="192" t="str">
        <f t="shared" si="6"/>
        <v>-</v>
      </c>
      <c r="AO41" s="192" t="str">
        <f t="shared" si="6"/>
        <v>-</v>
      </c>
      <c r="AP41" s="192" t="str">
        <f t="shared" si="6"/>
        <v>-</v>
      </c>
      <c r="AQ41" s="192" t="str">
        <f t="shared" si="6"/>
        <v>-</v>
      </c>
      <c r="AR41" s="192" t="str">
        <f t="shared" si="6"/>
        <v>-</v>
      </c>
      <c r="AS41" s="192" t="str">
        <f t="shared" si="6"/>
        <v>-</v>
      </c>
      <c r="AT41" s="192" t="str">
        <f t="shared" si="6"/>
        <v>-</v>
      </c>
      <c r="AU41" s="192" t="str">
        <f t="shared" si="6"/>
        <v>-</v>
      </c>
      <c r="AV41" s="192" t="str">
        <f t="shared" si="6"/>
        <v>-</v>
      </c>
      <c r="AW41" s="192" t="str">
        <f t="shared" si="6"/>
        <v>-</v>
      </c>
      <c r="AX41" s="58"/>
    </row>
    <row r="42" spans="1:50" s="25" customFormat="1" ht="12.4">
      <c r="A42" s="58"/>
      <c r="B42" s="52" t="s">
        <v>331</v>
      </c>
      <c r="C42" s="258"/>
      <c r="D42" s="52" t="s">
        <v>265</v>
      </c>
      <c r="E42" s="258"/>
      <c r="F42" s="103">
        <f>((F20+F29)*F12*F$38)</f>
        <v>159461544</v>
      </c>
      <c r="G42" s="103">
        <f>((G20+G29)*G12*G$38)</f>
        <v>156090264</v>
      </c>
      <c r="H42" s="103">
        <f>((H20+H29)*H12*H$38)</f>
        <v>219470328</v>
      </c>
      <c r="I42" s="103">
        <f>((I20+I29)*I12*I$38)</f>
        <v>220144584</v>
      </c>
      <c r="J42" s="26"/>
      <c r="K42" s="103">
        <f t="shared" ref="K42:T42" si="7">((K20+K29)*K12*K$38)</f>
        <v>220144584</v>
      </c>
      <c r="L42" s="103">
        <f t="shared" si="7"/>
        <v>269882208</v>
      </c>
      <c r="M42" s="103">
        <f>((M20+M29)*M12*M$38)</f>
        <v>267169824</v>
      </c>
      <c r="N42" s="103">
        <f>((N20+N29)*N12*N$38)</f>
        <v>332985048</v>
      </c>
      <c r="O42" s="103">
        <f>((O20+O29)*O12*O$38)</f>
        <v>332985048</v>
      </c>
      <c r="P42" s="103">
        <f t="shared" si="7"/>
        <v>315257760</v>
      </c>
      <c r="Q42" s="103">
        <f>((Q20+Q29)*Q12*Q$38)</f>
        <v>314568672</v>
      </c>
      <c r="R42" s="103">
        <f t="shared" si="7"/>
        <v>317827080</v>
      </c>
      <c r="S42" s="103">
        <f>((S20+S29)*S12*S$38)</f>
        <v>319216488</v>
      </c>
      <c r="T42" s="103">
        <f t="shared" si="7"/>
        <v>322136160</v>
      </c>
      <c r="U42" s="103">
        <f>((U20+U29)*U12*U$38)</f>
        <v>324937344</v>
      </c>
      <c r="V42" s="103">
        <f t="shared" ref="V42:AW42" si="8">((V20+V29)*V12*V$38)</f>
        <v>324937344</v>
      </c>
      <c r="W42" s="103">
        <f t="shared" si="8"/>
        <v>326964276</v>
      </c>
      <c r="X42" s="103">
        <f t="shared" si="8"/>
        <v>326964276</v>
      </c>
      <c r="Y42" s="103">
        <f t="shared" si="8"/>
        <v>326964276</v>
      </c>
      <c r="Z42" s="103">
        <f t="shared" si="8"/>
        <v>326964276</v>
      </c>
      <c r="AA42" s="103">
        <f t="shared" si="8"/>
        <v>321055200</v>
      </c>
      <c r="AB42" s="103">
        <f>((AB20+AB29)*AB12*AB$38)</f>
        <v>328422961.15200001</v>
      </c>
      <c r="AC42" s="103">
        <f t="shared" si="8"/>
        <v>328422961.15200001</v>
      </c>
      <c r="AD42" s="103">
        <f t="shared" si="8"/>
        <v>328422961.15200001</v>
      </c>
      <c r="AE42" s="103">
        <f t="shared" si="8"/>
        <v>336638520.86400002</v>
      </c>
      <c r="AF42" s="103">
        <f t="shared" si="8"/>
        <v>0</v>
      </c>
      <c r="AG42" s="103">
        <f t="shared" si="8"/>
        <v>0</v>
      </c>
      <c r="AH42" s="103">
        <f t="shared" si="8"/>
        <v>0</v>
      </c>
      <c r="AI42" s="103">
        <f t="shared" si="8"/>
        <v>0</v>
      </c>
      <c r="AJ42" s="103">
        <f t="shared" si="8"/>
        <v>0</v>
      </c>
      <c r="AK42" s="103">
        <f t="shared" si="8"/>
        <v>0</v>
      </c>
      <c r="AL42" s="103">
        <f t="shared" si="8"/>
        <v>0</v>
      </c>
      <c r="AM42" s="103">
        <f t="shared" si="8"/>
        <v>0</v>
      </c>
      <c r="AN42" s="103">
        <f t="shared" si="8"/>
        <v>0</v>
      </c>
      <c r="AO42" s="103">
        <f t="shared" si="8"/>
        <v>0</v>
      </c>
      <c r="AP42" s="103">
        <f t="shared" si="8"/>
        <v>0</v>
      </c>
      <c r="AQ42" s="103">
        <f t="shared" si="8"/>
        <v>0</v>
      </c>
      <c r="AR42" s="103">
        <f t="shared" si="8"/>
        <v>0</v>
      </c>
      <c r="AS42" s="103">
        <f t="shared" si="8"/>
        <v>0</v>
      </c>
      <c r="AT42" s="103">
        <f t="shared" si="8"/>
        <v>0</v>
      </c>
      <c r="AU42" s="103">
        <f t="shared" si="8"/>
        <v>0</v>
      </c>
      <c r="AV42" s="103">
        <f t="shared" si="8"/>
        <v>0</v>
      </c>
      <c r="AW42" s="103">
        <f t="shared" si="8"/>
        <v>0</v>
      </c>
      <c r="AX42" s="58"/>
    </row>
    <row r="43" spans="1:50" s="25" customFormat="1" ht="12.4">
      <c r="A43" s="58"/>
      <c r="B43" s="52" t="s">
        <v>332</v>
      </c>
      <c r="C43" s="258"/>
      <c r="D43" s="52" t="s">
        <v>265</v>
      </c>
      <c r="E43" s="258"/>
      <c r="F43" s="103">
        <f>(F21+F30)*F13*F$38</f>
        <v>101875344</v>
      </c>
      <c r="G43" s="103">
        <f>(G21+G30)*G13*G$38</f>
        <v>99598799.999999985</v>
      </c>
      <c r="H43" s="103">
        <f>(H21+H30)*H13*H$38</f>
        <v>140007456</v>
      </c>
      <c r="I43" s="103">
        <f>(I21+I30)*I13*I$38</f>
        <v>140576592</v>
      </c>
      <c r="J43" s="26"/>
      <c r="K43" s="103">
        <f t="shared" ref="K43:T43" si="9">(K21+K30)*K13*K$38</f>
        <v>140576592</v>
      </c>
      <c r="L43" s="103">
        <f t="shared" si="9"/>
        <v>172474980</v>
      </c>
      <c r="M43" s="103">
        <f>(M21+M30)*M13*M$38</f>
        <v>170753100</v>
      </c>
      <c r="N43" s="103">
        <f>(N21+N30)*N13*N$38</f>
        <v>213821388</v>
      </c>
      <c r="O43" s="103">
        <f>(O21+O30)*O13*O$38</f>
        <v>214111512</v>
      </c>
      <c r="P43" s="103">
        <f t="shared" si="9"/>
        <v>199804031.99999997</v>
      </c>
      <c r="Q43" s="103">
        <f>(Q21+Q30)*Q13*Q$38</f>
        <v>199225727.99999997</v>
      </c>
      <c r="R43" s="103">
        <f t="shared" si="9"/>
        <v>200268383.99999997</v>
      </c>
      <c r="S43" s="103">
        <f>(S21+S30)*S13*S$38</f>
        <v>201137855.99999997</v>
      </c>
      <c r="T43" s="103">
        <f t="shared" si="9"/>
        <v>202670208</v>
      </c>
      <c r="U43" s="103">
        <f>(U21+U30)*U13*U$38</f>
        <v>204422400</v>
      </c>
      <c r="V43" s="103">
        <f t="shared" ref="V43:AW43" si="10">(V21+V30)*V13*V$38</f>
        <v>204422400</v>
      </c>
      <c r="W43" s="103">
        <f t="shared" si="10"/>
        <v>207891936</v>
      </c>
      <c r="X43" s="103">
        <f t="shared" si="10"/>
        <v>207891936</v>
      </c>
      <c r="Y43" s="103">
        <f t="shared" si="10"/>
        <v>207891936</v>
      </c>
      <c r="Z43" s="103">
        <f t="shared" si="10"/>
        <v>207891936</v>
      </c>
      <c r="AA43" s="103">
        <f t="shared" si="10"/>
        <v>203737680</v>
      </c>
      <c r="AB43" s="103">
        <f>(AB21+AB30)*AB13*AB$38</f>
        <v>208457516.42399999</v>
      </c>
      <c r="AC43" s="103">
        <f>(AC21+AC30)*AC13*AC$38</f>
        <v>208457516.42399999</v>
      </c>
      <c r="AD43" s="103">
        <f t="shared" si="10"/>
        <v>208457516.42399999</v>
      </c>
      <c r="AE43" s="103">
        <f t="shared" si="10"/>
        <v>214024262.11199999</v>
      </c>
      <c r="AF43" s="103">
        <f t="shared" si="10"/>
        <v>0</v>
      </c>
      <c r="AG43" s="103">
        <f t="shared" si="10"/>
        <v>0</v>
      </c>
      <c r="AH43" s="103">
        <f t="shared" si="10"/>
        <v>0</v>
      </c>
      <c r="AI43" s="103">
        <f t="shared" si="10"/>
        <v>0</v>
      </c>
      <c r="AJ43" s="103">
        <f t="shared" si="10"/>
        <v>0</v>
      </c>
      <c r="AK43" s="103">
        <f t="shared" si="10"/>
        <v>0</v>
      </c>
      <c r="AL43" s="103">
        <f t="shared" si="10"/>
        <v>0</v>
      </c>
      <c r="AM43" s="103">
        <f t="shared" si="10"/>
        <v>0</v>
      </c>
      <c r="AN43" s="103">
        <f t="shared" si="10"/>
        <v>0</v>
      </c>
      <c r="AO43" s="103">
        <f t="shared" si="10"/>
        <v>0</v>
      </c>
      <c r="AP43" s="103">
        <f t="shared" si="10"/>
        <v>0</v>
      </c>
      <c r="AQ43" s="103">
        <f t="shared" si="10"/>
        <v>0</v>
      </c>
      <c r="AR43" s="103">
        <f t="shared" si="10"/>
        <v>0</v>
      </c>
      <c r="AS43" s="103">
        <f t="shared" si="10"/>
        <v>0</v>
      </c>
      <c r="AT43" s="103">
        <f t="shared" si="10"/>
        <v>0</v>
      </c>
      <c r="AU43" s="103">
        <f t="shared" si="10"/>
        <v>0</v>
      </c>
      <c r="AV43" s="103">
        <f t="shared" si="10"/>
        <v>0</v>
      </c>
      <c r="AW43" s="103">
        <f t="shared" si="10"/>
        <v>0</v>
      </c>
      <c r="AX43" s="58"/>
    </row>
    <row r="44" spans="1:50" s="25" customFormat="1" ht="12.4">
      <c r="A44" s="58"/>
      <c r="B44" s="52" t="s">
        <v>333</v>
      </c>
      <c r="C44" s="258"/>
      <c r="D44" s="52" t="s">
        <v>265</v>
      </c>
      <c r="E44" s="258"/>
      <c r="F44" s="103">
        <f t="shared" ref="F44:I45" si="11">F12*(F22+F31)*F$38</f>
        <v>3371280</v>
      </c>
      <c r="G44" s="103">
        <f t="shared" si="11"/>
        <v>3371280</v>
      </c>
      <c r="H44" s="103">
        <f>H12*(H22+H31)*H$38</f>
        <v>11799480.000000002</v>
      </c>
      <c r="I44" s="103">
        <f>I12*(I22+I31)*I$38</f>
        <v>11799480.000000002</v>
      </c>
      <c r="J44" s="26"/>
      <c r="K44" s="103">
        <f>K12*(K22+K31)*K$38</f>
        <v>11799480.000000002</v>
      </c>
      <c r="L44" s="103">
        <f t="shared" ref="L44:T44" si="12">L12*(L22+L31)*L$38</f>
        <v>32887656</v>
      </c>
      <c r="M44" s="103">
        <f t="shared" ref="M44:O45" si="13">M12*(M22+M31)*M$38</f>
        <v>12883824</v>
      </c>
      <c r="N44" s="103">
        <f t="shared" si="13"/>
        <v>13632960</v>
      </c>
      <c r="O44" s="103">
        <f t="shared" si="13"/>
        <v>13632960</v>
      </c>
      <c r="P44" s="103">
        <f t="shared" si="12"/>
        <v>14815392</v>
      </c>
      <c r="Q44" s="103">
        <f>Q12*(Q22+Q31)*Q$38</f>
        <v>14815392</v>
      </c>
      <c r="R44" s="103">
        <f t="shared" si="12"/>
        <v>8336448</v>
      </c>
      <c r="S44" s="103">
        <f>S12*(S22+S31)*S$38</f>
        <v>8336448</v>
      </c>
      <c r="T44" s="103">
        <f t="shared" si="12"/>
        <v>14005920</v>
      </c>
      <c r="U44" s="103">
        <f>U12*(U22+U31)*U$38</f>
        <v>13655772</v>
      </c>
      <c r="V44" s="103">
        <f t="shared" ref="V44:AW45" si="14">V12*(V22+V31)*V$38</f>
        <v>13655772</v>
      </c>
      <c r="W44" s="103">
        <f t="shared" si="14"/>
        <v>13957920</v>
      </c>
      <c r="X44" s="103">
        <f t="shared" si="14"/>
        <v>13957920</v>
      </c>
      <c r="Y44" s="103">
        <f t="shared" si="14"/>
        <v>13957920</v>
      </c>
      <c r="Z44" s="103">
        <f t="shared" si="14"/>
        <v>13957920</v>
      </c>
      <c r="AA44" s="103">
        <f t="shared" si="14"/>
        <v>10877280</v>
      </c>
      <c r="AB44" s="103">
        <f>AB12*(AB22+AB31)*AB$38</f>
        <v>10877256.192</v>
      </c>
      <c r="AC44" s="103">
        <f t="shared" si="14"/>
        <v>10877256.192</v>
      </c>
      <c r="AD44" s="103">
        <f t="shared" si="14"/>
        <v>10877256.192</v>
      </c>
      <c r="AE44" s="103">
        <f t="shared" si="14"/>
        <v>11620367.352</v>
      </c>
      <c r="AF44" s="103">
        <f t="shared" si="14"/>
        <v>0</v>
      </c>
      <c r="AG44" s="103">
        <f t="shared" si="14"/>
        <v>0</v>
      </c>
      <c r="AH44" s="103">
        <f t="shared" si="14"/>
        <v>0</v>
      </c>
      <c r="AI44" s="103">
        <f t="shared" si="14"/>
        <v>0</v>
      </c>
      <c r="AJ44" s="103">
        <f t="shared" si="14"/>
        <v>0</v>
      </c>
      <c r="AK44" s="103">
        <f t="shared" si="14"/>
        <v>0</v>
      </c>
      <c r="AL44" s="103">
        <f t="shared" si="14"/>
        <v>0</v>
      </c>
      <c r="AM44" s="103">
        <f t="shared" si="14"/>
        <v>0</v>
      </c>
      <c r="AN44" s="103">
        <f t="shared" si="14"/>
        <v>0</v>
      </c>
      <c r="AO44" s="103">
        <f t="shared" si="14"/>
        <v>0</v>
      </c>
      <c r="AP44" s="103">
        <f t="shared" si="14"/>
        <v>0</v>
      </c>
      <c r="AQ44" s="103">
        <f t="shared" si="14"/>
        <v>0</v>
      </c>
      <c r="AR44" s="103">
        <f t="shared" si="14"/>
        <v>0</v>
      </c>
      <c r="AS44" s="103">
        <f t="shared" si="14"/>
        <v>0</v>
      </c>
      <c r="AT44" s="103">
        <f t="shared" si="14"/>
        <v>0</v>
      </c>
      <c r="AU44" s="103">
        <f t="shared" si="14"/>
        <v>0</v>
      </c>
      <c r="AV44" s="103">
        <f t="shared" si="14"/>
        <v>0</v>
      </c>
      <c r="AW44" s="103">
        <f t="shared" si="14"/>
        <v>0</v>
      </c>
      <c r="AX44" s="58"/>
    </row>
    <row r="45" spans="1:50" s="25" customFormat="1" ht="12.4">
      <c r="A45" s="58"/>
      <c r="B45" s="52" t="s">
        <v>334</v>
      </c>
      <c r="C45" s="258"/>
      <c r="D45" s="52" t="s">
        <v>265</v>
      </c>
      <c r="E45" s="258"/>
      <c r="F45" s="103">
        <f t="shared" si="11"/>
        <v>2845680</v>
      </c>
      <c r="G45" s="103">
        <f t="shared" si="11"/>
        <v>2845680</v>
      </c>
      <c r="H45" s="103">
        <f t="shared" si="11"/>
        <v>9959880.0000000019</v>
      </c>
      <c r="I45" s="103">
        <f t="shared" si="11"/>
        <v>9959880.0000000019</v>
      </c>
      <c r="J45" s="26"/>
      <c r="K45" s="103">
        <f t="shared" ref="K45:R45" si="15">K13*(K23+K32)*K$38</f>
        <v>9959880.0000000019</v>
      </c>
      <c r="L45" s="103">
        <f>L13*(L23+L32)*L$38</f>
        <v>27837060</v>
      </c>
      <c r="M45" s="103">
        <f t="shared" si="13"/>
        <v>10905240</v>
      </c>
      <c r="N45" s="103">
        <f t="shared" si="13"/>
        <v>11604960</v>
      </c>
      <c r="O45" s="103">
        <f t="shared" si="13"/>
        <v>11604960</v>
      </c>
      <c r="P45" s="103">
        <f t="shared" si="15"/>
        <v>12433535.999999998</v>
      </c>
      <c r="Q45" s="103">
        <f>Q13*(Q23+Q32)*Q$38</f>
        <v>12433535.999999998</v>
      </c>
      <c r="R45" s="103">
        <f t="shared" si="15"/>
        <v>6955776</v>
      </c>
      <c r="S45" s="103">
        <f>S13*(S23+S32)*S$38</f>
        <v>6955776</v>
      </c>
      <c r="T45" s="103">
        <f>T13*(T23+T32)*T$38</f>
        <v>11681280</v>
      </c>
      <c r="U45" s="103">
        <f>U13*(U23+U32)*U$38</f>
        <v>11389248</v>
      </c>
      <c r="V45" s="103">
        <f t="shared" ref="V45:Z45" si="16">V13*(V23+V32)*V$38</f>
        <v>11389248</v>
      </c>
      <c r="W45" s="103">
        <f t="shared" si="16"/>
        <v>11761920</v>
      </c>
      <c r="X45" s="103">
        <f t="shared" si="16"/>
        <v>11761920</v>
      </c>
      <c r="Y45" s="103">
        <f t="shared" si="16"/>
        <v>11761920</v>
      </c>
      <c r="Z45" s="103">
        <f t="shared" si="16"/>
        <v>11761920</v>
      </c>
      <c r="AA45" s="103">
        <f t="shared" si="14"/>
        <v>9153432</v>
      </c>
      <c r="AB45" s="103">
        <f>AB13*(AB23+AB32)*AB$38</f>
        <v>9153233.7239999995</v>
      </c>
      <c r="AC45" s="103">
        <f t="shared" si="14"/>
        <v>9153233.7239999995</v>
      </c>
      <c r="AD45" s="103">
        <f t="shared" si="14"/>
        <v>9153233.7239999995</v>
      </c>
      <c r="AE45" s="103">
        <f t="shared" si="14"/>
        <v>9782272.3680000007</v>
      </c>
      <c r="AF45" s="103">
        <f t="shared" si="14"/>
        <v>0</v>
      </c>
      <c r="AG45" s="103">
        <f t="shared" si="14"/>
        <v>0</v>
      </c>
      <c r="AH45" s="103">
        <f t="shared" si="14"/>
        <v>0</v>
      </c>
      <c r="AI45" s="103">
        <f t="shared" si="14"/>
        <v>0</v>
      </c>
      <c r="AJ45" s="103">
        <f t="shared" si="14"/>
        <v>0</v>
      </c>
      <c r="AK45" s="103">
        <f t="shared" si="14"/>
        <v>0</v>
      </c>
      <c r="AL45" s="103">
        <f t="shared" si="14"/>
        <v>0</v>
      </c>
      <c r="AM45" s="103">
        <f t="shared" si="14"/>
        <v>0</v>
      </c>
      <c r="AN45" s="103">
        <f t="shared" si="14"/>
        <v>0</v>
      </c>
      <c r="AO45" s="103">
        <f t="shared" si="14"/>
        <v>0</v>
      </c>
      <c r="AP45" s="103">
        <f t="shared" si="14"/>
        <v>0</v>
      </c>
      <c r="AQ45" s="103">
        <f t="shared" si="14"/>
        <v>0</v>
      </c>
      <c r="AR45" s="103">
        <f t="shared" si="14"/>
        <v>0</v>
      </c>
      <c r="AS45" s="103">
        <f t="shared" si="14"/>
        <v>0</v>
      </c>
      <c r="AT45" s="103">
        <f t="shared" si="14"/>
        <v>0</v>
      </c>
      <c r="AU45" s="103">
        <f t="shared" si="14"/>
        <v>0</v>
      </c>
      <c r="AV45" s="103">
        <f t="shared" si="14"/>
        <v>0</v>
      </c>
      <c r="AW45" s="103">
        <f t="shared" si="14"/>
        <v>0</v>
      </c>
      <c r="AX45" s="58"/>
    </row>
    <row r="46" spans="1:50" s="25" customFormat="1" ht="12.4">
      <c r="A46" s="58"/>
      <c r="B46" s="52" t="s">
        <v>335</v>
      </c>
      <c r="C46" s="258"/>
      <c r="D46" s="52" t="s">
        <v>265</v>
      </c>
      <c r="E46" s="258"/>
      <c r="F46" s="103">
        <f>F14*F16*(F33+F24)*F$38</f>
        <v>0</v>
      </c>
      <c r="G46" s="103">
        <f>G14*G18*(G33+G24)*G$38</f>
        <v>0</v>
      </c>
      <c r="H46" s="103">
        <f>H14*H16*(H33+H24)*H$38</f>
        <v>0</v>
      </c>
      <c r="I46" s="103">
        <f>I14*I18*(I33+I24)*I$38</f>
        <v>3153461.3499052823</v>
      </c>
      <c r="J46" s="26"/>
      <c r="K46" s="103">
        <f>K14*K18*(K33+K24)*K$38</f>
        <v>3153461.3499052823</v>
      </c>
      <c r="L46" s="103">
        <f>L14*L16*(L33+L24)*L$38</f>
        <v>8387008.1681681685</v>
      </c>
      <c r="M46" s="103">
        <f>M14*M18*(M33+M24)*M$38</f>
        <v>16774016.336336337</v>
      </c>
      <c r="N46" s="103">
        <f>N14*N16*(N33+N24)*N$38</f>
        <v>36595650.706448779</v>
      </c>
      <c r="O46" s="103">
        <f>O14*O18*(O33+O24)*O$38</f>
        <v>14040089.424912207</v>
      </c>
      <c r="P46" s="103">
        <f t="shared" ref="P46:R46" si="17">P14*P16*(P33+P24)*P$38</f>
        <v>14086671.553461708</v>
      </c>
      <c r="Q46" s="103">
        <f>Q14*Q18*(Q33+Q24)*Q$38</f>
        <v>23152825.060565874</v>
      </c>
      <c r="R46" s="103">
        <f t="shared" si="17"/>
        <v>28771847.586628396</v>
      </c>
      <c r="S46" s="103">
        <f>S14*S18*(S33+S24)*S$38</f>
        <v>30774587.095541872</v>
      </c>
      <c r="T46" s="103">
        <f>T14*T16*(T33+T24)*T$38</f>
        <v>41184731.192825526</v>
      </c>
      <c r="U46" s="103">
        <f>U14*U18*(U33+U24)*U$38</f>
        <v>37024100.675045937</v>
      </c>
      <c r="V46" s="103">
        <f>V14*V18*(V33+V24)*V$38</f>
        <v>37024100.675045937</v>
      </c>
      <c r="W46" s="103">
        <f>W14*W16*(W33+W24)*W$38</f>
        <v>50077208.915999994</v>
      </c>
      <c r="X46" s="103">
        <f>X14*X16*(X33+X24)*X$38</f>
        <v>50077208.915999994</v>
      </c>
      <c r="Y46" s="103">
        <f t="shared" ref="Y46:Z46" si="18">Y14*Y18*(Y33+Y24)*Y$38</f>
        <v>45064731.707999997</v>
      </c>
      <c r="Z46" s="103">
        <f t="shared" si="18"/>
        <v>45064731.707999997</v>
      </c>
      <c r="AA46" s="103">
        <f>AA14*AA16*(AA33+AA24)*AA$38</f>
        <v>61136564.904454149</v>
      </c>
      <c r="AB46" s="103">
        <f>AB14*AB18*(AB33+AB24)*AB$38</f>
        <v>61136564.904454149</v>
      </c>
      <c r="AC46" s="103">
        <f t="shared" ref="AC46:AW46" si="19">AC14*AC18*(AC33+AC24)*AC$38</f>
        <v>78391865.785739362</v>
      </c>
      <c r="AD46" s="103">
        <f t="shared" si="19"/>
        <v>78391865.785739362</v>
      </c>
      <c r="AE46" s="103">
        <f>AE14*AE16*(AE33+AE24)*AE$38</f>
        <v>-17160892.568828676</v>
      </c>
      <c r="AF46" s="103">
        <f>AF14*AF16*(AF33+AF24)*AF$38</f>
        <v>0</v>
      </c>
      <c r="AG46" s="103">
        <f t="shared" si="19"/>
        <v>0</v>
      </c>
      <c r="AH46" s="103">
        <f t="shared" si="19"/>
        <v>0</v>
      </c>
      <c r="AI46" s="103">
        <f>AI14*AI16*(AI33+AI24)*AI$38</f>
        <v>0</v>
      </c>
      <c r="AJ46" s="103">
        <f>AJ14*AJ16*(AJ33+AJ24)*AJ$38</f>
        <v>0</v>
      </c>
      <c r="AK46" s="103">
        <f t="shared" si="19"/>
        <v>0</v>
      </c>
      <c r="AL46" s="103">
        <f t="shared" si="19"/>
        <v>0</v>
      </c>
      <c r="AM46" s="103">
        <f>AM14*AM16*(AM33+AM24)*AM$38</f>
        <v>0</v>
      </c>
      <c r="AN46" s="103">
        <f>AN14*AN16*(AN33+AN24)*AN$38</f>
        <v>0</v>
      </c>
      <c r="AO46" s="103">
        <f t="shared" si="19"/>
        <v>0</v>
      </c>
      <c r="AP46" s="103">
        <f t="shared" si="19"/>
        <v>0</v>
      </c>
      <c r="AQ46" s="103">
        <f>AQ14*AQ16*(AQ33+AQ24)*AQ$38</f>
        <v>0</v>
      </c>
      <c r="AR46" s="103">
        <f>AR14*AR16*(AR33+AR24)*AR$38</f>
        <v>0</v>
      </c>
      <c r="AS46" s="103">
        <f t="shared" si="19"/>
        <v>0</v>
      </c>
      <c r="AT46" s="103">
        <f t="shared" si="19"/>
        <v>0</v>
      </c>
      <c r="AU46" s="103">
        <f>AU14*AU16*(AU33+AU24)*AU$38</f>
        <v>0</v>
      </c>
      <c r="AV46" s="103">
        <f>AV14*AV16*(AV33+AV24)*AV$38</f>
        <v>0</v>
      </c>
      <c r="AW46" s="103">
        <f t="shared" si="19"/>
        <v>0</v>
      </c>
      <c r="AX46" s="58"/>
    </row>
    <row r="47" spans="1:50" s="25" customFormat="1" ht="12.4">
      <c r="A47" s="58"/>
      <c r="B47" s="52" t="s">
        <v>336</v>
      </c>
      <c r="C47" s="258"/>
      <c r="D47" s="52" t="s">
        <v>265</v>
      </c>
      <c r="E47" s="258"/>
      <c r="F47" s="103">
        <f>F15*F16*(F34+F25)*F$38</f>
        <v>0</v>
      </c>
      <c r="G47" s="103">
        <f>G15*G16*(G34+G25)*G$38</f>
        <v>0</v>
      </c>
      <c r="H47" s="103">
        <f>H15*H16*(H34+H25)*H$38</f>
        <v>0</v>
      </c>
      <c r="I47" s="103">
        <f>I15*I18*(I34+I25)*I$38</f>
        <v>2138300.6392832701</v>
      </c>
      <c r="J47" s="26"/>
      <c r="K47" s="103">
        <f>K15*K18*(K34+K25)*K$38</f>
        <v>2138300.6392832701</v>
      </c>
      <c r="L47" s="103">
        <f>L15*L16*(L34+L25)*L$38</f>
        <v>5677605.8678678675</v>
      </c>
      <c r="M47" s="103">
        <f>M15*M18*(M34+M25)*M$38</f>
        <v>11355211.735735735</v>
      </c>
      <c r="N47" s="103">
        <f>N15*N16*(N34+N25)*N$38</f>
        <v>24842754.620060634</v>
      </c>
      <c r="O47" s="103">
        <f>O15*O18*(O34+O25)*O$38</f>
        <v>8975292.2582757212</v>
      </c>
      <c r="P47" s="103">
        <f t="shared" ref="P47:T47" si="20">P15*P16*(P34+P25)*P$38</f>
        <v>8954360.2076639477</v>
      </c>
      <c r="Q47" s="103">
        <f>Q15*Q18*(Q34+Q25)*Q$38</f>
        <v>13613513.661804875</v>
      </c>
      <c r="R47" s="103">
        <f>R15*R16*(R34+R25)*R$38</f>
        <v>16881904.390412372</v>
      </c>
      <c r="S47" s="103">
        <f>S15*S18*(S34+S25)*S$38</f>
        <v>18012311.140175201</v>
      </c>
      <c r="T47" s="103">
        <f t="shared" si="20"/>
        <v>24058723.252766296</v>
      </c>
      <c r="U47" s="103">
        <f>U15*U18*(U34+U25)*U$38</f>
        <v>21696916.166008733</v>
      </c>
      <c r="V47" s="103">
        <f t="shared" ref="V47:Z47" si="21">V15*V18*(V34+V25)*V$38</f>
        <v>21696916.166008733</v>
      </c>
      <c r="W47" s="103">
        <f t="shared" ref="W47:X47" si="22">W15*W16*(W34+W25)*W$38</f>
        <v>29197218.375</v>
      </c>
      <c r="X47" s="103">
        <f t="shared" si="22"/>
        <v>29197218.375</v>
      </c>
      <c r="Y47" s="103">
        <f t="shared" si="21"/>
        <v>26102848.391999997</v>
      </c>
      <c r="Z47" s="103">
        <f t="shared" si="21"/>
        <v>26102848.391999997</v>
      </c>
      <c r="AA47" s="103">
        <f t="shared" ref="AA47" si="23">AA15*AA16*(AA34+AA25)*AA$38</f>
        <v>35374408.468833447</v>
      </c>
      <c r="AB47" s="103">
        <f>AB15*AB18*(AB34+AB25)*AB$38</f>
        <v>35374408.468833447</v>
      </c>
      <c r="AC47" s="103">
        <f t="shared" ref="AC47:AW47" si="24">AC15*AC18*(AC34+AC25)*AC$38</f>
        <v>45720178.347296834</v>
      </c>
      <c r="AD47" s="103">
        <f t="shared" si="24"/>
        <v>45720178.347296834</v>
      </c>
      <c r="AE47" s="103">
        <f t="shared" ref="AE47:AF47" si="25">AE15*AE16*(AE34+AE25)*AE$38</f>
        <v>-9989412.9750844184</v>
      </c>
      <c r="AF47" s="103">
        <f t="shared" si="25"/>
        <v>0</v>
      </c>
      <c r="AG47" s="103">
        <f t="shared" si="24"/>
        <v>0</v>
      </c>
      <c r="AH47" s="103">
        <f t="shared" si="24"/>
        <v>0</v>
      </c>
      <c r="AI47" s="103">
        <f t="shared" ref="AI47:AJ47" si="26">AI15*AI16*(AI34+AI25)*AI$38</f>
        <v>0</v>
      </c>
      <c r="AJ47" s="103">
        <f t="shared" si="26"/>
        <v>0</v>
      </c>
      <c r="AK47" s="103">
        <f t="shared" si="24"/>
        <v>0</v>
      </c>
      <c r="AL47" s="103">
        <f t="shared" si="24"/>
        <v>0</v>
      </c>
      <c r="AM47" s="103">
        <f t="shared" ref="AM47:AN47" si="27">AM15*AM16*(AM34+AM25)*AM$38</f>
        <v>0</v>
      </c>
      <c r="AN47" s="103">
        <f t="shared" si="27"/>
        <v>0</v>
      </c>
      <c r="AO47" s="103">
        <f t="shared" si="24"/>
        <v>0</v>
      </c>
      <c r="AP47" s="103">
        <f t="shared" si="24"/>
        <v>0</v>
      </c>
      <c r="AQ47" s="103">
        <f t="shared" ref="AQ47:AR47" si="28">AQ15*AQ16*(AQ34+AQ25)*AQ$38</f>
        <v>0</v>
      </c>
      <c r="AR47" s="103">
        <f t="shared" si="28"/>
        <v>0</v>
      </c>
      <c r="AS47" s="103">
        <f t="shared" si="24"/>
        <v>0</v>
      </c>
      <c r="AT47" s="103">
        <f t="shared" si="24"/>
        <v>0</v>
      </c>
      <c r="AU47" s="103">
        <f t="shared" ref="AU47:AV47" si="29">AU15*AU16*(AU34+AU25)*AU$38</f>
        <v>0</v>
      </c>
      <c r="AV47" s="103">
        <f t="shared" si="29"/>
        <v>0</v>
      </c>
      <c r="AW47" s="103">
        <f t="shared" si="24"/>
        <v>0</v>
      </c>
      <c r="AX47" s="58"/>
    </row>
    <row r="48" spans="1:50" s="25" customFormat="1" ht="12.4">
      <c r="A48" s="58"/>
      <c r="B48" s="52" t="s">
        <v>337</v>
      </c>
      <c r="C48" s="258"/>
      <c r="D48" s="52" t="s">
        <v>265</v>
      </c>
      <c r="E48" s="258"/>
      <c r="F48" s="103">
        <f>IFERROR(F14*F17*(F35+F26)*F$38,0)</f>
        <v>0</v>
      </c>
      <c r="G48" s="103">
        <f>IFERROR(G14*G19*(G35+G26)*G$38,0)</f>
        <v>0</v>
      </c>
      <c r="H48" s="103">
        <f>IFERROR(H14*H17*(H35+H26)*H$38,0)</f>
        <v>0</v>
      </c>
      <c r="I48" s="103">
        <f>IFERROR(I14*I19*(I35+I26)*I$38,0)</f>
        <v>6012.4535048088346</v>
      </c>
      <c r="J48" s="26">
        <f t="shared" ref="J48:K48" si="30">IFERROR(J14*J19*(J35+J26)*J$38,0)</f>
        <v>0</v>
      </c>
      <c r="K48" s="103">
        <f t="shared" si="30"/>
        <v>6012.4535048088346</v>
      </c>
      <c r="L48" s="103">
        <f>IFERROR(L14*L17*(L35+L26)*L$38,0)</f>
        <v>5864196.1111831833</v>
      </c>
      <c r="M48" s="103">
        <f>IFERROR(M14*M19*(M35+M26)*M$38,0)</f>
        <v>11728392.222366367</v>
      </c>
      <c r="N48" s="103">
        <f>IFERROR(N14*N17*(N35+N26)*N$38,0)</f>
        <v>2934479.6272963006</v>
      </c>
      <c r="O48" s="103">
        <f t="shared" ref="O48" si="31">IFERROR(O14*O19*(O35+O26)*O$38,0)</f>
        <v>1125826.5828721253</v>
      </c>
      <c r="P48" s="103">
        <f t="shared" ref="P48" si="32">IFERROR(P14*P17*(P35+P26)*P$38,0)</f>
        <v>11609370.554448172</v>
      </c>
      <c r="Q48" s="103">
        <f t="shared" ref="Q48" si="33">IFERROR(Q14*Q19*(Q35+Q26)*Q$38,0)</f>
        <v>19081138.116290495</v>
      </c>
      <c r="R48" s="103">
        <f t="shared" ref="R48" si="34">IFERROR(R14*R17*(R35+R26)*R$38,0)</f>
        <v>22657763.9493558</v>
      </c>
      <c r="S48" s="103">
        <f t="shared" ref="S48" si="35">IFERROR(S14*S19*(S35+S26)*S$38,0)</f>
        <v>24234916.716774855</v>
      </c>
      <c r="T48" s="103">
        <f t="shared" ref="T48" si="36">IFERROR(T14*T17*(T35+T26)*T$38,0)</f>
        <v>41651229.495707035</v>
      </c>
      <c r="U48" s="103">
        <f t="shared" ref="U48" si="37">IFERROR(U14*U19*(U35+U26)*U$38,0)</f>
        <v>29674797.694741227</v>
      </c>
      <c r="V48" s="103">
        <f t="shared" ref="V48:Z48" si="38">IFERROR(V14*V19*(V35+V26)*V$38,0)</f>
        <v>29674797.694741227</v>
      </c>
      <c r="W48" s="103">
        <f t="shared" ref="W48:X48" si="39">IFERROR(W14*W17*(W35+W26)*W$38,0)</f>
        <v>37346367.017999999</v>
      </c>
      <c r="X48" s="103">
        <f t="shared" si="39"/>
        <v>37346367.017999999</v>
      </c>
      <c r="Y48" s="103">
        <f t="shared" si="38"/>
        <v>33658305.840000004</v>
      </c>
      <c r="Z48" s="103">
        <f t="shared" si="38"/>
        <v>33658305.840000004</v>
      </c>
      <c r="AA48" s="103">
        <f t="shared" ref="AA48" si="40">IFERROR(AA14*AA17*(AA35+AA26)*AA$38,0)</f>
        <v>47628924.551545858</v>
      </c>
      <c r="AB48" s="103">
        <f>IFERROR(AB14*AB19*(AB35+AB26)*AB$38,0)</f>
        <v>47628924.551545858</v>
      </c>
      <c r="AC48" s="103">
        <f t="shared" ref="AC48:AW48" si="41">IFERROR(AC14*AC19*(AC35+AC26)*AC$38,0)</f>
        <v>61071803.213004313</v>
      </c>
      <c r="AD48" s="103">
        <f t="shared" si="41"/>
        <v>61071803.213004313</v>
      </c>
      <c r="AE48" s="103">
        <f t="shared" ref="AE48:AF48" si="42">IFERROR(AE14*AE17*(AE35+AE26)*AE$38,0)</f>
        <v>122514404.50482866</v>
      </c>
      <c r="AF48" s="103">
        <f t="shared" si="42"/>
        <v>0</v>
      </c>
      <c r="AG48" s="103">
        <f t="shared" si="41"/>
        <v>0</v>
      </c>
      <c r="AH48" s="103">
        <f t="shared" si="41"/>
        <v>0</v>
      </c>
      <c r="AI48" s="103">
        <f t="shared" ref="AI48:AJ48" si="43">IFERROR(AI14*AI17*(AI35+AI26)*AI$38,0)</f>
        <v>0</v>
      </c>
      <c r="AJ48" s="103">
        <f t="shared" si="43"/>
        <v>0</v>
      </c>
      <c r="AK48" s="103">
        <f t="shared" si="41"/>
        <v>0</v>
      </c>
      <c r="AL48" s="103">
        <f t="shared" si="41"/>
        <v>0</v>
      </c>
      <c r="AM48" s="103">
        <f t="shared" ref="AM48:AN48" si="44">IFERROR(AM14*AM17*(AM35+AM26)*AM$38,0)</f>
        <v>0</v>
      </c>
      <c r="AN48" s="103">
        <f t="shared" si="44"/>
        <v>0</v>
      </c>
      <c r="AO48" s="103">
        <f t="shared" si="41"/>
        <v>0</v>
      </c>
      <c r="AP48" s="103">
        <f t="shared" si="41"/>
        <v>0</v>
      </c>
      <c r="AQ48" s="103">
        <f t="shared" ref="AQ48:AR48" si="45">IFERROR(AQ14*AQ17*(AQ35+AQ26)*AQ$38,0)</f>
        <v>0</v>
      </c>
      <c r="AR48" s="103">
        <f t="shared" si="45"/>
        <v>0</v>
      </c>
      <c r="AS48" s="103">
        <f t="shared" si="41"/>
        <v>0</v>
      </c>
      <c r="AT48" s="103">
        <f t="shared" si="41"/>
        <v>0</v>
      </c>
      <c r="AU48" s="103">
        <f t="shared" ref="AU48:AV48" si="46">IFERROR(AU14*AU17*(AU35+AU26)*AU$38,0)</f>
        <v>0</v>
      </c>
      <c r="AV48" s="103">
        <f t="shared" si="46"/>
        <v>0</v>
      </c>
      <c r="AW48" s="103">
        <f t="shared" si="41"/>
        <v>0</v>
      </c>
      <c r="AX48" s="58"/>
    </row>
    <row r="49" spans="1:50" s="25" customFormat="1" ht="12.4">
      <c r="A49" s="58"/>
      <c r="B49" s="52" t="s">
        <v>338</v>
      </c>
      <c r="C49" s="258"/>
      <c r="D49" s="52" t="s">
        <v>265</v>
      </c>
      <c r="E49" s="258"/>
      <c r="F49" s="103">
        <f>IFERROR(F15*F17*(F36+F27)*F$38,0)</f>
        <v>0</v>
      </c>
      <c r="G49" s="103">
        <f>IFERROR(G15*G17*(G36+G27)*G$38,0)</f>
        <v>0</v>
      </c>
      <c r="H49" s="103">
        <f>IFERROR(H15*H17*(H36+H27)*H$38,0)</f>
        <v>0</v>
      </c>
      <c r="I49" s="103">
        <f>IFERROR(I15*I19*(I36+I27)*I$38,0)</f>
        <v>4076.6798487309889</v>
      </c>
      <c r="J49" s="26">
        <f t="shared" ref="J49:K49" si="47">IFERROR(J15*J19*(J36+J27)*J$38,0)</f>
        <v>0</v>
      </c>
      <c r="K49" s="103">
        <f t="shared" si="47"/>
        <v>4076.6798487309889</v>
      </c>
      <c r="L49" s="103">
        <f>IFERROR(L15*L17*(L36+L27)*L$38,0)</f>
        <v>3979223.7323963968</v>
      </c>
      <c r="M49" s="103">
        <f t="shared" ref="M49" si="48">IFERROR(M15*M19*(M36+M27)*M$38,0)</f>
        <v>7958447.4647927936</v>
      </c>
      <c r="N49" s="103">
        <f>IFERROR(N15*N17*(N36+N27)*N$38,0)</f>
        <v>1993883.0962105694</v>
      </c>
      <c r="O49" s="103">
        <f t="shared" ref="O49" si="49">IFERROR(O15*O19*(O36+O27)*O$38,0)</f>
        <v>720358.26103095268</v>
      </c>
      <c r="P49" s="103">
        <f t="shared" ref="P49" si="50">IFERROR(P15*P17*(P36+P27)*P$38,0)</f>
        <v>7398941.5056177247</v>
      </c>
      <c r="Q49" s="103">
        <f t="shared" ref="Q49" si="51">IFERROR(Q15*Q19*(Q36+Q27)*Q$38,0)</f>
        <v>11248775.896173131</v>
      </c>
      <c r="R49" s="103">
        <f t="shared" ref="R49" si="52">IFERROR(R15*R17*(R36+R27)*R$38,0)</f>
        <v>13291881.715600351</v>
      </c>
      <c r="S49" s="103">
        <f t="shared" ref="S49" si="53">IFERROR(S15*S19*(S36+S27)*S$38,0)</f>
        <v>14181901.731167845</v>
      </c>
      <c r="T49" s="103">
        <f t="shared" ref="T49" si="54">IFERROR(T15*T17*(T36+T27)*T$38,0)</f>
        <v>24372475.123425029</v>
      </c>
      <c r="U49" s="103">
        <f t="shared" ref="U49" si="55">IFERROR(U15*U19*(U36+U27)*U$38,0)</f>
        <v>17397584.174897887</v>
      </c>
      <c r="V49" s="103">
        <f t="shared" ref="V49:Z49" si="56">IFERROR(V15*V19*(V36+V27)*V$38,0)</f>
        <v>17397584.174897887</v>
      </c>
      <c r="W49" s="103">
        <f t="shared" ref="W49:X49" si="57">IFERROR(W15*W17*(W36+W27)*W$38,0)</f>
        <v>21800589.719999999</v>
      </c>
      <c r="X49" s="103">
        <f t="shared" si="57"/>
        <v>21800589.719999999</v>
      </c>
      <c r="Y49" s="103">
        <f t="shared" si="56"/>
        <v>19468975.32</v>
      </c>
      <c r="Z49" s="103">
        <f t="shared" si="56"/>
        <v>19468975.32</v>
      </c>
      <c r="AA49" s="103">
        <f t="shared" ref="AA49" si="58">IFERROR(AA15*AA17*(AA36+AA27)*AA$38,0)</f>
        <v>27558712.771166556</v>
      </c>
      <c r="AB49" s="103">
        <f>IFERROR(AB15*AB19*(AB36+AB27)*AB$38,0)</f>
        <v>27558712.771166556</v>
      </c>
      <c r="AC49" s="103">
        <f t="shared" ref="AC49:AW49" si="59">IFERROR(AC15*AC19*(AC36+AC27)*AC$38,0)</f>
        <v>35618666.642292343</v>
      </c>
      <c r="AD49" s="103">
        <f t="shared" si="59"/>
        <v>35618666.642292343</v>
      </c>
      <c r="AE49" s="103">
        <f t="shared" ref="AE49:AF49" si="60">IFERROR(AE15*AE17*(AE36+AE27)*AE$38,0)</f>
        <v>71316044.727084413</v>
      </c>
      <c r="AF49" s="103">
        <f t="shared" si="60"/>
        <v>0</v>
      </c>
      <c r="AG49" s="103">
        <f t="shared" si="59"/>
        <v>0</v>
      </c>
      <c r="AH49" s="103">
        <f t="shared" si="59"/>
        <v>0</v>
      </c>
      <c r="AI49" s="103">
        <f t="shared" ref="AI49:AJ49" si="61">IFERROR(AI15*AI17*(AI36+AI27)*AI$38,0)</f>
        <v>0</v>
      </c>
      <c r="AJ49" s="103">
        <f t="shared" si="61"/>
        <v>0</v>
      </c>
      <c r="AK49" s="103">
        <f t="shared" si="59"/>
        <v>0</v>
      </c>
      <c r="AL49" s="103">
        <f t="shared" si="59"/>
        <v>0</v>
      </c>
      <c r="AM49" s="103">
        <f t="shared" ref="AM49:AN49" si="62">IFERROR(AM15*AM17*(AM36+AM27)*AM$38,0)</f>
        <v>0</v>
      </c>
      <c r="AN49" s="103">
        <f t="shared" si="62"/>
        <v>0</v>
      </c>
      <c r="AO49" s="103">
        <f t="shared" si="59"/>
        <v>0</v>
      </c>
      <c r="AP49" s="103">
        <f t="shared" si="59"/>
        <v>0</v>
      </c>
      <c r="AQ49" s="103">
        <f t="shared" ref="AQ49:AR49" si="63">IFERROR(AQ15*AQ17*(AQ36+AQ27)*AQ$38,0)</f>
        <v>0</v>
      </c>
      <c r="AR49" s="103">
        <f t="shared" si="63"/>
        <v>0</v>
      </c>
      <c r="AS49" s="103">
        <f t="shared" si="59"/>
        <v>0</v>
      </c>
      <c r="AT49" s="103">
        <f t="shared" si="59"/>
        <v>0</v>
      </c>
      <c r="AU49" s="103">
        <f t="shared" ref="AU49:AV49" si="64">IFERROR(AU15*AU17*(AU36+AU27)*AU$38,0)</f>
        <v>0</v>
      </c>
      <c r="AV49" s="103">
        <f t="shared" si="64"/>
        <v>0</v>
      </c>
      <c r="AW49" s="103">
        <f t="shared" si="59"/>
        <v>0</v>
      </c>
      <c r="AX49" s="58"/>
    </row>
    <row r="50" spans="1:50" s="25" customFormat="1" ht="12.4">
      <c r="A50" s="58"/>
      <c r="B50" s="52" t="s">
        <v>339</v>
      </c>
      <c r="C50" s="258"/>
      <c r="D50" s="52" t="s">
        <v>265</v>
      </c>
      <c r="E50" s="258"/>
      <c r="F50" s="103">
        <f t="shared" ref="F50:I51" si="65">IFERROR((F$28+F$37)*F40,0)</f>
        <v>3090947.3440395305</v>
      </c>
      <c r="G50" s="103">
        <f t="shared" si="65"/>
        <v>3090947.3440395305</v>
      </c>
      <c r="H50" s="103">
        <f t="shared" si="65"/>
        <v>5151578.9067325508</v>
      </c>
      <c r="I50" s="103">
        <f t="shared" si="65"/>
        <v>5151578.9067325508</v>
      </c>
      <c r="J50" s="26"/>
      <c r="K50" s="103">
        <f t="shared" ref="K50:T50" si="66">IFERROR((K$28+K$37)*K40,0)</f>
        <v>5151578.9067325508</v>
      </c>
      <c r="L50" s="103">
        <f>IFERROR((L$28+L$37)*L40,0)</f>
        <v>2599612.7968717054</v>
      </c>
      <c r="M50" s="103">
        <f>IFERROR((M$28+M$37)*M40,0)</f>
        <v>2599612.7968717054</v>
      </c>
      <c r="N50" s="103">
        <f>IFERROR((N$28+N$37)*N40,0)</f>
        <v>1890621.7311093784</v>
      </c>
      <c r="O50" s="103">
        <f>IFERROR((O$28+O$37)*O40,0)</f>
        <v>1890621.7311093784</v>
      </c>
      <c r="P50" s="103">
        <f t="shared" si="66"/>
        <v>2501045.2961672475</v>
      </c>
      <c r="Q50" s="103">
        <f>IFERROR((Q$28+Q$37)*Q40,0)</f>
        <v>2501045.2961672475</v>
      </c>
      <c r="R50" s="103">
        <f t="shared" si="66"/>
        <v>2017028.8899770235</v>
      </c>
      <c r="S50" s="103">
        <f>IFERROR((S$28+S$37)*S40,0)</f>
        <v>2017028.8899770235</v>
      </c>
      <c r="T50" s="103">
        <f t="shared" si="66"/>
        <v>3653168.270578343</v>
      </c>
      <c r="U50" s="103">
        <f>IFERROR((U$28+U$37)*U40,0)</f>
        <v>3653168.270578343</v>
      </c>
      <c r="V50" s="103">
        <f t="shared" ref="V50:AW51" si="67">IFERROR((V$28+V$37)*V40,0)</f>
        <v>3653168.270578343</v>
      </c>
      <c r="W50" s="103">
        <f t="shared" si="67"/>
        <v>2767722.9718380831</v>
      </c>
      <c r="X50" s="103">
        <f t="shared" si="67"/>
        <v>2767722.9718380831</v>
      </c>
      <c r="Y50" s="103">
        <f t="shared" si="67"/>
        <v>2767722.9718380831</v>
      </c>
      <c r="Z50" s="103">
        <f t="shared" si="67"/>
        <v>2767722.9718380831</v>
      </c>
      <c r="AA50" s="103">
        <f t="shared" si="67"/>
        <v>2497938.5655387589</v>
      </c>
      <c r="AB50" s="103">
        <f>IFERROR((AB$28+AB$37)*AB40,0)</f>
        <v>2497960.7934218636</v>
      </c>
      <c r="AC50" s="103">
        <f t="shared" si="67"/>
        <v>2497960.7934218636</v>
      </c>
      <c r="AD50" s="103">
        <f t="shared" si="67"/>
        <v>2497960.7934218636</v>
      </c>
      <c r="AE50" s="103">
        <f t="shared" si="67"/>
        <v>3149056.9164988962</v>
      </c>
      <c r="AF50" s="103">
        <f t="shared" si="67"/>
        <v>0</v>
      </c>
      <c r="AG50" s="103">
        <f t="shared" si="67"/>
        <v>0</v>
      </c>
      <c r="AH50" s="103">
        <f t="shared" si="67"/>
        <v>0</v>
      </c>
      <c r="AI50" s="103">
        <f t="shared" si="67"/>
        <v>0</v>
      </c>
      <c r="AJ50" s="103">
        <f t="shared" si="67"/>
        <v>0</v>
      </c>
      <c r="AK50" s="103">
        <f t="shared" si="67"/>
        <v>0</v>
      </c>
      <c r="AL50" s="103">
        <f t="shared" si="67"/>
        <v>0</v>
      </c>
      <c r="AM50" s="103">
        <f t="shared" si="67"/>
        <v>0</v>
      </c>
      <c r="AN50" s="103">
        <f t="shared" si="67"/>
        <v>0</v>
      </c>
      <c r="AO50" s="103">
        <f t="shared" si="67"/>
        <v>0</v>
      </c>
      <c r="AP50" s="103">
        <f t="shared" si="67"/>
        <v>0</v>
      </c>
      <c r="AQ50" s="103">
        <f t="shared" si="67"/>
        <v>0</v>
      </c>
      <c r="AR50" s="103">
        <f t="shared" si="67"/>
        <v>0</v>
      </c>
      <c r="AS50" s="103">
        <f t="shared" si="67"/>
        <v>0</v>
      </c>
      <c r="AT50" s="103">
        <f t="shared" si="67"/>
        <v>0</v>
      </c>
      <c r="AU50" s="103">
        <f t="shared" si="67"/>
        <v>0</v>
      </c>
      <c r="AV50" s="103">
        <f t="shared" si="67"/>
        <v>0</v>
      </c>
      <c r="AW50" s="103">
        <f t="shared" si="67"/>
        <v>0</v>
      </c>
      <c r="AX50" s="58"/>
    </row>
    <row r="51" spans="1:50" s="25" customFormat="1" ht="12.4">
      <c r="A51" s="58"/>
      <c r="B51" s="52" t="s">
        <v>340</v>
      </c>
      <c r="C51" s="258"/>
      <c r="D51" s="52" t="s">
        <v>265</v>
      </c>
      <c r="E51" s="258"/>
      <c r="F51" s="103">
        <f t="shared" si="65"/>
        <v>2609052.6559604695</v>
      </c>
      <c r="G51" s="103">
        <f t="shared" si="65"/>
        <v>2609052.6559604695</v>
      </c>
      <c r="H51" s="103">
        <f t="shared" si="65"/>
        <v>4348421.0932674492</v>
      </c>
      <c r="I51" s="103">
        <f t="shared" si="65"/>
        <v>4348421.0932674492</v>
      </c>
      <c r="J51" s="26"/>
      <c r="K51" s="103">
        <f t="shared" ref="K51:T51" si="68">IFERROR((K$28+K$37)*K41,0)</f>
        <v>4348421.0932674492</v>
      </c>
      <c r="L51" s="103">
        <f t="shared" si="68"/>
        <v>2200387.2031282946</v>
      </c>
      <c r="M51" s="103">
        <f>IFERROR((M$28+M$37)*M41,0)</f>
        <v>2200387.2031282946</v>
      </c>
      <c r="N51" s="103">
        <f>IFERROR((N$28+N$37)*N41,0)</f>
        <v>1609378.2688906218</v>
      </c>
      <c r="O51" s="103">
        <f>IFERROR((O$28+O$37)*O41,0)</f>
        <v>1609378.2688906218</v>
      </c>
      <c r="P51" s="103">
        <f t="shared" si="68"/>
        <v>2098954.7038327525</v>
      </c>
      <c r="Q51" s="103">
        <f>IFERROR((Q$28+Q$37)*Q41,0)</f>
        <v>2098954.7038327525</v>
      </c>
      <c r="R51" s="103">
        <f t="shared" si="68"/>
        <v>1682971.1100229765</v>
      </c>
      <c r="S51" s="103">
        <f>IFERROR((S$28+S$37)*S41,0)</f>
        <v>1682971.1100229765</v>
      </c>
      <c r="T51" s="103">
        <f t="shared" si="68"/>
        <v>3046831.7294216575</v>
      </c>
      <c r="U51" s="103">
        <f>IFERROR((U$28+U$37)*U41,0)</f>
        <v>3046831.7294216575</v>
      </c>
      <c r="V51" s="103">
        <f t="shared" ref="V51:Z51" si="69">IFERROR((V$28+V$37)*V41,0)</f>
        <v>3046831.7294216575</v>
      </c>
      <c r="W51" s="103">
        <f t="shared" si="69"/>
        <v>2332277.0281619169</v>
      </c>
      <c r="X51" s="103">
        <f t="shared" si="69"/>
        <v>2332277.0281619169</v>
      </c>
      <c r="Y51" s="103">
        <f t="shared" si="69"/>
        <v>2332277.0281619169</v>
      </c>
      <c r="Z51" s="103">
        <f t="shared" si="69"/>
        <v>2332277.0281619169</v>
      </c>
      <c r="AA51" s="103">
        <f t="shared" si="67"/>
        <v>2102061.4344612411</v>
      </c>
      <c r="AB51" s="103">
        <f>IFERROR((AB$28+AB$37)*AB41,0)</f>
        <v>2102039.2065781364</v>
      </c>
      <c r="AC51" s="103">
        <f t="shared" si="67"/>
        <v>2102039.2065781364</v>
      </c>
      <c r="AD51" s="103">
        <f t="shared" si="67"/>
        <v>2102039.2065781364</v>
      </c>
      <c r="AE51" s="103">
        <f t="shared" si="67"/>
        <v>2650943.0835011038</v>
      </c>
      <c r="AF51" s="103">
        <f t="shared" si="67"/>
        <v>0</v>
      </c>
      <c r="AG51" s="103">
        <f t="shared" si="67"/>
        <v>0</v>
      </c>
      <c r="AH51" s="103">
        <f t="shared" si="67"/>
        <v>0</v>
      </c>
      <c r="AI51" s="103">
        <f t="shared" si="67"/>
        <v>0</v>
      </c>
      <c r="AJ51" s="103">
        <f t="shared" si="67"/>
        <v>0</v>
      </c>
      <c r="AK51" s="103">
        <f t="shared" si="67"/>
        <v>0</v>
      </c>
      <c r="AL51" s="103">
        <f t="shared" si="67"/>
        <v>0</v>
      </c>
      <c r="AM51" s="103">
        <f t="shared" si="67"/>
        <v>0</v>
      </c>
      <c r="AN51" s="103">
        <f t="shared" si="67"/>
        <v>0</v>
      </c>
      <c r="AO51" s="103">
        <f t="shared" si="67"/>
        <v>0</v>
      </c>
      <c r="AP51" s="103">
        <f t="shared" si="67"/>
        <v>0</v>
      </c>
      <c r="AQ51" s="103">
        <f t="shared" si="67"/>
        <v>0</v>
      </c>
      <c r="AR51" s="103">
        <f t="shared" si="67"/>
        <v>0</v>
      </c>
      <c r="AS51" s="103">
        <f t="shared" si="67"/>
        <v>0</v>
      </c>
      <c r="AT51" s="103">
        <f t="shared" si="67"/>
        <v>0</v>
      </c>
      <c r="AU51" s="103">
        <f t="shared" si="67"/>
        <v>0</v>
      </c>
      <c r="AV51" s="103">
        <f t="shared" si="67"/>
        <v>0</v>
      </c>
      <c r="AW51" s="103">
        <f t="shared" si="67"/>
        <v>0</v>
      </c>
      <c r="AX51" s="58"/>
    </row>
    <row r="52" spans="1:50" s="25" customFormat="1" ht="12.4">
      <c r="A52" s="58"/>
      <c r="B52" s="52" t="s">
        <v>341</v>
      </c>
      <c r="C52" s="258"/>
      <c r="D52" s="52" t="s">
        <v>265</v>
      </c>
      <c r="E52" s="258"/>
      <c r="F52" s="103">
        <f t="shared" ref="F52:I53" si="70">IFERROR(F42+F44+F46+F50,0)</f>
        <v>165923771.34403953</v>
      </c>
      <c r="G52" s="103">
        <f t="shared" si="70"/>
        <v>162552491.34403953</v>
      </c>
      <c r="H52" s="103">
        <f t="shared" si="70"/>
        <v>236421386.90673256</v>
      </c>
      <c r="I52" s="103">
        <f t="shared" si="70"/>
        <v>240249104.25663784</v>
      </c>
      <c r="J52" s="26"/>
      <c r="K52" s="103">
        <f t="shared" ref="K52:L52" si="71">IFERROR(K42+K44+K46+K50,0)</f>
        <v>240249104.25663784</v>
      </c>
      <c r="L52" s="103">
        <f t="shared" si="71"/>
        <v>313756484.96503991</v>
      </c>
      <c r="M52" s="103">
        <f>IFERROR(M42+M44+M46+M48+M50,0)</f>
        <v>311155669.35557443</v>
      </c>
      <c r="N52" s="103">
        <f>IFERROR(N42+N44+N46+N48+N50,0)</f>
        <v>388038760.0648545</v>
      </c>
      <c r="O52" s="103">
        <f t="shared" ref="O52:T52" si="72">IFERROR(O42+O44+O46+O48+O50,0)</f>
        <v>363674545.73889375</v>
      </c>
      <c r="P52" s="103">
        <f t="shared" si="72"/>
        <v>358270239.40407717</v>
      </c>
      <c r="Q52" s="103">
        <f t="shared" si="72"/>
        <v>374119072.47302365</v>
      </c>
      <c r="R52" s="103">
        <f t="shared" si="72"/>
        <v>379610168.4259612</v>
      </c>
      <c r="S52" s="103">
        <f t="shared" si="72"/>
        <v>384579468.70229381</v>
      </c>
      <c r="T52" s="103">
        <f t="shared" si="72"/>
        <v>422631208.95911092</v>
      </c>
      <c r="U52" s="103">
        <f t="shared" ref="U52" si="73">IFERROR(U42+U44+U46+U48+U50,0)</f>
        <v>408945182.64036554</v>
      </c>
      <c r="V52" s="103">
        <f t="shared" ref="V52:AW53" si="74">IFERROR(V42+V44+V46+V48+V50,0)</f>
        <v>408945182.64036554</v>
      </c>
      <c r="W52" s="103">
        <f t="shared" si="74"/>
        <v>431113494.90583807</v>
      </c>
      <c r="X52" s="103">
        <f t="shared" si="74"/>
        <v>431113494.90583807</v>
      </c>
      <c r="Y52" s="103">
        <f t="shared" si="74"/>
        <v>422412956.51983804</v>
      </c>
      <c r="Z52" s="103">
        <f t="shared" si="74"/>
        <v>422412956.51983804</v>
      </c>
      <c r="AA52" s="103">
        <f t="shared" si="74"/>
        <v>443195908.02153879</v>
      </c>
      <c r="AB52" s="103">
        <f>IFERROR(AB42+AB44+AB46+AB48+AB50,0)</f>
        <v>450563667.59342188</v>
      </c>
      <c r="AC52" s="103">
        <f t="shared" si="74"/>
        <v>481261847.1361655</v>
      </c>
      <c r="AD52" s="103">
        <f t="shared" si="74"/>
        <v>481261847.1361655</v>
      </c>
      <c r="AE52" s="103">
        <f t="shared" si="74"/>
        <v>456761457.06849885</v>
      </c>
      <c r="AF52" s="103">
        <f t="shared" si="74"/>
        <v>0</v>
      </c>
      <c r="AG52" s="103">
        <f t="shared" si="74"/>
        <v>0</v>
      </c>
      <c r="AH52" s="103">
        <f t="shared" si="74"/>
        <v>0</v>
      </c>
      <c r="AI52" s="103">
        <f t="shared" si="74"/>
        <v>0</v>
      </c>
      <c r="AJ52" s="103">
        <f t="shared" si="74"/>
        <v>0</v>
      </c>
      <c r="AK52" s="103">
        <f t="shared" si="74"/>
        <v>0</v>
      </c>
      <c r="AL52" s="103">
        <f t="shared" si="74"/>
        <v>0</v>
      </c>
      <c r="AM52" s="103">
        <f t="shared" si="74"/>
        <v>0</v>
      </c>
      <c r="AN52" s="103">
        <f t="shared" si="74"/>
        <v>0</v>
      </c>
      <c r="AO52" s="103">
        <f t="shared" si="74"/>
        <v>0</v>
      </c>
      <c r="AP52" s="103">
        <f t="shared" si="74"/>
        <v>0</v>
      </c>
      <c r="AQ52" s="103">
        <f t="shared" si="74"/>
        <v>0</v>
      </c>
      <c r="AR52" s="103">
        <f t="shared" si="74"/>
        <v>0</v>
      </c>
      <c r="AS52" s="103">
        <f t="shared" si="74"/>
        <v>0</v>
      </c>
      <c r="AT52" s="103">
        <f t="shared" si="74"/>
        <v>0</v>
      </c>
      <c r="AU52" s="103">
        <f t="shared" si="74"/>
        <v>0</v>
      </c>
      <c r="AV52" s="103">
        <f t="shared" si="74"/>
        <v>0</v>
      </c>
      <c r="AW52" s="103">
        <f t="shared" si="74"/>
        <v>0</v>
      </c>
      <c r="AX52" s="58"/>
    </row>
    <row r="53" spans="1:50" s="25" customFormat="1" ht="12.4">
      <c r="A53" s="58"/>
      <c r="B53" s="52" t="s">
        <v>342</v>
      </c>
      <c r="C53" s="258"/>
      <c r="D53" s="52" t="s">
        <v>265</v>
      </c>
      <c r="E53" s="258"/>
      <c r="F53" s="103">
        <f t="shared" si="70"/>
        <v>107330076.65596047</v>
      </c>
      <c r="G53" s="103">
        <f t="shared" si="70"/>
        <v>105053532.65596046</v>
      </c>
      <c r="H53" s="103">
        <f t="shared" si="70"/>
        <v>154315757.09326744</v>
      </c>
      <c r="I53" s="103">
        <f t="shared" si="70"/>
        <v>157023193.73255071</v>
      </c>
      <c r="J53" s="26"/>
      <c r="K53" s="103">
        <f t="shared" ref="K53:L53" si="75">IFERROR(K43+K45+K47+K51,0)</f>
        <v>157023193.73255071</v>
      </c>
      <c r="L53" s="103">
        <f t="shared" si="75"/>
        <v>208190033.07099617</v>
      </c>
      <c r="M53" s="103">
        <f>IFERROR(M43+M45+M47+M49+M51,0)</f>
        <v>203172386.40365684</v>
      </c>
      <c r="N53" s="103">
        <f>IFERROR(N43+N45+N47+N49+N51,0)</f>
        <v>253872363.98516181</v>
      </c>
      <c r="O53" s="103">
        <f t="shared" ref="O53:T53" si="76">IFERROR(O43+O45+O47+O49+O51,0)</f>
        <v>237021500.78819728</v>
      </c>
      <c r="P53" s="103">
        <f t="shared" si="76"/>
        <v>230689824.41711441</v>
      </c>
      <c r="Q53" s="103">
        <f t="shared" si="76"/>
        <v>238620508.26181072</v>
      </c>
      <c r="R53" s="103">
        <f t="shared" si="76"/>
        <v>239080917.21603563</v>
      </c>
      <c r="S53" s="103">
        <f t="shared" si="76"/>
        <v>241970815.98136598</v>
      </c>
      <c r="T53" s="103">
        <f t="shared" si="76"/>
        <v>265829518.10561299</v>
      </c>
      <c r="U53" s="103">
        <f t="shared" ref="U53" si="77">IFERROR(U43+U45+U47+U49+U51,0)</f>
        <v>257952980.07032827</v>
      </c>
      <c r="V53" s="103">
        <f t="shared" ref="V53:Z53" si="78">IFERROR(V43+V45+V47+V49+V51,0)</f>
        <v>257952980.07032827</v>
      </c>
      <c r="W53" s="103">
        <f t="shared" si="78"/>
        <v>272983941.12316197</v>
      </c>
      <c r="X53" s="103">
        <f t="shared" si="78"/>
        <v>272983941.12316197</v>
      </c>
      <c r="Y53" s="103">
        <f t="shared" si="78"/>
        <v>267557956.7401619</v>
      </c>
      <c r="Z53" s="103">
        <f t="shared" si="78"/>
        <v>267557956.7401619</v>
      </c>
      <c r="AA53" s="103">
        <f t="shared" si="74"/>
        <v>277926294.67446125</v>
      </c>
      <c r="AB53" s="103">
        <f>IFERROR(AB43+AB45+AB47+AB49+AB51,0)</f>
        <v>282645910.59457815</v>
      </c>
      <c r="AC53" s="103">
        <f t="shared" si="74"/>
        <v>301051634.34416729</v>
      </c>
      <c r="AD53" s="103">
        <f t="shared" si="74"/>
        <v>301051634.34416729</v>
      </c>
      <c r="AE53" s="103">
        <f t="shared" si="74"/>
        <v>287784109.31550109</v>
      </c>
      <c r="AF53" s="103">
        <f t="shared" si="74"/>
        <v>0</v>
      </c>
      <c r="AG53" s="103">
        <f t="shared" si="74"/>
        <v>0</v>
      </c>
      <c r="AH53" s="103">
        <f t="shared" si="74"/>
        <v>0</v>
      </c>
      <c r="AI53" s="103">
        <f t="shared" si="74"/>
        <v>0</v>
      </c>
      <c r="AJ53" s="103">
        <f t="shared" si="74"/>
        <v>0</v>
      </c>
      <c r="AK53" s="103">
        <f t="shared" si="74"/>
        <v>0</v>
      </c>
      <c r="AL53" s="103">
        <f t="shared" si="74"/>
        <v>0</v>
      </c>
      <c r="AM53" s="103">
        <f t="shared" si="74"/>
        <v>0</v>
      </c>
      <c r="AN53" s="103">
        <f t="shared" si="74"/>
        <v>0</v>
      </c>
      <c r="AO53" s="103">
        <f t="shared" si="74"/>
        <v>0</v>
      </c>
      <c r="AP53" s="103">
        <f t="shared" si="74"/>
        <v>0</v>
      </c>
      <c r="AQ53" s="103">
        <f t="shared" si="74"/>
        <v>0</v>
      </c>
      <c r="AR53" s="103">
        <f t="shared" si="74"/>
        <v>0</v>
      </c>
      <c r="AS53" s="103">
        <f t="shared" si="74"/>
        <v>0</v>
      </c>
      <c r="AT53" s="103">
        <f t="shared" si="74"/>
        <v>0</v>
      </c>
      <c r="AU53" s="103">
        <f t="shared" si="74"/>
        <v>0</v>
      </c>
      <c r="AV53" s="103">
        <f t="shared" si="74"/>
        <v>0</v>
      </c>
      <c r="AW53" s="103">
        <f t="shared" si="74"/>
        <v>0</v>
      </c>
      <c r="AX53" s="58"/>
    </row>
    <row r="54" spans="1:50" s="25" customFormat="1" ht="12.4">
      <c r="A54" s="58"/>
      <c r="B54" s="52" t="s">
        <v>343</v>
      </c>
      <c r="C54" s="258"/>
      <c r="D54" s="52" t="s">
        <v>265</v>
      </c>
      <c r="E54" s="258"/>
      <c r="F54" s="103">
        <f t="shared" ref="F54:I55" si="79">IFERROR(F52/F12,0)</f>
        <v>5.9060216182828906</v>
      </c>
      <c r="G54" s="103">
        <f t="shared" si="79"/>
        <v>5.7860216182828905</v>
      </c>
      <c r="H54" s="103">
        <f t="shared" si="79"/>
        <v>8.4153693638048175</v>
      </c>
      <c r="I54" s="103">
        <f t="shared" si="79"/>
        <v>8.5516161549312244</v>
      </c>
      <c r="J54" s="26"/>
      <c r="K54" s="103">
        <f t="shared" ref="K54:T54" si="80">IFERROR(K52/K12,0)</f>
        <v>8.5516161549312244</v>
      </c>
      <c r="L54" s="103">
        <f t="shared" si="80"/>
        <v>11.104851878142561</v>
      </c>
      <c r="M54" s="103">
        <f t="shared" ref="M54:O55" si="81">IFERROR(M52/M12,0)</f>
        <v>11.012800642584216</v>
      </c>
      <c r="N54" s="103">
        <f t="shared" si="81"/>
        <v>13.662374482953824</v>
      </c>
      <c r="O54" s="103">
        <f t="shared" si="81"/>
        <v>12.80454002319885</v>
      </c>
      <c r="P54" s="103">
        <f t="shared" si="80"/>
        <v>12.478066292981234</v>
      </c>
      <c r="Q54" s="103">
        <f>IFERROR(Q52/Q12,0)</f>
        <v>13.030059643111718</v>
      </c>
      <c r="R54" s="103">
        <f t="shared" si="80"/>
        <v>13.114425773024294</v>
      </c>
      <c r="S54" s="103">
        <f>IFERROR(S52/S12,0)</f>
        <v>13.286100625381531</v>
      </c>
      <c r="T54" s="103">
        <f t="shared" si="80"/>
        <v>14.484088178454057</v>
      </c>
      <c r="U54" s="103">
        <f>IFERROR(U52/U12,0)</f>
        <v>14.015051325966125</v>
      </c>
      <c r="V54" s="103">
        <f t="shared" ref="V54:AW55" si="82">IFERROR(V52/V12,0)</f>
        <v>14.015051325966125</v>
      </c>
      <c r="W54" s="103">
        <f t="shared" si="82"/>
        <v>14.825595615593317</v>
      </c>
      <c r="X54" s="103">
        <f t="shared" si="82"/>
        <v>14.825595615593317</v>
      </c>
      <c r="Y54" s="103">
        <f t="shared" si="82"/>
        <v>14.526392122144435</v>
      </c>
      <c r="Z54" s="103">
        <f t="shared" si="82"/>
        <v>14.526392122144435</v>
      </c>
      <c r="AA54" s="103">
        <f t="shared" si="82"/>
        <v>15.157178796906251</v>
      </c>
      <c r="AB54" s="103">
        <f>IFERROR(AB52/AB12,0)</f>
        <v>15.409187885822385</v>
      </c>
      <c r="AC54" s="103">
        <f t="shared" si="82"/>
        <v>16.459059525170147</v>
      </c>
      <c r="AD54" s="103">
        <f t="shared" si="82"/>
        <v>16.459059525170147</v>
      </c>
      <c r="AE54" s="103">
        <f t="shared" si="82"/>
        <v>15.565561011975618</v>
      </c>
      <c r="AF54" s="103">
        <f t="shared" si="82"/>
        <v>0</v>
      </c>
      <c r="AG54" s="103">
        <f t="shared" si="82"/>
        <v>0</v>
      </c>
      <c r="AH54" s="103">
        <f t="shared" si="82"/>
        <v>0</v>
      </c>
      <c r="AI54" s="103">
        <f t="shared" si="82"/>
        <v>0</v>
      </c>
      <c r="AJ54" s="103">
        <f t="shared" si="82"/>
        <v>0</v>
      </c>
      <c r="AK54" s="103">
        <f t="shared" si="82"/>
        <v>0</v>
      </c>
      <c r="AL54" s="103">
        <f t="shared" si="82"/>
        <v>0</v>
      </c>
      <c r="AM54" s="103">
        <f t="shared" si="82"/>
        <v>0</v>
      </c>
      <c r="AN54" s="103">
        <f t="shared" si="82"/>
        <v>0</v>
      </c>
      <c r="AO54" s="103">
        <f t="shared" si="82"/>
        <v>0</v>
      </c>
      <c r="AP54" s="103">
        <f t="shared" si="82"/>
        <v>0</v>
      </c>
      <c r="AQ54" s="103">
        <f t="shared" si="82"/>
        <v>0</v>
      </c>
      <c r="AR54" s="103">
        <f t="shared" si="82"/>
        <v>0</v>
      </c>
      <c r="AS54" s="103">
        <f t="shared" si="82"/>
        <v>0</v>
      </c>
      <c r="AT54" s="103">
        <f t="shared" si="82"/>
        <v>0</v>
      </c>
      <c r="AU54" s="103">
        <f t="shared" si="82"/>
        <v>0</v>
      </c>
      <c r="AV54" s="103">
        <f t="shared" si="82"/>
        <v>0</v>
      </c>
      <c r="AW54" s="103">
        <f t="shared" si="82"/>
        <v>0</v>
      </c>
      <c r="AX54" s="58"/>
    </row>
    <row r="55" spans="1:50" s="25" customFormat="1" ht="12.4">
      <c r="A55" s="58"/>
      <c r="B55" s="52" t="s">
        <v>344</v>
      </c>
      <c r="C55" s="234"/>
      <c r="D55" s="52" t="s">
        <v>265</v>
      </c>
      <c r="E55" s="258"/>
      <c r="F55" s="103">
        <f t="shared" si="79"/>
        <v>4.5260216182828907</v>
      </c>
      <c r="G55" s="103">
        <f t="shared" si="79"/>
        <v>4.4300216182828898</v>
      </c>
      <c r="H55" s="103">
        <f t="shared" si="79"/>
        <v>6.5073693638048171</v>
      </c>
      <c r="I55" s="103">
        <f t="shared" si="79"/>
        <v>6.6215397542612262</v>
      </c>
      <c r="J55" s="26"/>
      <c r="K55" s="103">
        <f t="shared" ref="K55:T55" si="83">IFERROR(K53/K13,0)</f>
        <v>6.6215397542612262</v>
      </c>
      <c r="L55" s="103">
        <f t="shared" si="83"/>
        <v>8.705416394354847</v>
      </c>
      <c r="M55" s="103">
        <f t="shared" si="81"/>
        <v>8.4956047001320023</v>
      </c>
      <c r="N55" s="103">
        <f t="shared" si="81"/>
        <v>10.500573436950896</v>
      </c>
      <c r="O55" s="103">
        <f t="shared" si="81"/>
        <v>9.8035943577862135</v>
      </c>
      <c r="P55" s="103">
        <f t="shared" si="83"/>
        <v>9.5737808938045479</v>
      </c>
      <c r="Q55" s="103">
        <f>IFERROR(Q53/Q13,0)</f>
        <v>9.9029095394177755</v>
      </c>
      <c r="R55" s="103">
        <f t="shared" si="83"/>
        <v>9.8990111467388058</v>
      </c>
      <c r="S55" s="103">
        <f>IFERROR(S53/S13,0)</f>
        <v>10.018665782600447</v>
      </c>
      <c r="T55" s="103">
        <f t="shared" si="83"/>
        <v>10.923303669691526</v>
      </c>
      <c r="U55" s="103">
        <f>IFERROR(U53/U13,0)</f>
        <v>10.599645795131831</v>
      </c>
      <c r="V55" s="103">
        <f t="shared" ref="V55:Z55" si="84">IFERROR(V53/V13,0)</f>
        <v>10.599645795131831</v>
      </c>
      <c r="W55" s="103">
        <f t="shared" si="84"/>
        <v>11.140382840481635</v>
      </c>
      <c r="X55" s="103">
        <f t="shared" si="84"/>
        <v>11.140382840481635</v>
      </c>
      <c r="Y55" s="103">
        <f t="shared" si="84"/>
        <v>10.91895024241601</v>
      </c>
      <c r="Z55" s="103">
        <f t="shared" si="84"/>
        <v>10.91895024241601</v>
      </c>
      <c r="AA55" s="103">
        <f t="shared" si="82"/>
        <v>11.295061963523581</v>
      </c>
      <c r="AB55" s="103">
        <f>IFERROR(AB53/AB13,0)</f>
        <v>11.487118313770599</v>
      </c>
      <c r="AC55" s="103">
        <f t="shared" si="82"/>
        <v>12.235152226298622</v>
      </c>
      <c r="AD55" s="103">
        <f t="shared" si="82"/>
        <v>12.235152226298622</v>
      </c>
      <c r="AE55" s="103">
        <f t="shared" si="82"/>
        <v>11.64990127056115</v>
      </c>
      <c r="AF55" s="103">
        <f t="shared" si="82"/>
        <v>0</v>
      </c>
      <c r="AG55" s="103">
        <f t="shared" si="82"/>
        <v>0</v>
      </c>
      <c r="AH55" s="103">
        <f t="shared" si="82"/>
        <v>0</v>
      </c>
      <c r="AI55" s="103">
        <f t="shared" si="82"/>
        <v>0</v>
      </c>
      <c r="AJ55" s="103">
        <f t="shared" si="82"/>
        <v>0</v>
      </c>
      <c r="AK55" s="103">
        <f t="shared" si="82"/>
        <v>0</v>
      </c>
      <c r="AL55" s="103">
        <f t="shared" si="82"/>
        <v>0</v>
      </c>
      <c r="AM55" s="103">
        <f t="shared" si="82"/>
        <v>0</v>
      </c>
      <c r="AN55" s="103">
        <f t="shared" si="82"/>
        <v>0</v>
      </c>
      <c r="AO55" s="103">
        <f t="shared" si="82"/>
        <v>0</v>
      </c>
      <c r="AP55" s="103">
        <f t="shared" si="82"/>
        <v>0</v>
      </c>
      <c r="AQ55" s="103">
        <f t="shared" si="82"/>
        <v>0</v>
      </c>
      <c r="AR55" s="103">
        <f t="shared" si="82"/>
        <v>0</v>
      </c>
      <c r="AS55" s="103">
        <f t="shared" si="82"/>
        <v>0</v>
      </c>
      <c r="AT55" s="103">
        <f t="shared" si="82"/>
        <v>0</v>
      </c>
      <c r="AU55" s="103">
        <f t="shared" si="82"/>
        <v>0</v>
      </c>
      <c r="AV55" s="103">
        <f t="shared" si="82"/>
        <v>0</v>
      </c>
      <c r="AW55" s="103">
        <f t="shared" si="82"/>
        <v>0</v>
      </c>
      <c r="AX55" s="58"/>
    </row>
    <row r="56" spans="1:50" s="25" customFormat="1" ht="12.4">
      <c r="A56" s="58"/>
      <c r="B56" s="279" t="s">
        <v>292</v>
      </c>
      <c r="C56" s="280"/>
      <c r="D56" s="280"/>
      <c r="E56" s="280"/>
      <c r="F56" s="280"/>
      <c r="G56" s="280"/>
      <c r="H56" s="280"/>
      <c r="I56" s="280"/>
      <c r="J56" s="280"/>
      <c r="K56" s="280"/>
      <c r="L56" s="280"/>
      <c r="M56" s="280"/>
      <c r="N56" s="280"/>
      <c r="O56" s="280"/>
      <c r="P56" s="280"/>
      <c r="Q56" s="280"/>
      <c r="R56" s="280"/>
      <c r="S56" s="280"/>
      <c r="T56" s="280"/>
      <c r="U56" s="281"/>
      <c r="V56" s="280"/>
      <c r="W56" s="280"/>
      <c r="X56" s="280"/>
      <c r="Y56" s="280"/>
      <c r="Z56" s="280"/>
      <c r="AA56" s="280"/>
      <c r="AB56" s="280"/>
      <c r="AC56" s="280"/>
      <c r="AD56" s="280"/>
      <c r="AE56" s="280"/>
      <c r="AF56" s="280"/>
      <c r="AG56" s="280"/>
      <c r="AH56" s="280"/>
      <c r="AI56" s="280"/>
      <c r="AJ56" s="280"/>
      <c r="AK56" s="280"/>
      <c r="AL56" s="280"/>
      <c r="AM56" s="280"/>
      <c r="AN56" s="280"/>
      <c r="AO56" s="281"/>
      <c r="AP56" s="280"/>
      <c r="AQ56" s="280"/>
      <c r="AR56" s="280"/>
      <c r="AS56" s="280"/>
      <c r="AT56" s="280"/>
      <c r="AU56" s="280"/>
      <c r="AV56" s="280"/>
      <c r="AW56" s="281"/>
      <c r="AX56" s="58"/>
    </row>
    <row r="57" spans="1:50" s="25" customFormat="1" ht="12.4">
      <c r="A57" s="58"/>
      <c r="B57" s="52" t="s">
        <v>345</v>
      </c>
      <c r="C57" s="52"/>
      <c r="D57" s="52" t="s">
        <v>265</v>
      </c>
      <c r="E57" s="52"/>
      <c r="F57" s="103">
        <f>F54+F55</f>
        <v>10.432043236565782</v>
      </c>
      <c r="G57" s="103">
        <f>G54+G55</f>
        <v>10.216043236565781</v>
      </c>
      <c r="H57" s="103">
        <f>H54+H55</f>
        <v>14.922738727609634</v>
      </c>
      <c r="I57" s="103">
        <f>I54+I55</f>
        <v>15.173155909192451</v>
      </c>
      <c r="J57" s="161"/>
      <c r="K57" s="103">
        <f>K54+K55</f>
        <v>15.173155909192451</v>
      </c>
      <c r="L57" s="103">
        <f t="shared" ref="L57:AW57" si="85">L54+L55</f>
        <v>19.81026827249741</v>
      </c>
      <c r="M57" s="103">
        <f t="shared" si="85"/>
        <v>19.508405342716216</v>
      </c>
      <c r="N57" s="103">
        <f>N54+N55</f>
        <v>24.16294791990472</v>
      </c>
      <c r="O57" s="103">
        <f t="shared" si="85"/>
        <v>22.608134380985064</v>
      </c>
      <c r="P57" s="103">
        <f t="shared" si="85"/>
        <v>22.051847186785782</v>
      </c>
      <c r="Q57" s="103">
        <f t="shared" si="85"/>
        <v>22.932969182529494</v>
      </c>
      <c r="R57" s="103">
        <f t="shared" si="85"/>
        <v>23.013436919763102</v>
      </c>
      <c r="S57" s="103">
        <f t="shared" si="85"/>
        <v>23.30476640798198</v>
      </c>
      <c r="T57" s="103">
        <f t="shared" si="85"/>
        <v>25.407391848145583</v>
      </c>
      <c r="U57" s="103">
        <f t="shared" si="85"/>
        <v>24.614697121097954</v>
      </c>
      <c r="V57" s="103">
        <f t="shared" si="85"/>
        <v>24.614697121097954</v>
      </c>
      <c r="W57" s="103">
        <f t="shared" si="85"/>
        <v>25.96597845607495</v>
      </c>
      <c r="X57" s="103">
        <f t="shared" si="85"/>
        <v>25.96597845607495</v>
      </c>
      <c r="Y57" s="103">
        <f t="shared" si="85"/>
        <v>25.445342364560446</v>
      </c>
      <c r="Z57" s="103">
        <f t="shared" si="85"/>
        <v>25.445342364560446</v>
      </c>
      <c r="AA57" s="103">
        <f t="shared" si="85"/>
        <v>26.452240760429831</v>
      </c>
      <c r="AB57" s="103">
        <f t="shared" si="85"/>
        <v>26.896306199592985</v>
      </c>
      <c r="AC57" s="103">
        <f t="shared" si="85"/>
        <v>28.694211751468771</v>
      </c>
      <c r="AD57" s="103">
        <f t="shared" si="85"/>
        <v>28.694211751468771</v>
      </c>
      <c r="AE57" s="103">
        <f t="shared" si="85"/>
        <v>27.21546228253677</v>
      </c>
      <c r="AF57" s="103">
        <f t="shared" si="85"/>
        <v>0</v>
      </c>
      <c r="AG57" s="103">
        <f t="shared" si="85"/>
        <v>0</v>
      </c>
      <c r="AH57" s="103">
        <f t="shared" si="85"/>
        <v>0</v>
      </c>
      <c r="AI57" s="103">
        <f t="shared" si="85"/>
        <v>0</v>
      </c>
      <c r="AJ57" s="103">
        <f t="shared" si="85"/>
        <v>0</v>
      </c>
      <c r="AK57" s="103">
        <f t="shared" si="85"/>
        <v>0</v>
      </c>
      <c r="AL57" s="103">
        <f t="shared" si="85"/>
        <v>0</v>
      </c>
      <c r="AM57" s="103">
        <f t="shared" si="85"/>
        <v>0</v>
      </c>
      <c r="AN57" s="103">
        <f t="shared" si="85"/>
        <v>0</v>
      </c>
      <c r="AO57" s="103">
        <f t="shared" si="85"/>
        <v>0</v>
      </c>
      <c r="AP57" s="103">
        <f t="shared" si="85"/>
        <v>0</v>
      </c>
      <c r="AQ57" s="103">
        <f t="shared" si="85"/>
        <v>0</v>
      </c>
      <c r="AR57" s="103">
        <f t="shared" si="85"/>
        <v>0</v>
      </c>
      <c r="AS57" s="103">
        <f t="shared" si="85"/>
        <v>0</v>
      </c>
      <c r="AT57" s="103">
        <f t="shared" si="85"/>
        <v>0</v>
      </c>
      <c r="AU57" s="103">
        <f t="shared" si="85"/>
        <v>0</v>
      </c>
      <c r="AV57" s="103">
        <f t="shared" si="85"/>
        <v>0</v>
      </c>
      <c r="AW57" s="103">
        <f t="shared" si="85"/>
        <v>0</v>
      </c>
      <c r="AX57" s="58"/>
    </row>
    <row r="58" spans="1:50" s="29" customFormat="1" ht="12.4">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row>
    <row r="59" spans="1:50" s="152" customFormat="1">
      <c r="S59" s="170"/>
      <c r="T59" s="170"/>
      <c r="U59" s="170"/>
      <c r="V59" s="170"/>
      <c r="W59" s="170"/>
    </row>
    <row r="60" spans="1:50" s="152" customFormat="1"/>
    <row r="61" spans="1:50" s="152" customFormat="1">
      <c r="B61" s="152" t="s">
        <v>294</v>
      </c>
    </row>
    <row r="62" spans="1:50" s="152" customFormat="1" ht="13.5" customHeight="1">
      <c r="B62" s="276" t="s">
        <v>346</v>
      </c>
      <c r="C62" s="276"/>
      <c r="D62" s="276"/>
      <c r="E62" s="276"/>
      <c r="F62" s="276"/>
      <c r="G62" s="276"/>
      <c r="H62" s="276"/>
      <c r="I62" s="276"/>
      <c r="J62" s="276"/>
      <c r="K62" s="276"/>
    </row>
    <row r="63" spans="1:50" s="152" customFormat="1">
      <c r="B63" s="58" t="s">
        <v>347</v>
      </c>
      <c r="C63" s="58"/>
      <c r="D63" s="58"/>
      <c r="E63" s="58"/>
      <c r="F63" s="58"/>
      <c r="G63" s="58"/>
      <c r="H63" s="58"/>
      <c r="I63" s="58"/>
      <c r="J63" s="58"/>
      <c r="K63" s="58"/>
    </row>
    <row r="64" spans="1:50" s="152" customFormat="1">
      <c r="B64" s="58" t="s">
        <v>348</v>
      </c>
      <c r="C64" s="58"/>
      <c r="D64" s="58"/>
      <c r="E64" s="58"/>
      <c r="F64" s="58"/>
      <c r="G64" s="58"/>
      <c r="H64" s="58"/>
      <c r="I64" s="58"/>
      <c r="J64" s="58"/>
      <c r="K64" s="58"/>
    </row>
    <row r="65" spans="2:11" s="152" customFormat="1">
      <c r="B65" s="58" t="s">
        <v>349</v>
      </c>
      <c r="C65" s="58"/>
      <c r="D65" s="58"/>
      <c r="E65" s="58"/>
      <c r="F65" s="58"/>
      <c r="G65" s="58"/>
      <c r="H65" s="58"/>
      <c r="I65" s="58"/>
      <c r="J65" s="58"/>
      <c r="K65" s="58"/>
    </row>
    <row r="66" spans="2:11" s="152" customFormat="1"/>
    <row r="67" spans="2:11" s="152" customFormat="1"/>
  </sheetData>
  <mergeCells count="21">
    <mergeCell ref="B56:U56"/>
    <mergeCell ref="C40:C55"/>
    <mergeCell ref="E12:E38"/>
    <mergeCell ref="E40:E55"/>
    <mergeCell ref="V39:AO39"/>
    <mergeCell ref="K6:AW6"/>
    <mergeCell ref="K7:AW7"/>
    <mergeCell ref="B62:K62"/>
    <mergeCell ref="B11:U11"/>
    <mergeCell ref="B39:U39"/>
    <mergeCell ref="B6:B10"/>
    <mergeCell ref="C6:C10"/>
    <mergeCell ref="D6:D10"/>
    <mergeCell ref="E6:E7"/>
    <mergeCell ref="F6:I6"/>
    <mergeCell ref="F7:I7"/>
    <mergeCell ref="AP39:AW39"/>
    <mergeCell ref="V56:AO56"/>
    <mergeCell ref="AP56:AW56"/>
    <mergeCell ref="V11:AO11"/>
    <mergeCell ref="AP11:AW11"/>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d="http://www.w3.org/2001/XMLSchema" xmlns:xsi="http://www.w3.org/2001/XMLSchema-instance" xmlns="http://www.boldonjames.com/2008/01/sie/internal/label" sislVersion="0" policy="973096ae-7329-4b3b-9368-47aeba6959e1" origin="userSelected">
  <element uid="id_classification_nonbusiness" value=""/>
  <element uid="eaadb568-f939-47e9-ab90-f00bdd47735e" value=""/>
</sisl>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66eba0d-a2b9-4833-9603-ab5d8f45883c" xsi:nil="true"/>
    <lcf76f155ced4ddcb4097134ff3c332f xmlns="3ffacce4-957f-4f0a-910f-9efe2ecf512c">
      <Terms xmlns="http://schemas.microsoft.com/office/infopath/2007/PartnerControls"/>
    </lcf76f155ced4ddcb4097134ff3c332f>
    <PublicationRequestID xmlns="3ffacce4-957f-4f0a-910f-9efe2ecf512c">2651</PublicationRequestID>
    <DocumentTitle xmlns="3ffacce4-957f-4f0a-910f-9efe2ecf512c">Annex_5_-_Smart_metering_net_cost_change_and_industry_charge_allowance_methodology_v1.21</DocumentTitle>
    <DocumentRank xmlns="3ffacce4-957f-4f0a-910f-9efe2ecf512c">Subsidiary</DocumentRank>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4099CE-CB98-4CFB-9750-6303221344FC}"/>
</file>

<file path=customXml/itemProps2.xml><?xml version="1.0" encoding="utf-8"?>
<ds:datastoreItem xmlns:ds="http://schemas.openxmlformats.org/officeDocument/2006/customXml" ds:itemID="{CEC46FF4-CFE1-41C8-89FA-ABE4549DE454}"/>
</file>

<file path=customXml/itemProps3.xml><?xml version="1.0" encoding="utf-8"?>
<ds:datastoreItem xmlns:ds="http://schemas.openxmlformats.org/officeDocument/2006/customXml" ds:itemID="{6CA4CB12-F788-4717-A2DD-0693BD43FE69}"/>
</file>

<file path=customXml/itemProps4.xml><?xml version="1.0" encoding="utf-8"?>
<ds:datastoreItem xmlns:ds="http://schemas.openxmlformats.org/officeDocument/2006/customXml" ds:itemID="{5231BCF0-E1F2-42F8-9B51-780E8677CF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5 - Smart metering net cost change methodology v1.14</dc:title>
  <dc:subject/>
  <dc:creator>Jack.Woodnott@ofgem.gov.uk</dc:creator>
  <cp:keywords/>
  <dc:description/>
  <cp:lastModifiedBy/>
  <cp:revision/>
  <dcterms:created xsi:type="dcterms:W3CDTF">2018-08-08T10:27:41Z</dcterms:created>
  <dcterms:modified xsi:type="dcterms:W3CDTF">2026-02-24T08:40:05Z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77b4c0e4-5cee-4b72-9afa-caaf9c89c3a5</vt:lpwstr>
  </property>
  <property fmtid="{D5CDD505-2E9C-101B-9397-08002B2CF9AE}" pid="3" name="bjSaver">
    <vt:lpwstr>lVB4Q6tL/mTyfizEv3euJT36iuGxT58Y</vt:lpwstr>
  </property>
  <property fmtid="{D5CDD505-2E9C-101B-9397-08002B2CF9AE}" pid="4" name="ContentTypeId">
    <vt:lpwstr>0x010100D7C6947C0F765F428416B2828D309B65</vt:lpwstr>
  </property>
  <property fmtid="{D5CDD505-2E9C-101B-9397-08002B2CF9AE}" pid="5" name="BJSCc5a055b0-1bed-4579_x">
    <vt:lpwstr/>
  </property>
  <property fmtid="{D5CDD505-2E9C-101B-9397-08002B2CF9AE}" pid="6" name="BJSCid_group_classification">
    <vt:lpwstr/>
  </property>
  <property fmtid="{D5CDD505-2E9C-101B-9397-08002B2CF9AE}" pid="7" name="BJSCdd9eba61-d6b9-469b_x">
    <vt:lpwstr/>
  </property>
  <property fmtid="{D5CDD505-2E9C-101B-9397-08002B2CF9AE}" pid="8" name="BJSCSummaryMarking">
    <vt:lpwstr>This item has no classification</vt:lpwstr>
  </property>
  <property fmtid="{D5CDD505-2E9C-101B-9397-08002B2CF9AE}" pid="9"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10" name="BJSC514bdf30-2227-4016_x">
    <vt:lpwstr/>
  </property>
  <property fmtid="{D5CDD505-2E9C-101B-9397-08002B2CF9AE}" pid="11" name="Folksonomy_PR">
    <vt:lpwstr>172;#Retail Price Cap|54ed571a-163e-420c-a83f-5af2b8df1680</vt:lpwstr>
  </property>
  <property fmtid="{D5CDD505-2E9C-101B-9397-08002B2CF9AE}" pid="12" name="Organisation1">
    <vt:lpwstr>2;#Ofgem|8b4368c1-752b-461b-aa1f-79fb1ab95926</vt:lpwstr>
  </property>
  <property fmtid="{D5CDD505-2E9C-101B-9397-08002B2CF9AE}" pid="13" name="Order">
    <vt:r8>155500</vt:r8>
  </property>
  <property fmtid="{D5CDD505-2E9C-101B-9397-08002B2CF9AE}" pid="14" name="ka4dfca548794c049a78c2e39dd8b568">
    <vt:lpwstr>Retail Price Cap|54ed571a-163e-420c-a83f-5af2b8df1680</vt:lpwstr>
  </property>
  <property fmtid="{D5CDD505-2E9C-101B-9397-08002B2CF9AE}" pid="15" name="Year">
    <vt:lpwstr>2018</vt:lpwstr>
  </property>
  <property fmtid="{D5CDD505-2E9C-101B-9397-08002B2CF9AE}" pid="16" name="Document Type">
    <vt:lpwstr>Decision - For publication</vt:lpwstr>
  </property>
  <property fmtid="{D5CDD505-2E9C-101B-9397-08002B2CF9AE}" pid="17" name="Workstream">
    <vt:lpwstr>Stakeholder Engagement</vt:lpwstr>
  </property>
  <property fmtid="{D5CDD505-2E9C-101B-9397-08002B2CF9AE}" pid="18" name="bjDocumentSecurityLabel">
    <vt:lpwstr>OFFICIAL Internal Only</vt:lpwstr>
  </property>
  <property fmtid="{D5CDD505-2E9C-101B-9397-08002B2CF9AE}" pid="19" name="bjCentreHeaderLabel">
    <vt:lpwstr>&amp;"Verdana,Regular"&amp;10&amp;K000000Internal Only</vt:lpwstr>
  </property>
  <property fmtid="{D5CDD505-2E9C-101B-9397-08002B2CF9AE}" pid="20" name="bjCentreFooterLabel">
    <vt:lpwstr>&amp;"Verdana,Regular"&amp;10&amp;K000000Internal Only</vt:lpwstr>
  </property>
  <property fmtid="{D5CDD505-2E9C-101B-9397-08002B2CF9AE}" pid="21"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22" name="bjDocumentLabelXML-0">
    <vt:lpwstr>ames.com/2008/01/sie/internal/label"&gt;&lt;element uid="id_classification_nonbusiness" value="" /&gt;&lt;element uid="eaadb568-f939-47e9-ab90-f00bdd47735e" value="" /&gt;&lt;/sisl&gt;</vt:lpwstr>
  </property>
  <property fmtid="{D5CDD505-2E9C-101B-9397-08002B2CF9AE}" pid="23" name="bjClsUserRVM">
    <vt:lpwstr>[]</vt:lpwstr>
  </property>
  <property fmtid="{D5CDD505-2E9C-101B-9397-08002B2CF9AE}" pid="24" name="bjCentreHeaderLabel-first">
    <vt:lpwstr>&amp;"Verdana,Regular"&amp;10&amp;K000000Internal Only</vt:lpwstr>
  </property>
  <property fmtid="{D5CDD505-2E9C-101B-9397-08002B2CF9AE}" pid="25" name="bjCentreFooterLabel-first">
    <vt:lpwstr>&amp;"Verdana,Regular"&amp;10&amp;K000000Internal Only</vt:lpwstr>
  </property>
  <property fmtid="{D5CDD505-2E9C-101B-9397-08002B2CF9AE}" pid="26" name="bjCentreHeaderLabel-even">
    <vt:lpwstr>&amp;"Verdana,Regular"&amp;10&amp;K000000Internal Only</vt:lpwstr>
  </property>
  <property fmtid="{D5CDD505-2E9C-101B-9397-08002B2CF9AE}" pid="27" name="bjCentreFooterLabel-even">
    <vt:lpwstr>&amp;"Verdana,Regular"&amp;10&amp;K000000Internal Only</vt:lpwstr>
  </property>
  <property fmtid="{D5CDD505-2E9C-101B-9397-08002B2CF9AE}" pid="28" name="MSIP_Label_38144ccb-b10a-4c0f-b070-7a3b00ac7463_Enabled">
    <vt:lpwstr>true</vt:lpwstr>
  </property>
  <property fmtid="{D5CDD505-2E9C-101B-9397-08002B2CF9AE}" pid="29" name="MSIP_Label_38144ccb-b10a-4c0f-b070-7a3b00ac7463_SetDate">
    <vt:lpwstr>2022-06-23T10:40:37Z</vt:lpwstr>
  </property>
  <property fmtid="{D5CDD505-2E9C-101B-9397-08002B2CF9AE}" pid="30" name="MSIP_Label_38144ccb-b10a-4c0f-b070-7a3b00ac7463_Method">
    <vt:lpwstr>Standard</vt:lpwstr>
  </property>
  <property fmtid="{D5CDD505-2E9C-101B-9397-08002B2CF9AE}" pid="31" name="MSIP_Label_38144ccb-b10a-4c0f-b070-7a3b00ac7463_Name">
    <vt:lpwstr>InternalOnly</vt:lpwstr>
  </property>
  <property fmtid="{D5CDD505-2E9C-101B-9397-08002B2CF9AE}" pid="32" name="MSIP_Label_38144ccb-b10a-4c0f-b070-7a3b00ac7463_SiteId">
    <vt:lpwstr>185562ad-39bc-4840-8e40-be6216340c52</vt:lpwstr>
  </property>
  <property fmtid="{D5CDD505-2E9C-101B-9397-08002B2CF9AE}" pid="33" name="MSIP_Label_38144ccb-b10a-4c0f-b070-7a3b00ac7463_ActionId">
    <vt:lpwstr>f9e4bcc3-c5c4-4a41-a0cb-512ec40db40e</vt:lpwstr>
  </property>
  <property fmtid="{D5CDD505-2E9C-101B-9397-08002B2CF9AE}" pid="34" name="MSIP_Label_38144ccb-b10a-4c0f-b070-7a3b00ac7463_ContentBits">
    <vt:lpwstr>2</vt:lpwstr>
  </property>
  <property fmtid="{D5CDD505-2E9C-101B-9397-08002B2CF9AE}" pid="35" name="MediaServiceImageTags">
    <vt:lpwstr/>
  </property>
  <property fmtid="{D5CDD505-2E9C-101B-9397-08002B2CF9AE}" pid="36" name="xd_ProgID">
    <vt:lpwstr/>
  </property>
  <property fmtid="{D5CDD505-2E9C-101B-9397-08002B2CF9AE}" pid="37" name="ComplianceAssetId">
    <vt:lpwstr/>
  </property>
  <property fmtid="{D5CDD505-2E9C-101B-9397-08002B2CF9AE}" pid="38" name="TemplateUrl">
    <vt:lpwstr/>
  </property>
  <property fmtid="{D5CDD505-2E9C-101B-9397-08002B2CF9AE}" pid="39" name="_ExtendedDescription">
    <vt:lpwstr/>
  </property>
  <property fmtid="{D5CDD505-2E9C-101B-9397-08002B2CF9AE}" pid="40" name="TriggerFlowInfo">
    <vt:lpwstr/>
  </property>
  <property fmtid="{D5CDD505-2E9C-101B-9397-08002B2CF9AE}" pid="41" name="xd_Signature">
    <vt:bool>false</vt:bool>
  </property>
  <property fmtid="{D5CDD505-2E9C-101B-9397-08002B2CF9AE}" pid="42" name="mdac69383724431b843977f20a58bfe2">
    <vt:lpwstr>Ofgem|8b4368c1-752b-461b-aa1f-79fb1ab95926</vt:lpwstr>
  </property>
</Properties>
</file>