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3.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drawings/drawing4.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drawings/drawing5.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4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codeName="ThisWorkbook" defaultThemeVersion="166925"/>
  <mc:AlternateContent xmlns:mc="http://schemas.openxmlformats.org/markup-compatibility/2006">
    <mc:Choice Requires="x15">
      <x15ac:absPath xmlns:x15ac="http://schemas.microsoft.com/office/spreadsheetml/2010/11/ac" url="https://ofgemcloud-my.sharepoint.com/personal/sash_steele_ofgem_gov_uk/Documents/Desktop/documents for publication/"/>
    </mc:Choice>
  </mc:AlternateContent>
  <xr:revisionPtr revIDLastSave="0" documentId="8_{DAFB1A79-B2F5-4BFD-A966-3913650E8BFF}" xr6:coauthVersionLast="47" xr6:coauthVersionMax="47" xr10:uidLastSave="{00000000-0000-0000-0000-000000000000}"/>
  <bookViews>
    <workbookView xWindow="-110" yWindow="-110" windowWidth="19420" windowHeight="10420" xr2:uid="{737D0CA3-933E-416F-ADE4-C5FDF54EE110}"/>
  </bookViews>
  <sheets>
    <sheet name="Cover" sheetId="126" r:id="rId1"/>
    <sheet name="Applications" sheetId="127" r:id="rId2"/>
    <sheet name="Contents" sheetId="128" r:id="rId3"/>
    <sheet name="Overview_Document&gt;&gt;" sheetId="129" r:id="rId4"/>
    <sheet name="Table1_Licensees" sheetId="130" r:id="rId5"/>
    <sheet name="Table2_Reopener_Applications" sheetId="189" r:id="rId6"/>
    <sheet name="Table3_DDs_Summary" sheetId="131" r:id="rId7"/>
    <sheet name="Table4_DD_Consumer_Cost" sheetId="134" r:id="rId8"/>
    <sheet name="Table5_Consultation_Stages" sheetId="188" r:id="rId9"/>
    <sheet name="Table6_DDReview" sheetId="135" r:id="rId10"/>
    <sheet name="Overview_A2" sheetId="190" r:id="rId11"/>
    <sheet name="Overview_A3" sheetId="191" r:id="rId12"/>
    <sheet name="ET_Annex&gt;&gt;" sheetId="136" r:id="rId13"/>
    <sheet name="TableET1_DD_Summary" sheetId="138" r:id="rId14"/>
    <sheet name="TableET2_MSIP_Projects" sheetId="139" r:id="rId15"/>
    <sheet name="TableET3_NGET_Draft_Det" sheetId="140" r:id="rId16"/>
    <sheet name="TableET4_NGET_ET2" sheetId="156" r:id="rId17"/>
    <sheet name="TableET5_NGET_ET3" sheetId="177" r:id="rId18"/>
    <sheet name="TableET6_SHET_Draft_Det" sheetId="179" r:id="rId19"/>
    <sheet name="TableET7_SHET_ET2" sheetId="182" r:id="rId20"/>
    <sheet name="TableET8_SHET_ET3" sheetId="178" r:id="rId21"/>
    <sheet name="TableET9_SPT_Draft_Det" sheetId="180" r:id="rId22"/>
    <sheet name="TableET10_SPT_ET2" sheetId="181" r:id="rId23"/>
    <sheet name="TableET11_SPT_ET3" sheetId="183" r:id="rId24"/>
    <sheet name="TableET12_Gremista_Costs" sheetId="158" r:id="rId25"/>
    <sheet name="TableET13_Gremista_DD_Adjustm" sheetId="159" r:id="rId26"/>
    <sheet name="ET_A5_MSIP_Direction_NGET" sheetId="160" r:id="rId27"/>
    <sheet name="ET_A5_MSIP_Direction_SHET" sheetId="186" r:id="rId28"/>
    <sheet name="ET_A5_MSIP_Direction_SPT" sheetId="187" r:id="rId29"/>
    <sheet name="ET_A6_Appendix2" sheetId="192" r:id="rId30"/>
    <sheet name="ED_Annex&gt;&gt;" sheetId="142" r:id="rId31"/>
    <sheet name="TableED1_DD_Summary" sheetId="144" r:id="rId32"/>
    <sheet name="TableED2_HOWSUM_Projects" sheetId="146" r:id="rId33"/>
    <sheet name="TableED3_ENWL_LRE_Request" sheetId="161" r:id="rId34"/>
    <sheet name="TableED4_LRE_EJP_Assessment" sheetId="162" r:id="rId35"/>
    <sheet name="TableED5_LRE_DD_Summmary" sheetId="163" r:id="rId36"/>
    <sheet name="ED_A5_LRE_Direction" sheetId="164" r:id="rId37"/>
    <sheet name="ED_A6_HOWSUM_Direction" sheetId="165" r:id="rId38"/>
    <sheet name="GD_Annex&gt;&gt;" sheetId="147" r:id="rId39"/>
    <sheet name="TableGD1_GD_Reopeners" sheetId="148" r:id="rId40"/>
    <sheet name="TableGD2_DDs_Summary" sheetId="149" r:id="rId41"/>
    <sheet name="TableGD3_HSE_DD_Summary" sheetId="167" r:id="rId42"/>
    <sheet name="TableGD3a_HSE_Benchmarking" sheetId="195" r:id="rId43"/>
    <sheet name="TableGD4_Streetworks_DD_Summary" sheetId="170" r:id="rId44"/>
    <sheet name="TableGD4a_Cadent_Costs" sheetId="173" r:id="rId45"/>
    <sheet name="TableGD4b_NGN_Costs" sheetId="174" r:id="rId46"/>
    <sheet name="TableGD4c_SGN_Costs" sheetId="175" r:id="rId47"/>
    <sheet name="TableGD4d_WWU_Costs" sheetId="176" r:id="rId48"/>
    <sheet name="TableGD5_NetZero_DD_Summary" sheetId="171" r:id="rId49"/>
    <sheet name="TableGD5a_NetZero_Cadent_Costs" sheetId="184" r:id="rId50"/>
    <sheet name="TableGD5b_NetZero_Deliverables" sheetId="185" r:id="rId51"/>
    <sheet name="GD_A1_Annex1" sheetId="196" r:id="rId52"/>
    <sheet name="GD_A1_Annex2" sheetId="197" r:id="rId53"/>
    <sheet name="GD_A2_Annex1" sheetId="198" r:id="rId54"/>
    <sheet name="GD_A2_Annex2" sheetId="199" r:id="rId55"/>
    <sheet name="Supporting_Data&gt;&gt;" sheetId="194" r:id="rId56"/>
    <sheet name="HSE_Policy_Assessment" sheetId="172" r:id="rId57"/>
    <sheet name="Look_up_Tables&gt;&gt;" sheetId="72" state="hidden" r:id="rId58"/>
    <sheet name="Project_Data" sheetId="75" state="hidden" r:id="rId59"/>
  </sheets>
  <definedNames>
    <definedName name="________hom1" localSheetId="1" hidden="1">{#N/A,#N/A,FALSE,"Assessment";#N/A,#N/A,FALSE,"Staffing";#N/A,#N/A,FALSE,"Hires";#N/A,#N/A,FALSE,"Assumptions"}</definedName>
    <definedName name="________hom1" localSheetId="2" hidden="1">{#N/A,#N/A,FALSE,"Assessment";#N/A,#N/A,FALSE,"Staffing";#N/A,#N/A,FALSE,"Hires";#N/A,#N/A,FALSE,"Assumptions"}</definedName>
    <definedName name="________hom1" localSheetId="0" hidden="1">{#N/A,#N/A,FALSE,"Assessment";#N/A,#N/A,FALSE,"Staffing";#N/A,#N/A,FALSE,"Hires";#N/A,#N/A,FALSE,"Assumptions"}</definedName>
    <definedName name="________hom1" localSheetId="30" hidden="1">{#N/A,#N/A,FALSE,"Assessment";#N/A,#N/A,FALSE,"Staffing";#N/A,#N/A,FALSE,"Hires";#N/A,#N/A,FALSE,"Assumptions"}</definedName>
    <definedName name="________hom1" localSheetId="12" hidden="1">{#N/A,#N/A,FALSE,"Assessment";#N/A,#N/A,FALSE,"Staffing";#N/A,#N/A,FALSE,"Hires";#N/A,#N/A,FALSE,"Assumptions"}</definedName>
    <definedName name="________hom1" localSheetId="38" hidden="1">{#N/A,#N/A,FALSE,"Assessment";#N/A,#N/A,FALSE,"Staffing";#N/A,#N/A,FALSE,"Hires";#N/A,#N/A,FALSE,"Assumptions"}</definedName>
    <definedName name="________hom1" localSheetId="10" hidden="1">{#N/A,#N/A,FALSE,"Assessment";#N/A,#N/A,FALSE,"Staffing";#N/A,#N/A,FALSE,"Hires";#N/A,#N/A,FALSE,"Assumptions"}</definedName>
    <definedName name="________hom1" localSheetId="11" hidden="1">{#N/A,#N/A,FALSE,"Assessment";#N/A,#N/A,FALSE,"Staffing";#N/A,#N/A,FALSE,"Hires";#N/A,#N/A,FALSE,"Assumptions"}</definedName>
    <definedName name="________hom1" localSheetId="3" hidden="1">{#N/A,#N/A,FALSE,"Assessment";#N/A,#N/A,FALSE,"Staffing";#N/A,#N/A,FALSE,"Hires";#N/A,#N/A,FALSE,"Assumptions"}</definedName>
    <definedName name="________hom1" localSheetId="4" hidden="1">{#N/A,#N/A,FALSE,"Assessment";#N/A,#N/A,FALSE,"Staffing";#N/A,#N/A,FALSE,"Hires";#N/A,#N/A,FALSE,"Assumptions"}</definedName>
    <definedName name="________hom1" localSheetId="6" hidden="1">{#N/A,#N/A,FALSE,"Assessment";#N/A,#N/A,FALSE,"Staffing";#N/A,#N/A,FALSE,"Hires";#N/A,#N/A,FALSE,"Assumptions"}</definedName>
    <definedName name="________hom1" localSheetId="7" hidden="1">{#N/A,#N/A,FALSE,"Assessment";#N/A,#N/A,FALSE,"Staffing";#N/A,#N/A,FALSE,"Hires";#N/A,#N/A,FALSE,"Assumptions"}</definedName>
    <definedName name="________hom1" localSheetId="8" hidden="1">{#N/A,#N/A,FALSE,"Assessment";#N/A,#N/A,FALSE,"Staffing";#N/A,#N/A,FALSE,"Hires";#N/A,#N/A,FALSE,"Assumptions"}</definedName>
    <definedName name="________hom1" localSheetId="9" hidden="1">{#N/A,#N/A,FALSE,"Assessment";#N/A,#N/A,FALSE,"Staffing";#N/A,#N/A,FALSE,"Hires";#N/A,#N/A,FALSE,"Assumptions"}</definedName>
    <definedName name="________hom1" localSheetId="31" hidden="1">{#N/A,#N/A,FALSE,"Assessment";#N/A,#N/A,FALSE,"Staffing";#N/A,#N/A,FALSE,"Hires";#N/A,#N/A,FALSE,"Assumptions"}</definedName>
    <definedName name="________hom1" localSheetId="32" hidden="1">{#N/A,#N/A,FALSE,"Assessment";#N/A,#N/A,FALSE,"Staffing";#N/A,#N/A,FALSE,"Hires";#N/A,#N/A,FALSE,"Assumptions"}</definedName>
    <definedName name="________hom1" localSheetId="13" hidden="1">{#N/A,#N/A,FALSE,"Assessment";#N/A,#N/A,FALSE,"Staffing";#N/A,#N/A,FALSE,"Hires";#N/A,#N/A,FALSE,"Assumptions"}</definedName>
    <definedName name="________hom1" localSheetId="22" hidden="1">{#N/A,#N/A,FALSE,"Assessment";#N/A,#N/A,FALSE,"Staffing";#N/A,#N/A,FALSE,"Hires";#N/A,#N/A,FALSE,"Assumptions"}</definedName>
    <definedName name="________hom1" localSheetId="23" hidden="1">{#N/A,#N/A,FALSE,"Assessment";#N/A,#N/A,FALSE,"Staffing";#N/A,#N/A,FALSE,"Hires";#N/A,#N/A,FALSE,"Assumptions"}</definedName>
    <definedName name="________hom1" localSheetId="14" hidden="1">{#N/A,#N/A,FALSE,"Assessment";#N/A,#N/A,FALSE,"Staffing";#N/A,#N/A,FALSE,"Hires";#N/A,#N/A,FALSE,"Assumptions"}</definedName>
    <definedName name="________hom1" localSheetId="15" hidden="1">{#N/A,#N/A,FALSE,"Assessment";#N/A,#N/A,FALSE,"Staffing";#N/A,#N/A,FALSE,"Hires";#N/A,#N/A,FALSE,"Assumptions"}</definedName>
    <definedName name="________hom1" localSheetId="16" hidden="1">{#N/A,#N/A,FALSE,"Assessment";#N/A,#N/A,FALSE,"Staffing";#N/A,#N/A,FALSE,"Hires";#N/A,#N/A,FALSE,"Assumptions"}</definedName>
    <definedName name="________hom1" localSheetId="17" hidden="1">{#N/A,#N/A,FALSE,"Assessment";#N/A,#N/A,FALSE,"Staffing";#N/A,#N/A,FALSE,"Hires";#N/A,#N/A,FALSE,"Assumptions"}</definedName>
    <definedName name="________hom1" localSheetId="18" hidden="1">{#N/A,#N/A,FALSE,"Assessment";#N/A,#N/A,FALSE,"Staffing";#N/A,#N/A,FALSE,"Hires";#N/A,#N/A,FALSE,"Assumptions"}</definedName>
    <definedName name="________hom1" localSheetId="19" hidden="1">{#N/A,#N/A,FALSE,"Assessment";#N/A,#N/A,FALSE,"Staffing";#N/A,#N/A,FALSE,"Hires";#N/A,#N/A,FALSE,"Assumptions"}</definedName>
    <definedName name="________hom1" localSheetId="20" hidden="1">{#N/A,#N/A,FALSE,"Assessment";#N/A,#N/A,FALSE,"Staffing";#N/A,#N/A,FALSE,"Hires";#N/A,#N/A,FALSE,"Assumptions"}</definedName>
    <definedName name="________hom1" localSheetId="21" hidden="1">{#N/A,#N/A,FALSE,"Assessment";#N/A,#N/A,FALSE,"Staffing";#N/A,#N/A,FALSE,"Hires";#N/A,#N/A,FALSE,"Assumptions"}</definedName>
    <definedName name="________hom1" localSheetId="39" hidden="1">{#N/A,#N/A,FALSE,"Assessment";#N/A,#N/A,FALSE,"Staffing";#N/A,#N/A,FALSE,"Hires";#N/A,#N/A,FALSE,"Assumptions"}</definedName>
    <definedName name="________hom1" localSheetId="40" hidden="1">{#N/A,#N/A,FALSE,"Assessment";#N/A,#N/A,FALSE,"Staffing";#N/A,#N/A,FALSE,"Hires";#N/A,#N/A,FALSE,"Assumptions"}</definedName>
    <definedName name="________hom1" localSheetId="41" hidden="1">{#N/A,#N/A,FALSE,"Assessment";#N/A,#N/A,FALSE,"Staffing";#N/A,#N/A,FALSE,"Hires";#N/A,#N/A,FALSE,"Assumptions"}</definedName>
    <definedName name="________hom1" localSheetId="43" hidden="1">{#N/A,#N/A,FALSE,"Assessment";#N/A,#N/A,FALSE,"Staffing";#N/A,#N/A,FALSE,"Hires";#N/A,#N/A,FALSE,"Assumptions"}</definedName>
    <definedName name="________hom1" localSheetId="48" hidden="1">{#N/A,#N/A,FALSE,"Assessment";#N/A,#N/A,FALSE,"Staffing";#N/A,#N/A,FALSE,"Hires";#N/A,#N/A,FALSE,"Assumptions"}</definedName>
    <definedName name="________hom1" hidden="1">{#N/A,#N/A,FALSE,"Assessment";#N/A,#N/A,FALSE,"Staffing";#N/A,#N/A,FALSE,"Hires";#N/A,#N/A,FALSE,"Assumptions"}</definedName>
    <definedName name="________k1" localSheetId="1" hidden="1">{#N/A,#N/A,FALSE,"Assessment";#N/A,#N/A,FALSE,"Staffing";#N/A,#N/A,FALSE,"Hires";#N/A,#N/A,FALSE,"Assumptions"}</definedName>
    <definedName name="________k1" localSheetId="2" hidden="1">{#N/A,#N/A,FALSE,"Assessment";#N/A,#N/A,FALSE,"Staffing";#N/A,#N/A,FALSE,"Hires";#N/A,#N/A,FALSE,"Assumptions"}</definedName>
    <definedName name="________k1" localSheetId="0" hidden="1">{#N/A,#N/A,FALSE,"Assessment";#N/A,#N/A,FALSE,"Staffing";#N/A,#N/A,FALSE,"Hires";#N/A,#N/A,FALSE,"Assumptions"}</definedName>
    <definedName name="________k1" localSheetId="30" hidden="1">{#N/A,#N/A,FALSE,"Assessment";#N/A,#N/A,FALSE,"Staffing";#N/A,#N/A,FALSE,"Hires";#N/A,#N/A,FALSE,"Assumptions"}</definedName>
    <definedName name="________k1" localSheetId="12" hidden="1">{#N/A,#N/A,FALSE,"Assessment";#N/A,#N/A,FALSE,"Staffing";#N/A,#N/A,FALSE,"Hires";#N/A,#N/A,FALSE,"Assumptions"}</definedName>
    <definedName name="________k1" localSheetId="38" hidden="1">{#N/A,#N/A,FALSE,"Assessment";#N/A,#N/A,FALSE,"Staffing";#N/A,#N/A,FALSE,"Hires";#N/A,#N/A,FALSE,"Assumptions"}</definedName>
    <definedName name="________k1" localSheetId="10" hidden="1">{#N/A,#N/A,FALSE,"Assessment";#N/A,#N/A,FALSE,"Staffing";#N/A,#N/A,FALSE,"Hires";#N/A,#N/A,FALSE,"Assumptions"}</definedName>
    <definedName name="________k1" localSheetId="11" hidden="1">{#N/A,#N/A,FALSE,"Assessment";#N/A,#N/A,FALSE,"Staffing";#N/A,#N/A,FALSE,"Hires";#N/A,#N/A,FALSE,"Assumptions"}</definedName>
    <definedName name="________k1" localSheetId="3" hidden="1">{#N/A,#N/A,FALSE,"Assessment";#N/A,#N/A,FALSE,"Staffing";#N/A,#N/A,FALSE,"Hires";#N/A,#N/A,FALSE,"Assumptions"}</definedName>
    <definedName name="________k1" localSheetId="4" hidden="1">{#N/A,#N/A,FALSE,"Assessment";#N/A,#N/A,FALSE,"Staffing";#N/A,#N/A,FALSE,"Hires";#N/A,#N/A,FALSE,"Assumptions"}</definedName>
    <definedName name="________k1" localSheetId="6" hidden="1">{#N/A,#N/A,FALSE,"Assessment";#N/A,#N/A,FALSE,"Staffing";#N/A,#N/A,FALSE,"Hires";#N/A,#N/A,FALSE,"Assumptions"}</definedName>
    <definedName name="________k1" localSheetId="7" hidden="1">{#N/A,#N/A,FALSE,"Assessment";#N/A,#N/A,FALSE,"Staffing";#N/A,#N/A,FALSE,"Hires";#N/A,#N/A,FALSE,"Assumptions"}</definedName>
    <definedName name="________k1" localSheetId="8" hidden="1">{#N/A,#N/A,FALSE,"Assessment";#N/A,#N/A,FALSE,"Staffing";#N/A,#N/A,FALSE,"Hires";#N/A,#N/A,FALSE,"Assumptions"}</definedName>
    <definedName name="________k1" localSheetId="9" hidden="1">{#N/A,#N/A,FALSE,"Assessment";#N/A,#N/A,FALSE,"Staffing";#N/A,#N/A,FALSE,"Hires";#N/A,#N/A,FALSE,"Assumptions"}</definedName>
    <definedName name="________k1" localSheetId="31" hidden="1">{#N/A,#N/A,FALSE,"Assessment";#N/A,#N/A,FALSE,"Staffing";#N/A,#N/A,FALSE,"Hires";#N/A,#N/A,FALSE,"Assumptions"}</definedName>
    <definedName name="________k1" localSheetId="32" hidden="1">{#N/A,#N/A,FALSE,"Assessment";#N/A,#N/A,FALSE,"Staffing";#N/A,#N/A,FALSE,"Hires";#N/A,#N/A,FALSE,"Assumptions"}</definedName>
    <definedName name="________k1" localSheetId="13" hidden="1">{#N/A,#N/A,FALSE,"Assessment";#N/A,#N/A,FALSE,"Staffing";#N/A,#N/A,FALSE,"Hires";#N/A,#N/A,FALSE,"Assumptions"}</definedName>
    <definedName name="________k1" localSheetId="22" hidden="1">{#N/A,#N/A,FALSE,"Assessment";#N/A,#N/A,FALSE,"Staffing";#N/A,#N/A,FALSE,"Hires";#N/A,#N/A,FALSE,"Assumptions"}</definedName>
    <definedName name="________k1" localSheetId="23" hidden="1">{#N/A,#N/A,FALSE,"Assessment";#N/A,#N/A,FALSE,"Staffing";#N/A,#N/A,FALSE,"Hires";#N/A,#N/A,FALSE,"Assumptions"}</definedName>
    <definedName name="________k1" localSheetId="14" hidden="1">{#N/A,#N/A,FALSE,"Assessment";#N/A,#N/A,FALSE,"Staffing";#N/A,#N/A,FALSE,"Hires";#N/A,#N/A,FALSE,"Assumptions"}</definedName>
    <definedName name="________k1" localSheetId="15" hidden="1">{#N/A,#N/A,FALSE,"Assessment";#N/A,#N/A,FALSE,"Staffing";#N/A,#N/A,FALSE,"Hires";#N/A,#N/A,FALSE,"Assumptions"}</definedName>
    <definedName name="________k1" localSheetId="16" hidden="1">{#N/A,#N/A,FALSE,"Assessment";#N/A,#N/A,FALSE,"Staffing";#N/A,#N/A,FALSE,"Hires";#N/A,#N/A,FALSE,"Assumptions"}</definedName>
    <definedName name="________k1" localSheetId="17" hidden="1">{#N/A,#N/A,FALSE,"Assessment";#N/A,#N/A,FALSE,"Staffing";#N/A,#N/A,FALSE,"Hires";#N/A,#N/A,FALSE,"Assumptions"}</definedName>
    <definedName name="________k1" localSheetId="18" hidden="1">{#N/A,#N/A,FALSE,"Assessment";#N/A,#N/A,FALSE,"Staffing";#N/A,#N/A,FALSE,"Hires";#N/A,#N/A,FALSE,"Assumptions"}</definedName>
    <definedName name="________k1" localSheetId="19" hidden="1">{#N/A,#N/A,FALSE,"Assessment";#N/A,#N/A,FALSE,"Staffing";#N/A,#N/A,FALSE,"Hires";#N/A,#N/A,FALSE,"Assumptions"}</definedName>
    <definedName name="________k1" localSheetId="20" hidden="1">{#N/A,#N/A,FALSE,"Assessment";#N/A,#N/A,FALSE,"Staffing";#N/A,#N/A,FALSE,"Hires";#N/A,#N/A,FALSE,"Assumptions"}</definedName>
    <definedName name="________k1" localSheetId="21" hidden="1">{#N/A,#N/A,FALSE,"Assessment";#N/A,#N/A,FALSE,"Staffing";#N/A,#N/A,FALSE,"Hires";#N/A,#N/A,FALSE,"Assumptions"}</definedName>
    <definedName name="________k1" localSheetId="39" hidden="1">{#N/A,#N/A,FALSE,"Assessment";#N/A,#N/A,FALSE,"Staffing";#N/A,#N/A,FALSE,"Hires";#N/A,#N/A,FALSE,"Assumptions"}</definedName>
    <definedName name="________k1" localSheetId="40" hidden="1">{#N/A,#N/A,FALSE,"Assessment";#N/A,#N/A,FALSE,"Staffing";#N/A,#N/A,FALSE,"Hires";#N/A,#N/A,FALSE,"Assumptions"}</definedName>
    <definedName name="________k1" localSheetId="41" hidden="1">{#N/A,#N/A,FALSE,"Assessment";#N/A,#N/A,FALSE,"Staffing";#N/A,#N/A,FALSE,"Hires";#N/A,#N/A,FALSE,"Assumptions"}</definedName>
    <definedName name="________k1" localSheetId="43" hidden="1">{#N/A,#N/A,FALSE,"Assessment";#N/A,#N/A,FALSE,"Staffing";#N/A,#N/A,FALSE,"Hires";#N/A,#N/A,FALSE,"Assumptions"}</definedName>
    <definedName name="________k1" localSheetId="48" hidden="1">{#N/A,#N/A,FALSE,"Assessment";#N/A,#N/A,FALSE,"Staffing";#N/A,#N/A,FALSE,"Hires";#N/A,#N/A,FALSE,"Assumptions"}</definedName>
    <definedName name="________k1" hidden="1">{#N/A,#N/A,FALSE,"Assessment";#N/A,#N/A,FALSE,"Staffing";#N/A,#N/A,FALSE,"Hires";#N/A,#N/A,FALSE,"Assumptions"}</definedName>
    <definedName name="________kk1" localSheetId="1" hidden="1">{#N/A,#N/A,FALSE,"Assessment";#N/A,#N/A,FALSE,"Staffing";#N/A,#N/A,FALSE,"Hires";#N/A,#N/A,FALSE,"Assumptions"}</definedName>
    <definedName name="________kk1" localSheetId="2" hidden="1">{#N/A,#N/A,FALSE,"Assessment";#N/A,#N/A,FALSE,"Staffing";#N/A,#N/A,FALSE,"Hires";#N/A,#N/A,FALSE,"Assumptions"}</definedName>
    <definedName name="________kk1" localSheetId="0" hidden="1">{#N/A,#N/A,FALSE,"Assessment";#N/A,#N/A,FALSE,"Staffing";#N/A,#N/A,FALSE,"Hires";#N/A,#N/A,FALSE,"Assumptions"}</definedName>
    <definedName name="________kk1" localSheetId="30" hidden="1">{#N/A,#N/A,FALSE,"Assessment";#N/A,#N/A,FALSE,"Staffing";#N/A,#N/A,FALSE,"Hires";#N/A,#N/A,FALSE,"Assumptions"}</definedName>
    <definedName name="________kk1" localSheetId="12" hidden="1">{#N/A,#N/A,FALSE,"Assessment";#N/A,#N/A,FALSE,"Staffing";#N/A,#N/A,FALSE,"Hires";#N/A,#N/A,FALSE,"Assumptions"}</definedName>
    <definedName name="________kk1" localSheetId="38" hidden="1">{#N/A,#N/A,FALSE,"Assessment";#N/A,#N/A,FALSE,"Staffing";#N/A,#N/A,FALSE,"Hires";#N/A,#N/A,FALSE,"Assumptions"}</definedName>
    <definedName name="________kk1" localSheetId="10" hidden="1">{#N/A,#N/A,FALSE,"Assessment";#N/A,#N/A,FALSE,"Staffing";#N/A,#N/A,FALSE,"Hires";#N/A,#N/A,FALSE,"Assumptions"}</definedName>
    <definedName name="________kk1" localSheetId="11" hidden="1">{#N/A,#N/A,FALSE,"Assessment";#N/A,#N/A,FALSE,"Staffing";#N/A,#N/A,FALSE,"Hires";#N/A,#N/A,FALSE,"Assumptions"}</definedName>
    <definedName name="________kk1" localSheetId="3" hidden="1">{#N/A,#N/A,FALSE,"Assessment";#N/A,#N/A,FALSE,"Staffing";#N/A,#N/A,FALSE,"Hires";#N/A,#N/A,FALSE,"Assumptions"}</definedName>
    <definedName name="________kk1" localSheetId="4" hidden="1">{#N/A,#N/A,FALSE,"Assessment";#N/A,#N/A,FALSE,"Staffing";#N/A,#N/A,FALSE,"Hires";#N/A,#N/A,FALSE,"Assumptions"}</definedName>
    <definedName name="________kk1" localSheetId="6" hidden="1">{#N/A,#N/A,FALSE,"Assessment";#N/A,#N/A,FALSE,"Staffing";#N/A,#N/A,FALSE,"Hires";#N/A,#N/A,FALSE,"Assumptions"}</definedName>
    <definedName name="________kk1" localSheetId="7" hidden="1">{#N/A,#N/A,FALSE,"Assessment";#N/A,#N/A,FALSE,"Staffing";#N/A,#N/A,FALSE,"Hires";#N/A,#N/A,FALSE,"Assumptions"}</definedName>
    <definedName name="________kk1" localSheetId="8" hidden="1">{#N/A,#N/A,FALSE,"Assessment";#N/A,#N/A,FALSE,"Staffing";#N/A,#N/A,FALSE,"Hires";#N/A,#N/A,FALSE,"Assumptions"}</definedName>
    <definedName name="________kk1" localSheetId="9" hidden="1">{#N/A,#N/A,FALSE,"Assessment";#N/A,#N/A,FALSE,"Staffing";#N/A,#N/A,FALSE,"Hires";#N/A,#N/A,FALSE,"Assumptions"}</definedName>
    <definedName name="________kk1" localSheetId="31" hidden="1">{#N/A,#N/A,FALSE,"Assessment";#N/A,#N/A,FALSE,"Staffing";#N/A,#N/A,FALSE,"Hires";#N/A,#N/A,FALSE,"Assumptions"}</definedName>
    <definedName name="________kk1" localSheetId="32" hidden="1">{#N/A,#N/A,FALSE,"Assessment";#N/A,#N/A,FALSE,"Staffing";#N/A,#N/A,FALSE,"Hires";#N/A,#N/A,FALSE,"Assumptions"}</definedName>
    <definedName name="________kk1" localSheetId="13" hidden="1">{#N/A,#N/A,FALSE,"Assessment";#N/A,#N/A,FALSE,"Staffing";#N/A,#N/A,FALSE,"Hires";#N/A,#N/A,FALSE,"Assumptions"}</definedName>
    <definedName name="________kk1" localSheetId="22" hidden="1">{#N/A,#N/A,FALSE,"Assessment";#N/A,#N/A,FALSE,"Staffing";#N/A,#N/A,FALSE,"Hires";#N/A,#N/A,FALSE,"Assumptions"}</definedName>
    <definedName name="________kk1" localSheetId="23" hidden="1">{#N/A,#N/A,FALSE,"Assessment";#N/A,#N/A,FALSE,"Staffing";#N/A,#N/A,FALSE,"Hires";#N/A,#N/A,FALSE,"Assumptions"}</definedName>
    <definedName name="________kk1" localSheetId="14" hidden="1">{#N/A,#N/A,FALSE,"Assessment";#N/A,#N/A,FALSE,"Staffing";#N/A,#N/A,FALSE,"Hires";#N/A,#N/A,FALSE,"Assumptions"}</definedName>
    <definedName name="________kk1" localSheetId="15" hidden="1">{#N/A,#N/A,FALSE,"Assessment";#N/A,#N/A,FALSE,"Staffing";#N/A,#N/A,FALSE,"Hires";#N/A,#N/A,FALSE,"Assumptions"}</definedName>
    <definedName name="________kk1" localSheetId="16" hidden="1">{#N/A,#N/A,FALSE,"Assessment";#N/A,#N/A,FALSE,"Staffing";#N/A,#N/A,FALSE,"Hires";#N/A,#N/A,FALSE,"Assumptions"}</definedName>
    <definedName name="________kk1" localSheetId="17" hidden="1">{#N/A,#N/A,FALSE,"Assessment";#N/A,#N/A,FALSE,"Staffing";#N/A,#N/A,FALSE,"Hires";#N/A,#N/A,FALSE,"Assumptions"}</definedName>
    <definedName name="________kk1" localSheetId="18" hidden="1">{#N/A,#N/A,FALSE,"Assessment";#N/A,#N/A,FALSE,"Staffing";#N/A,#N/A,FALSE,"Hires";#N/A,#N/A,FALSE,"Assumptions"}</definedName>
    <definedName name="________kk1" localSheetId="19" hidden="1">{#N/A,#N/A,FALSE,"Assessment";#N/A,#N/A,FALSE,"Staffing";#N/A,#N/A,FALSE,"Hires";#N/A,#N/A,FALSE,"Assumptions"}</definedName>
    <definedName name="________kk1" localSheetId="20" hidden="1">{#N/A,#N/A,FALSE,"Assessment";#N/A,#N/A,FALSE,"Staffing";#N/A,#N/A,FALSE,"Hires";#N/A,#N/A,FALSE,"Assumptions"}</definedName>
    <definedName name="________kk1" localSheetId="21" hidden="1">{#N/A,#N/A,FALSE,"Assessment";#N/A,#N/A,FALSE,"Staffing";#N/A,#N/A,FALSE,"Hires";#N/A,#N/A,FALSE,"Assumptions"}</definedName>
    <definedName name="________kk1" localSheetId="39" hidden="1">{#N/A,#N/A,FALSE,"Assessment";#N/A,#N/A,FALSE,"Staffing";#N/A,#N/A,FALSE,"Hires";#N/A,#N/A,FALSE,"Assumptions"}</definedName>
    <definedName name="________kk1" localSheetId="40" hidden="1">{#N/A,#N/A,FALSE,"Assessment";#N/A,#N/A,FALSE,"Staffing";#N/A,#N/A,FALSE,"Hires";#N/A,#N/A,FALSE,"Assumptions"}</definedName>
    <definedName name="________kk1" localSheetId="41" hidden="1">{#N/A,#N/A,FALSE,"Assessment";#N/A,#N/A,FALSE,"Staffing";#N/A,#N/A,FALSE,"Hires";#N/A,#N/A,FALSE,"Assumptions"}</definedName>
    <definedName name="________kk1" localSheetId="43" hidden="1">{#N/A,#N/A,FALSE,"Assessment";#N/A,#N/A,FALSE,"Staffing";#N/A,#N/A,FALSE,"Hires";#N/A,#N/A,FALSE,"Assumptions"}</definedName>
    <definedName name="________kk1" localSheetId="48" hidden="1">{#N/A,#N/A,FALSE,"Assessment";#N/A,#N/A,FALSE,"Staffing";#N/A,#N/A,FALSE,"Hires";#N/A,#N/A,FALSE,"Assumptions"}</definedName>
    <definedName name="________kk1" hidden="1">{#N/A,#N/A,FALSE,"Assessment";#N/A,#N/A,FALSE,"Staffing";#N/A,#N/A,FALSE,"Hires";#N/A,#N/A,FALSE,"Assumptions"}</definedName>
    <definedName name="________KKK1" localSheetId="1" hidden="1">{#N/A,#N/A,FALSE,"Assessment";#N/A,#N/A,FALSE,"Staffing";#N/A,#N/A,FALSE,"Hires";#N/A,#N/A,FALSE,"Assumptions"}</definedName>
    <definedName name="________KKK1" localSheetId="2" hidden="1">{#N/A,#N/A,FALSE,"Assessment";#N/A,#N/A,FALSE,"Staffing";#N/A,#N/A,FALSE,"Hires";#N/A,#N/A,FALSE,"Assumptions"}</definedName>
    <definedName name="________KKK1" localSheetId="0" hidden="1">{#N/A,#N/A,FALSE,"Assessment";#N/A,#N/A,FALSE,"Staffing";#N/A,#N/A,FALSE,"Hires";#N/A,#N/A,FALSE,"Assumptions"}</definedName>
    <definedName name="________KKK1" localSheetId="30" hidden="1">{#N/A,#N/A,FALSE,"Assessment";#N/A,#N/A,FALSE,"Staffing";#N/A,#N/A,FALSE,"Hires";#N/A,#N/A,FALSE,"Assumptions"}</definedName>
    <definedName name="________KKK1" localSheetId="12" hidden="1">{#N/A,#N/A,FALSE,"Assessment";#N/A,#N/A,FALSE,"Staffing";#N/A,#N/A,FALSE,"Hires";#N/A,#N/A,FALSE,"Assumptions"}</definedName>
    <definedName name="________KKK1" localSheetId="38" hidden="1">{#N/A,#N/A,FALSE,"Assessment";#N/A,#N/A,FALSE,"Staffing";#N/A,#N/A,FALSE,"Hires";#N/A,#N/A,FALSE,"Assumptions"}</definedName>
    <definedName name="________KKK1" localSheetId="10" hidden="1">{#N/A,#N/A,FALSE,"Assessment";#N/A,#N/A,FALSE,"Staffing";#N/A,#N/A,FALSE,"Hires";#N/A,#N/A,FALSE,"Assumptions"}</definedName>
    <definedName name="________KKK1" localSheetId="11" hidden="1">{#N/A,#N/A,FALSE,"Assessment";#N/A,#N/A,FALSE,"Staffing";#N/A,#N/A,FALSE,"Hires";#N/A,#N/A,FALSE,"Assumptions"}</definedName>
    <definedName name="________KKK1" localSheetId="3" hidden="1">{#N/A,#N/A,FALSE,"Assessment";#N/A,#N/A,FALSE,"Staffing";#N/A,#N/A,FALSE,"Hires";#N/A,#N/A,FALSE,"Assumptions"}</definedName>
    <definedName name="________KKK1" localSheetId="4" hidden="1">{#N/A,#N/A,FALSE,"Assessment";#N/A,#N/A,FALSE,"Staffing";#N/A,#N/A,FALSE,"Hires";#N/A,#N/A,FALSE,"Assumptions"}</definedName>
    <definedName name="________KKK1" localSheetId="6" hidden="1">{#N/A,#N/A,FALSE,"Assessment";#N/A,#N/A,FALSE,"Staffing";#N/A,#N/A,FALSE,"Hires";#N/A,#N/A,FALSE,"Assumptions"}</definedName>
    <definedName name="________KKK1" localSheetId="7" hidden="1">{#N/A,#N/A,FALSE,"Assessment";#N/A,#N/A,FALSE,"Staffing";#N/A,#N/A,FALSE,"Hires";#N/A,#N/A,FALSE,"Assumptions"}</definedName>
    <definedName name="________KKK1" localSheetId="8" hidden="1">{#N/A,#N/A,FALSE,"Assessment";#N/A,#N/A,FALSE,"Staffing";#N/A,#N/A,FALSE,"Hires";#N/A,#N/A,FALSE,"Assumptions"}</definedName>
    <definedName name="________KKK1" localSheetId="9" hidden="1">{#N/A,#N/A,FALSE,"Assessment";#N/A,#N/A,FALSE,"Staffing";#N/A,#N/A,FALSE,"Hires";#N/A,#N/A,FALSE,"Assumptions"}</definedName>
    <definedName name="________KKK1" localSheetId="31" hidden="1">{#N/A,#N/A,FALSE,"Assessment";#N/A,#N/A,FALSE,"Staffing";#N/A,#N/A,FALSE,"Hires";#N/A,#N/A,FALSE,"Assumptions"}</definedName>
    <definedName name="________KKK1" localSheetId="32" hidden="1">{#N/A,#N/A,FALSE,"Assessment";#N/A,#N/A,FALSE,"Staffing";#N/A,#N/A,FALSE,"Hires";#N/A,#N/A,FALSE,"Assumptions"}</definedName>
    <definedName name="________KKK1" localSheetId="13" hidden="1">{#N/A,#N/A,FALSE,"Assessment";#N/A,#N/A,FALSE,"Staffing";#N/A,#N/A,FALSE,"Hires";#N/A,#N/A,FALSE,"Assumptions"}</definedName>
    <definedName name="________KKK1" localSheetId="22" hidden="1">{#N/A,#N/A,FALSE,"Assessment";#N/A,#N/A,FALSE,"Staffing";#N/A,#N/A,FALSE,"Hires";#N/A,#N/A,FALSE,"Assumptions"}</definedName>
    <definedName name="________KKK1" localSheetId="23" hidden="1">{#N/A,#N/A,FALSE,"Assessment";#N/A,#N/A,FALSE,"Staffing";#N/A,#N/A,FALSE,"Hires";#N/A,#N/A,FALSE,"Assumptions"}</definedName>
    <definedName name="________KKK1" localSheetId="14" hidden="1">{#N/A,#N/A,FALSE,"Assessment";#N/A,#N/A,FALSE,"Staffing";#N/A,#N/A,FALSE,"Hires";#N/A,#N/A,FALSE,"Assumptions"}</definedName>
    <definedName name="________KKK1" localSheetId="15" hidden="1">{#N/A,#N/A,FALSE,"Assessment";#N/A,#N/A,FALSE,"Staffing";#N/A,#N/A,FALSE,"Hires";#N/A,#N/A,FALSE,"Assumptions"}</definedName>
    <definedName name="________KKK1" localSheetId="16" hidden="1">{#N/A,#N/A,FALSE,"Assessment";#N/A,#N/A,FALSE,"Staffing";#N/A,#N/A,FALSE,"Hires";#N/A,#N/A,FALSE,"Assumptions"}</definedName>
    <definedName name="________KKK1" localSheetId="17" hidden="1">{#N/A,#N/A,FALSE,"Assessment";#N/A,#N/A,FALSE,"Staffing";#N/A,#N/A,FALSE,"Hires";#N/A,#N/A,FALSE,"Assumptions"}</definedName>
    <definedName name="________KKK1" localSheetId="18" hidden="1">{#N/A,#N/A,FALSE,"Assessment";#N/A,#N/A,FALSE,"Staffing";#N/A,#N/A,FALSE,"Hires";#N/A,#N/A,FALSE,"Assumptions"}</definedName>
    <definedName name="________KKK1" localSheetId="19" hidden="1">{#N/A,#N/A,FALSE,"Assessment";#N/A,#N/A,FALSE,"Staffing";#N/A,#N/A,FALSE,"Hires";#N/A,#N/A,FALSE,"Assumptions"}</definedName>
    <definedName name="________KKK1" localSheetId="20" hidden="1">{#N/A,#N/A,FALSE,"Assessment";#N/A,#N/A,FALSE,"Staffing";#N/A,#N/A,FALSE,"Hires";#N/A,#N/A,FALSE,"Assumptions"}</definedName>
    <definedName name="________KKK1" localSheetId="21" hidden="1">{#N/A,#N/A,FALSE,"Assessment";#N/A,#N/A,FALSE,"Staffing";#N/A,#N/A,FALSE,"Hires";#N/A,#N/A,FALSE,"Assumptions"}</definedName>
    <definedName name="________KKK1" localSheetId="39" hidden="1">{#N/A,#N/A,FALSE,"Assessment";#N/A,#N/A,FALSE,"Staffing";#N/A,#N/A,FALSE,"Hires";#N/A,#N/A,FALSE,"Assumptions"}</definedName>
    <definedName name="________KKK1" localSheetId="40" hidden="1">{#N/A,#N/A,FALSE,"Assessment";#N/A,#N/A,FALSE,"Staffing";#N/A,#N/A,FALSE,"Hires";#N/A,#N/A,FALSE,"Assumptions"}</definedName>
    <definedName name="________KKK1" localSheetId="41" hidden="1">{#N/A,#N/A,FALSE,"Assessment";#N/A,#N/A,FALSE,"Staffing";#N/A,#N/A,FALSE,"Hires";#N/A,#N/A,FALSE,"Assumptions"}</definedName>
    <definedName name="________KKK1" localSheetId="43" hidden="1">{#N/A,#N/A,FALSE,"Assessment";#N/A,#N/A,FALSE,"Staffing";#N/A,#N/A,FALSE,"Hires";#N/A,#N/A,FALSE,"Assumptions"}</definedName>
    <definedName name="________KKK1" localSheetId="48" hidden="1">{#N/A,#N/A,FALSE,"Assessment";#N/A,#N/A,FALSE,"Staffing";#N/A,#N/A,FALSE,"Hires";#N/A,#N/A,FALSE,"Assumptions"}</definedName>
    <definedName name="________KKK1" hidden="1">{#N/A,#N/A,FALSE,"Assessment";#N/A,#N/A,FALSE,"Staffing";#N/A,#N/A,FALSE,"Hires";#N/A,#N/A,FALSE,"Assumptions"}</definedName>
    <definedName name="________w2" localSheetId="1" hidden="1">{"Model Summary",#N/A,FALSE,"Print Chart";"Holdco",#N/A,FALSE,"Print Chart";"Genco",#N/A,FALSE,"Print Chart";"Servco",#N/A,FALSE,"Print Chart";"Genco_Detail",#N/A,FALSE,"Summary Financials";"Servco_Detail",#N/A,FALSE,"Summary Financials"}</definedName>
    <definedName name="________w2" localSheetId="2" hidden="1">{"Model Summary",#N/A,FALSE,"Print Chart";"Holdco",#N/A,FALSE,"Print Chart";"Genco",#N/A,FALSE,"Print Chart";"Servco",#N/A,FALSE,"Print Chart";"Genco_Detail",#N/A,FALSE,"Summary Financials";"Servco_Detail",#N/A,FALSE,"Summary Financials"}</definedName>
    <definedName name="________w2" localSheetId="0" hidden="1">{"Model Summary",#N/A,FALSE,"Print Chart";"Holdco",#N/A,FALSE,"Print Chart";"Genco",#N/A,FALSE,"Print Chart";"Servco",#N/A,FALSE,"Print Chart";"Genco_Detail",#N/A,FALSE,"Summary Financials";"Servco_Detail",#N/A,FALSE,"Summary Financials"}</definedName>
    <definedName name="________w2" localSheetId="30" hidden="1">{"Model Summary",#N/A,FALSE,"Print Chart";"Holdco",#N/A,FALSE,"Print Chart";"Genco",#N/A,FALSE,"Print Chart";"Servco",#N/A,FALSE,"Print Chart";"Genco_Detail",#N/A,FALSE,"Summary Financials";"Servco_Detail",#N/A,FALSE,"Summary Financials"}</definedName>
    <definedName name="________w2" localSheetId="12" hidden="1">{"Model Summary",#N/A,FALSE,"Print Chart";"Holdco",#N/A,FALSE,"Print Chart";"Genco",#N/A,FALSE,"Print Chart";"Servco",#N/A,FALSE,"Print Chart";"Genco_Detail",#N/A,FALSE,"Summary Financials";"Servco_Detail",#N/A,FALSE,"Summary Financials"}</definedName>
    <definedName name="________w2" localSheetId="38" hidden="1">{"Model Summary",#N/A,FALSE,"Print Chart";"Holdco",#N/A,FALSE,"Print Chart";"Genco",#N/A,FALSE,"Print Chart";"Servco",#N/A,FALSE,"Print Chart";"Genco_Detail",#N/A,FALSE,"Summary Financials";"Servco_Detail",#N/A,FALSE,"Summary Financials"}</definedName>
    <definedName name="________w2" localSheetId="10" hidden="1">{"Model Summary",#N/A,FALSE,"Print Chart";"Holdco",#N/A,FALSE,"Print Chart";"Genco",#N/A,FALSE,"Print Chart";"Servco",#N/A,FALSE,"Print Chart";"Genco_Detail",#N/A,FALSE,"Summary Financials";"Servco_Detail",#N/A,FALSE,"Summary Financials"}</definedName>
    <definedName name="________w2" localSheetId="11" hidden="1">{"Model Summary",#N/A,FALSE,"Print Chart";"Holdco",#N/A,FALSE,"Print Chart";"Genco",#N/A,FALSE,"Print Chart";"Servco",#N/A,FALSE,"Print Chart";"Genco_Detail",#N/A,FALSE,"Summary Financials";"Servco_Detail",#N/A,FALSE,"Summary Financials"}</definedName>
    <definedName name="________w2" localSheetId="3" hidden="1">{"Model Summary",#N/A,FALSE,"Print Chart";"Holdco",#N/A,FALSE,"Print Chart";"Genco",#N/A,FALSE,"Print Chart";"Servco",#N/A,FALSE,"Print Chart";"Genco_Detail",#N/A,FALSE,"Summary Financials";"Servco_Detail",#N/A,FALSE,"Summary Financials"}</definedName>
    <definedName name="________w2" localSheetId="4" hidden="1">{"Model Summary",#N/A,FALSE,"Print Chart";"Holdco",#N/A,FALSE,"Print Chart";"Genco",#N/A,FALSE,"Print Chart";"Servco",#N/A,FALSE,"Print Chart";"Genco_Detail",#N/A,FALSE,"Summary Financials";"Servco_Detail",#N/A,FALSE,"Summary Financials"}</definedName>
    <definedName name="________w2" localSheetId="6" hidden="1">{"Model Summary",#N/A,FALSE,"Print Chart";"Holdco",#N/A,FALSE,"Print Chart";"Genco",#N/A,FALSE,"Print Chart";"Servco",#N/A,FALSE,"Print Chart";"Genco_Detail",#N/A,FALSE,"Summary Financials";"Servco_Detail",#N/A,FALSE,"Summary Financials"}</definedName>
    <definedName name="________w2" localSheetId="7" hidden="1">{"Model Summary",#N/A,FALSE,"Print Chart";"Holdco",#N/A,FALSE,"Print Chart";"Genco",#N/A,FALSE,"Print Chart";"Servco",#N/A,FALSE,"Print Chart";"Genco_Detail",#N/A,FALSE,"Summary Financials";"Servco_Detail",#N/A,FALSE,"Summary Financials"}</definedName>
    <definedName name="________w2" localSheetId="8" hidden="1">{"Model Summary",#N/A,FALSE,"Print Chart";"Holdco",#N/A,FALSE,"Print Chart";"Genco",#N/A,FALSE,"Print Chart";"Servco",#N/A,FALSE,"Print Chart";"Genco_Detail",#N/A,FALSE,"Summary Financials";"Servco_Detail",#N/A,FALSE,"Summary Financials"}</definedName>
    <definedName name="________w2" localSheetId="9" hidden="1">{"Model Summary",#N/A,FALSE,"Print Chart";"Holdco",#N/A,FALSE,"Print Chart";"Genco",#N/A,FALSE,"Print Chart";"Servco",#N/A,FALSE,"Print Chart";"Genco_Detail",#N/A,FALSE,"Summary Financials";"Servco_Detail",#N/A,FALSE,"Summary Financials"}</definedName>
    <definedName name="________w2" localSheetId="31" hidden="1">{"Model Summary",#N/A,FALSE,"Print Chart";"Holdco",#N/A,FALSE,"Print Chart";"Genco",#N/A,FALSE,"Print Chart";"Servco",#N/A,FALSE,"Print Chart";"Genco_Detail",#N/A,FALSE,"Summary Financials";"Servco_Detail",#N/A,FALSE,"Summary Financials"}</definedName>
    <definedName name="________w2" localSheetId="32" hidden="1">{"Model Summary",#N/A,FALSE,"Print Chart";"Holdco",#N/A,FALSE,"Print Chart";"Genco",#N/A,FALSE,"Print Chart";"Servco",#N/A,FALSE,"Print Chart";"Genco_Detail",#N/A,FALSE,"Summary Financials";"Servco_Detail",#N/A,FALSE,"Summary Financials"}</definedName>
    <definedName name="________w2" localSheetId="13" hidden="1">{"Model Summary",#N/A,FALSE,"Print Chart";"Holdco",#N/A,FALSE,"Print Chart";"Genco",#N/A,FALSE,"Print Chart";"Servco",#N/A,FALSE,"Print Chart";"Genco_Detail",#N/A,FALSE,"Summary Financials";"Servco_Detail",#N/A,FALSE,"Summary Financials"}</definedName>
    <definedName name="________w2" localSheetId="22" hidden="1">{"Model Summary",#N/A,FALSE,"Print Chart";"Holdco",#N/A,FALSE,"Print Chart";"Genco",#N/A,FALSE,"Print Chart";"Servco",#N/A,FALSE,"Print Chart";"Genco_Detail",#N/A,FALSE,"Summary Financials";"Servco_Detail",#N/A,FALSE,"Summary Financials"}</definedName>
    <definedName name="________w2" localSheetId="23" hidden="1">{"Model Summary",#N/A,FALSE,"Print Chart";"Holdco",#N/A,FALSE,"Print Chart";"Genco",#N/A,FALSE,"Print Chart";"Servco",#N/A,FALSE,"Print Chart";"Genco_Detail",#N/A,FALSE,"Summary Financials";"Servco_Detail",#N/A,FALSE,"Summary Financials"}</definedName>
    <definedName name="________w2" localSheetId="14" hidden="1">{"Model Summary",#N/A,FALSE,"Print Chart";"Holdco",#N/A,FALSE,"Print Chart";"Genco",#N/A,FALSE,"Print Chart";"Servco",#N/A,FALSE,"Print Chart";"Genco_Detail",#N/A,FALSE,"Summary Financials";"Servco_Detail",#N/A,FALSE,"Summary Financials"}</definedName>
    <definedName name="________w2" localSheetId="15" hidden="1">{"Model Summary",#N/A,FALSE,"Print Chart";"Holdco",#N/A,FALSE,"Print Chart";"Genco",#N/A,FALSE,"Print Chart";"Servco",#N/A,FALSE,"Print Chart";"Genco_Detail",#N/A,FALSE,"Summary Financials";"Servco_Detail",#N/A,FALSE,"Summary Financials"}</definedName>
    <definedName name="________w2" localSheetId="16" hidden="1">{"Model Summary",#N/A,FALSE,"Print Chart";"Holdco",#N/A,FALSE,"Print Chart";"Genco",#N/A,FALSE,"Print Chart";"Servco",#N/A,FALSE,"Print Chart";"Genco_Detail",#N/A,FALSE,"Summary Financials";"Servco_Detail",#N/A,FALSE,"Summary Financials"}</definedName>
    <definedName name="________w2" localSheetId="17" hidden="1">{"Model Summary",#N/A,FALSE,"Print Chart";"Holdco",#N/A,FALSE,"Print Chart";"Genco",#N/A,FALSE,"Print Chart";"Servco",#N/A,FALSE,"Print Chart";"Genco_Detail",#N/A,FALSE,"Summary Financials";"Servco_Detail",#N/A,FALSE,"Summary Financials"}</definedName>
    <definedName name="________w2" localSheetId="18" hidden="1">{"Model Summary",#N/A,FALSE,"Print Chart";"Holdco",#N/A,FALSE,"Print Chart";"Genco",#N/A,FALSE,"Print Chart";"Servco",#N/A,FALSE,"Print Chart";"Genco_Detail",#N/A,FALSE,"Summary Financials";"Servco_Detail",#N/A,FALSE,"Summary Financials"}</definedName>
    <definedName name="________w2" localSheetId="19" hidden="1">{"Model Summary",#N/A,FALSE,"Print Chart";"Holdco",#N/A,FALSE,"Print Chart";"Genco",#N/A,FALSE,"Print Chart";"Servco",#N/A,FALSE,"Print Chart";"Genco_Detail",#N/A,FALSE,"Summary Financials";"Servco_Detail",#N/A,FALSE,"Summary Financials"}</definedName>
    <definedName name="________w2" localSheetId="20" hidden="1">{"Model Summary",#N/A,FALSE,"Print Chart";"Holdco",#N/A,FALSE,"Print Chart";"Genco",#N/A,FALSE,"Print Chart";"Servco",#N/A,FALSE,"Print Chart";"Genco_Detail",#N/A,FALSE,"Summary Financials";"Servco_Detail",#N/A,FALSE,"Summary Financials"}</definedName>
    <definedName name="________w2" localSheetId="21" hidden="1">{"Model Summary",#N/A,FALSE,"Print Chart";"Holdco",#N/A,FALSE,"Print Chart";"Genco",#N/A,FALSE,"Print Chart";"Servco",#N/A,FALSE,"Print Chart";"Genco_Detail",#N/A,FALSE,"Summary Financials";"Servco_Detail",#N/A,FALSE,"Summary Financials"}</definedName>
    <definedName name="________w2" localSheetId="39" hidden="1">{"Model Summary",#N/A,FALSE,"Print Chart";"Holdco",#N/A,FALSE,"Print Chart";"Genco",#N/A,FALSE,"Print Chart";"Servco",#N/A,FALSE,"Print Chart";"Genco_Detail",#N/A,FALSE,"Summary Financials";"Servco_Detail",#N/A,FALSE,"Summary Financials"}</definedName>
    <definedName name="________w2" localSheetId="40" hidden="1">{"Model Summary",#N/A,FALSE,"Print Chart";"Holdco",#N/A,FALSE,"Print Chart";"Genco",#N/A,FALSE,"Print Chart";"Servco",#N/A,FALSE,"Print Chart";"Genco_Detail",#N/A,FALSE,"Summary Financials";"Servco_Detail",#N/A,FALSE,"Summary Financials"}</definedName>
    <definedName name="________w2" localSheetId="41" hidden="1">{"Model Summary",#N/A,FALSE,"Print Chart";"Holdco",#N/A,FALSE,"Print Chart";"Genco",#N/A,FALSE,"Print Chart";"Servco",#N/A,FALSE,"Print Chart";"Genco_Detail",#N/A,FALSE,"Summary Financials";"Servco_Detail",#N/A,FALSE,"Summary Financials"}</definedName>
    <definedName name="________w2" localSheetId="43" hidden="1">{"Model Summary",#N/A,FALSE,"Print Chart";"Holdco",#N/A,FALSE,"Print Chart";"Genco",#N/A,FALSE,"Print Chart";"Servco",#N/A,FALSE,"Print Chart";"Genco_Detail",#N/A,FALSE,"Summary Financials";"Servco_Detail",#N/A,FALSE,"Summary Financials"}</definedName>
    <definedName name="________w2" localSheetId="48"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 hidden="1">{"Model Summary",#N/A,FALSE,"Print Chart";"Holdco",#N/A,FALSE,"Print Chart";"Genco",#N/A,FALSE,"Print Chart";"Servco",#N/A,FALSE,"Print Chart";"Genco_Detail",#N/A,FALSE,"Summary Financials";"Servco_Detail",#N/A,FALSE,"Summary Financials"}</definedName>
    <definedName name="________wr6" localSheetId="2" hidden="1">{"Model Summary",#N/A,FALSE,"Print Chart";"Holdco",#N/A,FALSE,"Print Chart";"Genco",#N/A,FALSE,"Print Chart";"Servco",#N/A,FALSE,"Print Chart";"Genco_Detail",#N/A,FALSE,"Summary Financials";"Servco_Detail",#N/A,FALSE,"Summary Financials"}</definedName>
    <definedName name="________wr6" localSheetId="0" hidden="1">{"Model Summary",#N/A,FALSE,"Print Chart";"Holdco",#N/A,FALSE,"Print Chart";"Genco",#N/A,FALSE,"Print Chart";"Servco",#N/A,FALSE,"Print Chart";"Genco_Detail",#N/A,FALSE,"Summary Financials";"Servco_Detail",#N/A,FALSE,"Summary Financials"}</definedName>
    <definedName name="________wr6" localSheetId="30" hidden="1">{"Model Summary",#N/A,FALSE,"Print Chart";"Holdco",#N/A,FALSE,"Print Chart";"Genco",#N/A,FALSE,"Print Chart";"Servco",#N/A,FALSE,"Print Chart";"Genco_Detail",#N/A,FALSE,"Summary Financials";"Servco_Detail",#N/A,FALSE,"Summary Financials"}</definedName>
    <definedName name="________wr6" localSheetId="12" hidden="1">{"Model Summary",#N/A,FALSE,"Print Chart";"Holdco",#N/A,FALSE,"Print Chart";"Genco",#N/A,FALSE,"Print Chart";"Servco",#N/A,FALSE,"Print Chart";"Genco_Detail",#N/A,FALSE,"Summary Financials";"Servco_Detail",#N/A,FALSE,"Summary Financials"}</definedName>
    <definedName name="________wr6" localSheetId="38" hidden="1">{"Model Summary",#N/A,FALSE,"Print Chart";"Holdco",#N/A,FALSE,"Print Chart";"Genco",#N/A,FALSE,"Print Chart";"Servco",#N/A,FALSE,"Print Chart";"Genco_Detail",#N/A,FALSE,"Summary Financials";"Servco_Detail",#N/A,FALSE,"Summary Financials"}</definedName>
    <definedName name="________wr6" localSheetId="10" hidden="1">{"Model Summary",#N/A,FALSE,"Print Chart";"Holdco",#N/A,FALSE,"Print Chart";"Genco",#N/A,FALSE,"Print Chart";"Servco",#N/A,FALSE,"Print Chart";"Genco_Detail",#N/A,FALSE,"Summary Financials";"Servco_Detail",#N/A,FALSE,"Summary Financials"}</definedName>
    <definedName name="________wr6" localSheetId="11"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localSheetId="4" hidden="1">{"Model Summary",#N/A,FALSE,"Print Chart";"Holdco",#N/A,FALSE,"Print Chart";"Genco",#N/A,FALSE,"Print Chart";"Servco",#N/A,FALSE,"Print Chart";"Genco_Detail",#N/A,FALSE,"Summary Financials";"Servco_Detail",#N/A,FALSE,"Summary Financials"}</definedName>
    <definedName name="________wr6" localSheetId="6" hidden="1">{"Model Summary",#N/A,FALSE,"Print Chart";"Holdco",#N/A,FALSE,"Print Chart";"Genco",#N/A,FALSE,"Print Chart";"Servco",#N/A,FALSE,"Print Chart";"Genco_Detail",#N/A,FALSE,"Summary Financials";"Servco_Detail",#N/A,FALSE,"Summary Financials"}</definedName>
    <definedName name="________wr6" localSheetId="7" hidden="1">{"Model Summary",#N/A,FALSE,"Print Chart";"Holdco",#N/A,FALSE,"Print Chart";"Genco",#N/A,FALSE,"Print Chart";"Servco",#N/A,FALSE,"Print Chart";"Genco_Detail",#N/A,FALSE,"Summary Financials";"Servco_Detail",#N/A,FALSE,"Summary Financials"}</definedName>
    <definedName name="________wr6" localSheetId="8" hidden="1">{"Model Summary",#N/A,FALSE,"Print Chart";"Holdco",#N/A,FALSE,"Print Chart";"Genco",#N/A,FALSE,"Print Chart";"Servco",#N/A,FALSE,"Print Chart";"Genco_Detail",#N/A,FALSE,"Summary Financials";"Servco_Detail",#N/A,FALSE,"Summary Financials"}</definedName>
    <definedName name="________wr6" localSheetId="9" hidden="1">{"Model Summary",#N/A,FALSE,"Print Chart";"Holdco",#N/A,FALSE,"Print Chart";"Genco",#N/A,FALSE,"Print Chart";"Servco",#N/A,FALSE,"Print Chart";"Genco_Detail",#N/A,FALSE,"Summary Financials";"Servco_Detail",#N/A,FALSE,"Summary Financials"}</definedName>
    <definedName name="________wr6" localSheetId="31" hidden="1">{"Model Summary",#N/A,FALSE,"Print Chart";"Holdco",#N/A,FALSE,"Print Chart";"Genco",#N/A,FALSE,"Print Chart";"Servco",#N/A,FALSE,"Print Chart";"Genco_Detail",#N/A,FALSE,"Summary Financials";"Servco_Detail",#N/A,FALSE,"Summary Financials"}</definedName>
    <definedName name="________wr6" localSheetId="32" hidden="1">{"Model Summary",#N/A,FALSE,"Print Chart";"Holdco",#N/A,FALSE,"Print Chart";"Genco",#N/A,FALSE,"Print Chart";"Servco",#N/A,FALSE,"Print Chart";"Genco_Detail",#N/A,FALSE,"Summary Financials";"Servco_Detail",#N/A,FALSE,"Summary Financials"}</definedName>
    <definedName name="________wr6" localSheetId="13" hidden="1">{"Model Summary",#N/A,FALSE,"Print Chart";"Holdco",#N/A,FALSE,"Print Chart";"Genco",#N/A,FALSE,"Print Chart";"Servco",#N/A,FALSE,"Print Chart";"Genco_Detail",#N/A,FALSE,"Summary Financials";"Servco_Detail",#N/A,FALSE,"Summary Financials"}</definedName>
    <definedName name="________wr6" localSheetId="22" hidden="1">{"Model Summary",#N/A,FALSE,"Print Chart";"Holdco",#N/A,FALSE,"Print Chart";"Genco",#N/A,FALSE,"Print Chart";"Servco",#N/A,FALSE,"Print Chart";"Genco_Detail",#N/A,FALSE,"Summary Financials";"Servco_Detail",#N/A,FALSE,"Summary Financials"}</definedName>
    <definedName name="________wr6" localSheetId="23" hidden="1">{"Model Summary",#N/A,FALSE,"Print Chart";"Holdco",#N/A,FALSE,"Print Chart";"Genco",#N/A,FALSE,"Print Chart";"Servco",#N/A,FALSE,"Print Chart";"Genco_Detail",#N/A,FALSE,"Summary Financials";"Servco_Detail",#N/A,FALSE,"Summary Financials"}</definedName>
    <definedName name="________wr6" localSheetId="14" hidden="1">{"Model Summary",#N/A,FALSE,"Print Chart";"Holdco",#N/A,FALSE,"Print Chart";"Genco",#N/A,FALSE,"Print Chart";"Servco",#N/A,FALSE,"Print Chart";"Genco_Detail",#N/A,FALSE,"Summary Financials";"Servco_Detail",#N/A,FALSE,"Summary Financials"}</definedName>
    <definedName name="________wr6" localSheetId="15" hidden="1">{"Model Summary",#N/A,FALSE,"Print Chart";"Holdco",#N/A,FALSE,"Print Chart";"Genco",#N/A,FALSE,"Print Chart";"Servco",#N/A,FALSE,"Print Chart";"Genco_Detail",#N/A,FALSE,"Summary Financials";"Servco_Detail",#N/A,FALSE,"Summary Financials"}</definedName>
    <definedName name="________wr6" localSheetId="16" hidden="1">{"Model Summary",#N/A,FALSE,"Print Chart";"Holdco",#N/A,FALSE,"Print Chart";"Genco",#N/A,FALSE,"Print Chart";"Servco",#N/A,FALSE,"Print Chart";"Genco_Detail",#N/A,FALSE,"Summary Financials";"Servco_Detail",#N/A,FALSE,"Summary Financials"}</definedName>
    <definedName name="________wr6" localSheetId="17" hidden="1">{"Model Summary",#N/A,FALSE,"Print Chart";"Holdco",#N/A,FALSE,"Print Chart";"Genco",#N/A,FALSE,"Print Chart";"Servco",#N/A,FALSE,"Print Chart";"Genco_Detail",#N/A,FALSE,"Summary Financials";"Servco_Detail",#N/A,FALSE,"Summary Financials"}</definedName>
    <definedName name="________wr6" localSheetId="18" hidden="1">{"Model Summary",#N/A,FALSE,"Print Chart";"Holdco",#N/A,FALSE,"Print Chart";"Genco",#N/A,FALSE,"Print Chart";"Servco",#N/A,FALSE,"Print Chart";"Genco_Detail",#N/A,FALSE,"Summary Financials";"Servco_Detail",#N/A,FALSE,"Summary Financials"}</definedName>
    <definedName name="________wr6" localSheetId="19" hidden="1">{"Model Summary",#N/A,FALSE,"Print Chart";"Holdco",#N/A,FALSE,"Print Chart";"Genco",#N/A,FALSE,"Print Chart";"Servco",#N/A,FALSE,"Print Chart";"Genco_Detail",#N/A,FALSE,"Summary Financials";"Servco_Detail",#N/A,FALSE,"Summary Financials"}</definedName>
    <definedName name="________wr6" localSheetId="20" hidden="1">{"Model Summary",#N/A,FALSE,"Print Chart";"Holdco",#N/A,FALSE,"Print Chart";"Genco",#N/A,FALSE,"Print Chart";"Servco",#N/A,FALSE,"Print Chart";"Genco_Detail",#N/A,FALSE,"Summary Financials";"Servco_Detail",#N/A,FALSE,"Summary Financials"}</definedName>
    <definedName name="________wr6" localSheetId="21" hidden="1">{"Model Summary",#N/A,FALSE,"Print Chart";"Holdco",#N/A,FALSE,"Print Chart";"Genco",#N/A,FALSE,"Print Chart";"Servco",#N/A,FALSE,"Print Chart";"Genco_Detail",#N/A,FALSE,"Summary Financials";"Servco_Detail",#N/A,FALSE,"Summary Financials"}</definedName>
    <definedName name="________wr6" localSheetId="39" hidden="1">{"Model Summary",#N/A,FALSE,"Print Chart";"Holdco",#N/A,FALSE,"Print Chart";"Genco",#N/A,FALSE,"Print Chart";"Servco",#N/A,FALSE,"Print Chart";"Genco_Detail",#N/A,FALSE,"Summary Financials";"Servco_Detail",#N/A,FALSE,"Summary Financials"}</definedName>
    <definedName name="________wr6" localSheetId="40" hidden="1">{"Model Summary",#N/A,FALSE,"Print Chart";"Holdco",#N/A,FALSE,"Print Chart";"Genco",#N/A,FALSE,"Print Chart";"Servco",#N/A,FALSE,"Print Chart";"Genco_Detail",#N/A,FALSE,"Summary Financials";"Servco_Detail",#N/A,FALSE,"Summary Financials"}</definedName>
    <definedName name="________wr6" localSheetId="41" hidden="1">{"Model Summary",#N/A,FALSE,"Print Chart";"Holdco",#N/A,FALSE,"Print Chart";"Genco",#N/A,FALSE,"Print Chart";"Servco",#N/A,FALSE,"Print Chart";"Genco_Detail",#N/A,FALSE,"Summary Financials";"Servco_Detail",#N/A,FALSE,"Summary Financials"}</definedName>
    <definedName name="________wr6" localSheetId="43" hidden="1">{"Model Summary",#N/A,FALSE,"Print Chart";"Holdco",#N/A,FALSE,"Print Chart";"Genco",#N/A,FALSE,"Print Chart";"Servco",#N/A,FALSE,"Print Chart";"Genco_Detail",#N/A,FALSE,"Summary Financials";"Servco_Detail",#N/A,FALSE,"Summary Financials"}</definedName>
    <definedName name="________wr6" localSheetId="48"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 hidden="1">{"holdco",#N/A,FALSE,"Summary Financials";"holdco",#N/A,FALSE,"Summary Financials"}</definedName>
    <definedName name="________wr9" localSheetId="2" hidden="1">{"holdco",#N/A,FALSE,"Summary Financials";"holdco",#N/A,FALSE,"Summary Financials"}</definedName>
    <definedName name="________wr9" localSheetId="0" hidden="1">{"holdco",#N/A,FALSE,"Summary Financials";"holdco",#N/A,FALSE,"Summary Financials"}</definedName>
    <definedName name="________wr9" localSheetId="30" hidden="1">{"holdco",#N/A,FALSE,"Summary Financials";"holdco",#N/A,FALSE,"Summary Financials"}</definedName>
    <definedName name="________wr9" localSheetId="12" hidden="1">{"holdco",#N/A,FALSE,"Summary Financials";"holdco",#N/A,FALSE,"Summary Financials"}</definedName>
    <definedName name="________wr9" localSheetId="38" hidden="1">{"holdco",#N/A,FALSE,"Summary Financials";"holdco",#N/A,FALSE,"Summary Financials"}</definedName>
    <definedName name="________wr9" localSheetId="10" hidden="1">{"holdco",#N/A,FALSE,"Summary Financials";"holdco",#N/A,FALSE,"Summary Financials"}</definedName>
    <definedName name="________wr9" localSheetId="11" hidden="1">{"holdco",#N/A,FALSE,"Summary Financials";"holdco",#N/A,FALSE,"Summary Financials"}</definedName>
    <definedName name="________wr9" localSheetId="3" hidden="1">{"holdco",#N/A,FALSE,"Summary Financials";"holdco",#N/A,FALSE,"Summary Financials"}</definedName>
    <definedName name="________wr9" localSheetId="4" hidden="1">{"holdco",#N/A,FALSE,"Summary Financials";"holdco",#N/A,FALSE,"Summary Financials"}</definedName>
    <definedName name="________wr9" localSheetId="6" hidden="1">{"holdco",#N/A,FALSE,"Summary Financials";"holdco",#N/A,FALSE,"Summary Financials"}</definedName>
    <definedName name="________wr9" localSheetId="7" hidden="1">{"holdco",#N/A,FALSE,"Summary Financials";"holdco",#N/A,FALSE,"Summary Financials"}</definedName>
    <definedName name="________wr9" localSheetId="8" hidden="1">{"holdco",#N/A,FALSE,"Summary Financials";"holdco",#N/A,FALSE,"Summary Financials"}</definedName>
    <definedName name="________wr9" localSheetId="9" hidden="1">{"holdco",#N/A,FALSE,"Summary Financials";"holdco",#N/A,FALSE,"Summary Financials"}</definedName>
    <definedName name="________wr9" localSheetId="31" hidden="1">{"holdco",#N/A,FALSE,"Summary Financials";"holdco",#N/A,FALSE,"Summary Financials"}</definedName>
    <definedName name="________wr9" localSheetId="32" hidden="1">{"holdco",#N/A,FALSE,"Summary Financials";"holdco",#N/A,FALSE,"Summary Financials"}</definedName>
    <definedName name="________wr9" localSheetId="13" hidden="1">{"holdco",#N/A,FALSE,"Summary Financials";"holdco",#N/A,FALSE,"Summary Financials"}</definedName>
    <definedName name="________wr9" localSheetId="22" hidden="1">{"holdco",#N/A,FALSE,"Summary Financials";"holdco",#N/A,FALSE,"Summary Financials"}</definedName>
    <definedName name="________wr9" localSheetId="23" hidden="1">{"holdco",#N/A,FALSE,"Summary Financials";"holdco",#N/A,FALSE,"Summary Financials"}</definedName>
    <definedName name="________wr9" localSheetId="14" hidden="1">{"holdco",#N/A,FALSE,"Summary Financials";"holdco",#N/A,FALSE,"Summary Financials"}</definedName>
    <definedName name="________wr9" localSheetId="15" hidden="1">{"holdco",#N/A,FALSE,"Summary Financials";"holdco",#N/A,FALSE,"Summary Financials"}</definedName>
    <definedName name="________wr9" localSheetId="16" hidden="1">{"holdco",#N/A,FALSE,"Summary Financials";"holdco",#N/A,FALSE,"Summary Financials"}</definedName>
    <definedName name="________wr9" localSheetId="17" hidden="1">{"holdco",#N/A,FALSE,"Summary Financials";"holdco",#N/A,FALSE,"Summary Financials"}</definedName>
    <definedName name="________wr9" localSheetId="18" hidden="1">{"holdco",#N/A,FALSE,"Summary Financials";"holdco",#N/A,FALSE,"Summary Financials"}</definedName>
    <definedName name="________wr9" localSheetId="19" hidden="1">{"holdco",#N/A,FALSE,"Summary Financials";"holdco",#N/A,FALSE,"Summary Financials"}</definedName>
    <definedName name="________wr9" localSheetId="20" hidden="1">{"holdco",#N/A,FALSE,"Summary Financials";"holdco",#N/A,FALSE,"Summary Financials"}</definedName>
    <definedName name="________wr9" localSheetId="21" hidden="1">{"holdco",#N/A,FALSE,"Summary Financials";"holdco",#N/A,FALSE,"Summary Financials"}</definedName>
    <definedName name="________wr9" localSheetId="39" hidden="1">{"holdco",#N/A,FALSE,"Summary Financials";"holdco",#N/A,FALSE,"Summary Financials"}</definedName>
    <definedName name="________wr9" localSheetId="40" hidden="1">{"holdco",#N/A,FALSE,"Summary Financials";"holdco",#N/A,FALSE,"Summary Financials"}</definedName>
    <definedName name="________wr9" localSheetId="41" hidden="1">{"holdco",#N/A,FALSE,"Summary Financials";"holdco",#N/A,FALSE,"Summary Financials"}</definedName>
    <definedName name="________wr9" localSheetId="43" hidden="1">{"holdco",#N/A,FALSE,"Summary Financials";"holdco",#N/A,FALSE,"Summary Financials"}</definedName>
    <definedName name="________wr9" localSheetId="48" hidden="1">{"holdco",#N/A,FALSE,"Summary Financials";"holdco",#N/A,FALSE,"Summary Financials"}</definedName>
    <definedName name="________wr9" hidden="1">{"holdco",#N/A,FALSE,"Summary Financials";"holdco",#N/A,FALSE,"Summary Financials"}</definedName>
    <definedName name="________wrn1" localSheetId="1" hidden="1">{"holdco",#N/A,FALSE,"Summary Financials";"holdco",#N/A,FALSE,"Summary Financials"}</definedName>
    <definedName name="________wrn1" localSheetId="2" hidden="1">{"holdco",#N/A,FALSE,"Summary Financials";"holdco",#N/A,FALSE,"Summary Financials"}</definedName>
    <definedName name="________wrn1" localSheetId="0" hidden="1">{"holdco",#N/A,FALSE,"Summary Financials";"holdco",#N/A,FALSE,"Summary Financials"}</definedName>
    <definedName name="________wrn1" localSheetId="30" hidden="1">{"holdco",#N/A,FALSE,"Summary Financials";"holdco",#N/A,FALSE,"Summary Financials"}</definedName>
    <definedName name="________wrn1" localSheetId="12" hidden="1">{"holdco",#N/A,FALSE,"Summary Financials";"holdco",#N/A,FALSE,"Summary Financials"}</definedName>
    <definedName name="________wrn1" localSheetId="38" hidden="1">{"holdco",#N/A,FALSE,"Summary Financials";"holdco",#N/A,FALSE,"Summary Financials"}</definedName>
    <definedName name="________wrn1" localSheetId="10" hidden="1">{"holdco",#N/A,FALSE,"Summary Financials";"holdco",#N/A,FALSE,"Summary Financials"}</definedName>
    <definedName name="________wrn1" localSheetId="11" hidden="1">{"holdco",#N/A,FALSE,"Summary Financials";"holdco",#N/A,FALSE,"Summary Financials"}</definedName>
    <definedName name="________wrn1" localSheetId="3" hidden="1">{"holdco",#N/A,FALSE,"Summary Financials";"holdco",#N/A,FALSE,"Summary Financials"}</definedName>
    <definedName name="________wrn1" localSheetId="4" hidden="1">{"holdco",#N/A,FALSE,"Summary Financials";"holdco",#N/A,FALSE,"Summary Financials"}</definedName>
    <definedName name="________wrn1" localSheetId="6" hidden="1">{"holdco",#N/A,FALSE,"Summary Financials";"holdco",#N/A,FALSE,"Summary Financials"}</definedName>
    <definedName name="________wrn1" localSheetId="7" hidden="1">{"holdco",#N/A,FALSE,"Summary Financials";"holdco",#N/A,FALSE,"Summary Financials"}</definedName>
    <definedName name="________wrn1" localSheetId="8" hidden="1">{"holdco",#N/A,FALSE,"Summary Financials";"holdco",#N/A,FALSE,"Summary Financials"}</definedName>
    <definedName name="________wrn1" localSheetId="9" hidden="1">{"holdco",#N/A,FALSE,"Summary Financials";"holdco",#N/A,FALSE,"Summary Financials"}</definedName>
    <definedName name="________wrn1" localSheetId="31" hidden="1">{"holdco",#N/A,FALSE,"Summary Financials";"holdco",#N/A,FALSE,"Summary Financials"}</definedName>
    <definedName name="________wrn1" localSheetId="32" hidden="1">{"holdco",#N/A,FALSE,"Summary Financials";"holdco",#N/A,FALSE,"Summary Financials"}</definedName>
    <definedName name="________wrn1" localSheetId="13" hidden="1">{"holdco",#N/A,FALSE,"Summary Financials";"holdco",#N/A,FALSE,"Summary Financials"}</definedName>
    <definedName name="________wrn1" localSheetId="22" hidden="1">{"holdco",#N/A,FALSE,"Summary Financials";"holdco",#N/A,FALSE,"Summary Financials"}</definedName>
    <definedName name="________wrn1" localSheetId="23" hidden="1">{"holdco",#N/A,FALSE,"Summary Financials";"holdco",#N/A,FALSE,"Summary Financials"}</definedName>
    <definedName name="________wrn1" localSheetId="14" hidden="1">{"holdco",#N/A,FALSE,"Summary Financials";"holdco",#N/A,FALSE,"Summary Financials"}</definedName>
    <definedName name="________wrn1" localSheetId="15" hidden="1">{"holdco",#N/A,FALSE,"Summary Financials";"holdco",#N/A,FALSE,"Summary Financials"}</definedName>
    <definedName name="________wrn1" localSheetId="16" hidden="1">{"holdco",#N/A,FALSE,"Summary Financials";"holdco",#N/A,FALSE,"Summary Financials"}</definedName>
    <definedName name="________wrn1" localSheetId="17" hidden="1">{"holdco",#N/A,FALSE,"Summary Financials";"holdco",#N/A,FALSE,"Summary Financials"}</definedName>
    <definedName name="________wrn1" localSheetId="18" hidden="1">{"holdco",#N/A,FALSE,"Summary Financials";"holdco",#N/A,FALSE,"Summary Financials"}</definedName>
    <definedName name="________wrn1" localSheetId="19" hidden="1">{"holdco",#N/A,FALSE,"Summary Financials";"holdco",#N/A,FALSE,"Summary Financials"}</definedName>
    <definedName name="________wrn1" localSheetId="20" hidden="1">{"holdco",#N/A,FALSE,"Summary Financials";"holdco",#N/A,FALSE,"Summary Financials"}</definedName>
    <definedName name="________wrn1" localSheetId="21" hidden="1">{"holdco",#N/A,FALSE,"Summary Financials";"holdco",#N/A,FALSE,"Summary Financials"}</definedName>
    <definedName name="________wrn1" localSheetId="39" hidden="1">{"holdco",#N/A,FALSE,"Summary Financials";"holdco",#N/A,FALSE,"Summary Financials"}</definedName>
    <definedName name="________wrn1" localSheetId="40" hidden="1">{"holdco",#N/A,FALSE,"Summary Financials";"holdco",#N/A,FALSE,"Summary Financials"}</definedName>
    <definedName name="________wrn1" localSheetId="41" hidden="1">{"holdco",#N/A,FALSE,"Summary Financials";"holdco",#N/A,FALSE,"Summary Financials"}</definedName>
    <definedName name="________wrn1" localSheetId="43" hidden="1">{"holdco",#N/A,FALSE,"Summary Financials";"holdco",#N/A,FALSE,"Summary Financials"}</definedName>
    <definedName name="________wrn1" localSheetId="48" hidden="1">{"holdco",#N/A,FALSE,"Summary Financials";"holdco",#N/A,FALSE,"Summary Financials"}</definedName>
    <definedName name="________wrn1" hidden="1">{"holdco",#N/A,FALSE,"Summary Financials";"holdco",#N/A,FALSE,"Summary Financials"}</definedName>
    <definedName name="________wrn2" localSheetId="1" hidden="1">{"holdco",#N/A,FALSE,"Summary Financials";"holdco",#N/A,FALSE,"Summary Financials"}</definedName>
    <definedName name="________wrn2" localSheetId="2" hidden="1">{"holdco",#N/A,FALSE,"Summary Financials";"holdco",#N/A,FALSE,"Summary Financials"}</definedName>
    <definedName name="________wrn2" localSheetId="0" hidden="1">{"holdco",#N/A,FALSE,"Summary Financials";"holdco",#N/A,FALSE,"Summary Financials"}</definedName>
    <definedName name="________wrn2" localSheetId="30" hidden="1">{"holdco",#N/A,FALSE,"Summary Financials";"holdco",#N/A,FALSE,"Summary Financials"}</definedName>
    <definedName name="________wrn2" localSheetId="12" hidden="1">{"holdco",#N/A,FALSE,"Summary Financials";"holdco",#N/A,FALSE,"Summary Financials"}</definedName>
    <definedName name="________wrn2" localSheetId="38" hidden="1">{"holdco",#N/A,FALSE,"Summary Financials";"holdco",#N/A,FALSE,"Summary Financials"}</definedName>
    <definedName name="________wrn2" localSheetId="10" hidden="1">{"holdco",#N/A,FALSE,"Summary Financials";"holdco",#N/A,FALSE,"Summary Financials"}</definedName>
    <definedName name="________wrn2" localSheetId="11" hidden="1">{"holdco",#N/A,FALSE,"Summary Financials";"holdco",#N/A,FALSE,"Summary Financials"}</definedName>
    <definedName name="________wrn2" localSheetId="3" hidden="1">{"holdco",#N/A,FALSE,"Summary Financials";"holdco",#N/A,FALSE,"Summary Financials"}</definedName>
    <definedName name="________wrn2" localSheetId="4" hidden="1">{"holdco",#N/A,FALSE,"Summary Financials";"holdco",#N/A,FALSE,"Summary Financials"}</definedName>
    <definedName name="________wrn2" localSheetId="6" hidden="1">{"holdco",#N/A,FALSE,"Summary Financials";"holdco",#N/A,FALSE,"Summary Financials"}</definedName>
    <definedName name="________wrn2" localSheetId="7" hidden="1">{"holdco",#N/A,FALSE,"Summary Financials";"holdco",#N/A,FALSE,"Summary Financials"}</definedName>
    <definedName name="________wrn2" localSheetId="8" hidden="1">{"holdco",#N/A,FALSE,"Summary Financials";"holdco",#N/A,FALSE,"Summary Financials"}</definedName>
    <definedName name="________wrn2" localSheetId="9" hidden="1">{"holdco",#N/A,FALSE,"Summary Financials";"holdco",#N/A,FALSE,"Summary Financials"}</definedName>
    <definedName name="________wrn2" localSheetId="31" hidden="1">{"holdco",#N/A,FALSE,"Summary Financials";"holdco",#N/A,FALSE,"Summary Financials"}</definedName>
    <definedName name="________wrn2" localSheetId="32" hidden="1">{"holdco",#N/A,FALSE,"Summary Financials";"holdco",#N/A,FALSE,"Summary Financials"}</definedName>
    <definedName name="________wrn2" localSheetId="13" hidden="1">{"holdco",#N/A,FALSE,"Summary Financials";"holdco",#N/A,FALSE,"Summary Financials"}</definedName>
    <definedName name="________wrn2" localSheetId="22" hidden="1">{"holdco",#N/A,FALSE,"Summary Financials";"holdco",#N/A,FALSE,"Summary Financials"}</definedName>
    <definedName name="________wrn2" localSheetId="23" hidden="1">{"holdco",#N/A,FALSE,"Summary Financials";"holdco",#N/A,FALSE,"Summary Financials"}</definedName>
    <definedName name="________wrn2" localSheetId="14" hidden="1">{"holdco",#N/A,FALSE,"Summary Financials";"holdco",#N/A,FALSE,"Summary Financials"}</definedName>
    <definedName name="________wrn2" localSheetId="15" hidden="1">{"holdco",#N/A,FALSE,"Summary Financials";"holdco",#N/A,FALSE,"Summary Financials"}</definedName>
    <definedName name="________wrn2" localSheetId="16" hidden="1">{"holdco",#N/A,FALSE,"Summary Financials";"holdco",#N/A,FALSE,"Summary Financials"}</definedName>
    <definedName name="________wrn2" localSheetId="17" hidden="1">{"holdco",#N/A,FALSE,"Summary Financials";"holdco",#N/A,FALSE,"Summary Financials"}</definedName>
    <definedName name="________wrn2" localSheetId="18" hidden="1">{"holdco",#N/A,FALSE,"Summary Financials";"holdco",#N/A,FALSE,"Summary Financials"}</definedName>
    <definedName name="________wrn2" localSheetId="19" hidden="1">{"holdco",#N/A,FALSE,"Summary Financials";"holdco",#N/A,FALSE,"Summary Financials"}</definedName>
    <definedName name="________wrn2" localSheetId="20" hidden="1">{"holdco",#N/A,FALSE,"Summary Financials";"holdco",#N/A,FALSE,"Summary Financials"}</definedName>
    <definedName name="________wrn2" localSheetId="21" hidden="1">{"holdco",#N/A,FALSE,"Summary Financials";"holdco",#N/A,FALSE,"Summary Financials"}</definedName>
    <definedName name="________wrn2" localSheetId="39" hidden="1">{"holdco",#N/A,FALSE,"Summary Financials";"holdco",#N/A,FALSE,"Summary Financials"}</definedName>
    <definedName name="________wrn2" localSheetId="40" hidden="1">{"holdco",#N/A,FALSE,"Summary Financials";"holdco",#N/A,FALSE,"Summary Financials"}</definedName>
    <definedName name="________wrn2" localSheetId="41" hidden="1">{"holdco",#N/A,FALSE,"Summary Financials";"holdco",#N/A,FALSE,"Summary Financials"}</definedName>
    <definedName name="________wrn2" localSheetId="43" hidden="1">{"holdco",#N/A,FALSE,"Summary Financials";"holdco",#N/A,FALSE,"Summary Financials"}</definedName>
    <definedName name="________wrn2" localSheetId="48" hidden="1">{"holdco",#N/A,FALSE,"Summary Financials";"holdco",#N/A,FALSE,"Summary Financials"}</definedName>
    <definedName name="________wrn2" hidden="1">{"holdco",#N/A,FALSE,"Summary Financials";"holdco",#N/A,FALSE,"Summary Financials"}</definedName>
    <definedName name="________wrn3" localSheetId="1" hidden="1">{"holdco",#N/A,FALSE,"Summary Financials";"holdco",#N/A,FALSE,"Summary Financials"}</definedName>
    <definedName name="________wrn3" localSheetId="2" hidden="1">{"holdco",#N/A,FALSE,"Summary Financials";"holdco",#N/A,FALSE,"Summary Financials"}</definedName>
    <definedName name="________wrn3" localSheetId="0" hidden="1">{"holdco",#N/A,FALSE,"Summary Financials";"holdco",#N/A,FALSE,"Summary Financials"}</definedName>
    <definedName name="________wrn3" localSheetId="30" hidden="1">{"holdco",#N/A,FALSE,"Summary Financials";"holdco",#N/A,FALSE,"Summary Financials"}</definedName>
    <definedName name="________wrn3" localSheetId="12" hidden="1">{"holdco",#N/A,FALSE,"Summary Financials";"holdco",#N/A,FALSE,"Summary Financials"}</definedName>
    <definedName name="________wrn3" localSheetId="38" hidden="1">{"holdco",#N/A,FALSE,"Summary Financials";"holdco",#N/A,FALSE,"Summary Financials"}</definedName>
    <definedName name="________wrn3" localSheetId="10" hidden="1">{"holdco",#N/A,FALSE,"Summary Financials";"holdco",#N/A,FALSE,"Summary Financials"}</definedName>
    <definedName name="________wrn3" localSheetId="11" hidden="1">{"holdco",#N/A,FALSE,"Summary Financials";"holdco",#N/A,FALSE,"Summary Financials"}</definedName>
    <definedName name="________wrn3" localSheetId="3" hidden="1">{"holdco",#N/A,FALSE,"Summary Financials";"holdco",#N/A,FALSE,"Summary Financials"}</definedName>
    <definedName name="________wrn3" localSheetId="4" hidden="1">{"holdco",#N/A,FALSE,"Summary Financials";"holdco",#N/A,FALSE,"Summary Financials"}</definedName>
    <definedName name="________wrn3" localSheetId="6" hidden="1">{"holdco",#N/A,FALSE,"Summary Financials";"holdco",#N/A,FALSE,"Summary Financials"}</definedName>
    <definedName name="________wrn3" localSheetId="7" hidden="1">{"holdco",#N/A,FALSE,"Summary Financials";"holdco",#N/A,FALSE,"Summary Financials"}</definedName>
    <definedName name="________wrn3" localSheetId="8" hidden="1">{"holdco",#N/A,FALSE,"Summary Financials";"holdco",#N/A,FALSE,"Summary Financials"}</definedName>
    <definedName name="________wrn3" localSheetId="9" hidden="1">{"holdco",#N/A,FALSE,"Summary Financials";"holdco",#N/A,FALSE,"Summary Financials"}</definedName>
    <definedName name="________wrn3" localSheetId="31" hidden="1">{"holdco",#N/A,FALSE,"Summary Financials";"holdco",#N/A,FALSE,"Summary Financials"}</definedName>
    <definedName name="________wrn3" localSheetId="32" hidden="1">{"holdco",#N/A,FALSE,"Summary Financials";"holdco",#N/A,FALSE,"Summary Financials"}</definedName>
    <definedName name="________wrn3" localSheetId="13" hidden="1">{"holdco",#N/A,FALSE,"Summary Financials";"holdco",#N/A,FALSE,"Summary Financials"}</definedName>
    <definedName name="________wrn3" localSheetId="22" hidden="1">{"holdco",#N/A,FALSE,"Summary Financials";"holdco",#N/A,FALSE,"Summary Financials"}</definedName>
    <definedName name="________wrn3" localSheetId="23" hidden="1">{"holdco",#N/A,FALSE,"Summary Financials";"holdco",#N/A,FALSE,"Summary Financials"}</definedName>
    <definedName name="________wrn3" localSheetId="14" hidden="1">{"holdco",#N/A,FALSE,"Summary Financials";"holdco",#N/A,FALSE,"Summary Financials"}</definedName>
    <definedName name="________wrn3" localSheetId="15" hidden="1">{"holdco",#N/A,FALSE,"Summary Financials";"holdco",#N/A,FALSE,"Summary Financials"}</definedName>
    <definedName name="________wrn3" localSheetId="16" hidden="1">{"holdco",#N/A,FALSE,"Summary Financials";"holdco",#N/A,FALSE,"Summary Financials"}</definedName>
    <definedName name="________wrn3" localSheetId="17" hidden="1">{"holdco",#N/A,FALSE,"Summary Financials";"holdco",#N/A,FALSE,"Summary Financials"}</definedName>
    <definedName name="________wrn3" localSheetId="18" hidden="1">{"holdco",#N/A,FALSE,"Summary Financials";"holdco",#N/A,FALSE,"Summary Financials"}</definedName>
    <definedName name="________wrn3" localSheetId="19" hidden="1">{"holdco",#N/A,FALSE,"Summary Financials";"holdco",#N/A,FALSE,"Summary Financials"}</definedName>
    <definedName name="________wrn3" localSheetId="20" hidden="1">{"holdco",#N/A,FALSE,"Summary Financials";"holdco",#N/A,FALSE,"Summary Financials"}</definedName>
    <definedName name="________wrn3" localSheetId="21" hidden="1">{"holdco",#N/A,FALSE,"Summary Financials";"holdco",#N/A,FALSE,"Summary Financials"}</definedName>
    <definedName name="________wrn3" localSheetId="39" hidden="1">{"holdco",#N/A,FALSE,"Summary Financials";"holdco",#N/A,FALSE,"Summary Financials"}</definedName>
    <definedName name="________wrn3" localSheetId="40" hidden="1">{"holdco",#N/A,FALSE,"Summary Financials";"holdco",#N/A,FALSE,"Summary Financials"}</definedName>
    <definedName name="________wrn3" localSheetId="41" hidden="1">{"holdco",#N/A,FALSE,"Summary Financials";"holdco",#N/A,FALSE,"Summary Financials"}</definedName>
    <definedName name="________wrn3" localSheetId="43" hidden="1">{"holdco",#N/A,FALSE,"Summary Financials";"holdco",#N/A,FALSE,"Summary Financials"}</definedName>
    <definedName name="________wrn3" localSheetId="48" hidden="1">{"holdco",#N/A,FALSE,"Summary Financials";"holdco",#N/A,FALSE,"Summary Financials"}</definedName>
    <definedName name="________wrn3" hidden="1">{"holdco",#N/A,FALSE,"Summary Financials";"holdco",#N/A,FALSE,"Summary Financials"}</definedName>
    <definedName name="________wrn7" localSheetId="1" hidden="1">{"Model Summary",#N/A,FALSE,"Print Chart";"Holdco",#N/A,FALSE,"Print Chart";"Genco",#N/A,FALSE,"Print Chart";"Servco",#N/A,FALSE,"Print Chart";"Genco_Detail",#N/A,FALSE,"Summary Financials";"Servco_Detail",#N/A,FALSE,"Summary Financials"}</definedName>
    <definedName name="________wrn7" localSheetId="2" hidden="1">{"Model Summary",#N/A,FALSE,"Print Chart";"Holdco",#N/A,FALSE,"Print Chart";"Genco",#N/A,FALSE,"Print Chart";"Servco",#N/A,FALSE,"Print Chart";"Genco_Detail",#N/A,FALSE,"Summary Financials";"Servco_Detail",#N/A,FALSE,"Summary Financials"}</definedName>
    <definedName name="________wrn7" localSheetId="0" hidden="1">{"Model Summary",#N/A,FALSE,"Print Chart";"Holdco",#N/A,FALSE,"Print Chart";"Genco",#N/A,FALSE,"Print Chart";"Servco",#N/A,FALSE,"Print Chart";"Genco_Detail",#N/A,FALSE,"Summary Financials";"Servco_Detail",#N/A,FALSE,"Summary Financials"}</definedName>
    <definedName name="________wrn7" localSheetId="30" hidden="1">{"Model Summary",#N/A,FALSE,"Print Chart";"Holdco",#N/A,FALSE,"Print Chart";"Genco",#N/A,FALSE,"Print Chart";"Servco",#N/A,FALSE,"Print Chart";"Genco_Detail",#N/A,FALSE,"Summary Financials";"Servco_Detail",#N/A,FALSE,"Summary Financials"}</definedName>
    <definedName name="________wrn7" localSheetId="12" hidden="1">{"Model Summary",#N/A,FALSE,"Print Chart";"Holdco",#N/A,FALSE,"Print Chart";"Genco",#N/A,FALSE,"Print Chart";"Servco",#N/A,FALSE,"Print Chart";"Genco_Detail",#N/A,FALSE,"Summary Financials";"Servco_Detail",#N/A,FALSE,"Summary Financials"}</definedName>
    <definedName name="________wrn7" localSheetId="38" hidden="1">{"Model Summary",#N/A,FALSE,"Print Chart";"Holdco",#N/A,FALSE,"Print Chart";"Genco",#N/A,FALSE,"Print Chart";"Servco",#N/A,FALSE,"Print Chart";"Genco_Detail",#N/A,FALSE,"Summary Financials";"Servco_Detail",#N/A,FALSE,"Summary Financials"}</definedName>
    <definedName name="________wrn7" localSheetId="10" hidden="1">{"Model Summary",#N/A,FALSE,"Print Chart";"Holdco",#N/A,FALSE,"Print Chart";"Genco",#N/A,FALSE,"Print Chart";"Servco",#N/A,FALSE,"Print Chart";"Genco_Detail",#N/A,FALSE,"Summary Financials";"Servco_Detail",#N/A,FALSE,"Summary Financials"}</definedName>
    <definedName name="________wrn7" localSheetId="11" hidden="1">{"Model Summary",#N/A,FALSE,"Print Chart";"Holdco",#N/A,FALSE,"Print Chart";"Genco",#N/A,FALSE,"Print Chart";"Servco",#N/A,FALSE,"Print Chart";"Genco_Detail",#N/A,FALSE,"Summary Financials";"Servco_Detail",#N/A,FALSE,"Summary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localSheetId="4" hidden="1">{"Model Summary",#N/A,FALSE,"Print Chart";"Holdco",#N/A,FALSE,"Print Chart";"Genco",#N/A,FALSE,"Print Chart";"Servco",#N/A,FALSE,"Print Chart";"Genco_Detail",#N/A,FALSE,"Summary Financials";"Servco_Detail",#N/A,FALSE,"Summary Financials"}</definedName>
    <definedName name="________wrn7" localSheetId="6" hidden="1">{"Model Summary",#N/A,FALSE,"Print Chart";"Holdco",#N/A,FALSE,"Print Chart";"Genco",#N/A,FALSE,"Print Chart";"Servco",#N/A,FALSE,"Print Chart";"Genco_Detail",#N/A,FALSE,"Summary Financials";"Servco_Detail",#N/A,FALSE,"Summary Financials"}</definedName>
    <definedName name="________wrn7" localSheetId="7" hidden="1">{"Model Summary",#N/A,FALSE,"Print Chart";"Holdco",#N/A,FALSE,"Print Chart";"Genco",#N/A,FALSE,"Print Chart";"Servco",#N/A,FALSE,"Print Chart";"Genco_Detail",#N/A,FALSE,"Summary Financials";"Servco_Detail",#N/A,FALSE,"Summary Financials"}</definedName>
    <definedName name="________wrn7" localSheetId="8" hidden="1">{"Model Summary",#N/A,FALSE,"Print Chart";"Holdco",#N/A,FALSE,"Print Chart";"Genco",#N/A,FALSE,"Print Chart";"Servco",#N/A,FALSE,"Print Chart";"Genco_Detail",#N/A,FALSE,"Summary Financials";"Servco_Detail",#N/A,FALSE,"Summary Financials"}</definedName>
    <definedName name="________wrn7" localSheetId="9" hidden="1">{"Model Summary",#N/A,FALSE,"Print Chart";"Holdco",#N/A,FALSE,"Print Chart";"Genco",#N/A,FALSE,"Print Chart";"Servco",#N/A,FALSE,"Print Chart";"Genco_Detail",#N/A,FALSE,"Summary Financials";"Servco_Detail",#N/A,FALSE,"Summary Financials"}</definedName>
    <definedName name="________wrn7" localSheetId="31" hidden="1">{"Model Summary",#N/A,FALSE,"Print Chart";"Holdco",#N/A,FALSE,"Print Chart";"Genco",#N/A,FALSE,"Print Chart";"Servco",#N/A,FALSE,"Print Chart";"Genco_Detail",#N/A,FALSE,"Summary Financials";"Servco_Detail",#N/A,FALSE,"Summary Financials"}</definedName>
    <definedName name="________wrn7" localSheetId="32" hidden="1">{"Model Summary",#N/A,FALSE,"Print Chart";"Holdco",#N/A,FALSE,"Print Chart";"Genco",#N/A,FALSE,"Print Chart";"Servco",#N/A,FALSE,"Print Chart";"Genco_Detail",#N/A,FALSE,"Summary Financials";"Servco_Detail",#N/A,FALSE,"Summary Financials"}</definedName>
    <definedName name="________wrn7" localSheetId="13" hidden="1">{"Model Summary",#N/A,FALSE,"Print Chart";"Holdco",#N/A,FALSE,"Print Chart";"Genco",#N/A,FALSE,"Print Chart";"Servco",#N/A,FALSE,"Print Chart";"Genco_Detail",#N/A,FALSE,"Summary Financials";"Servco_Detail",#N/A,FALSE,"Summary Financials"}</definedName>
    <definedName name="________wrn7" localSheetId="22" hidden="1">{"Model Summary",#N/A,FALSE,"Print Chart";"Holdco",#N/A,FALSE,"Print Chart";"Genco",#N/A,FALSE,"Print Chart";"Servco",#N/A,FALSE,"Print Chart";"Genco_Detail",#N/A,FALSE,"Summary Financials";"Servco_Detail",#N/A,FALSE,"Summary Financials"}</definedName>
    <definedName name="________wrn7" localSheetId="23" hidden="1">{"Model Summary",#N/A,FALSE,"Print Chart";"Holdco",#N/A,FALSE,"Print Chart";"Genco",#N/A,FALSE,"Print Chart";"Servco",#N/A,FALSE,"Print Chart";"Genco_Detail",#N/A,FALSE,"Summary Financials";"Servco_Detail",#N/A,FALSE,"Summary Financials"}</definedName>
    <definedName name="________wrn7" localSheetId="14" hidden="1">{"Model Summary",#N/A,FALSE,"Print Chart";"Holdco",#N/A,FALSE,"Print Chart";"Genco",#N/A,FALSE,"Print Chart";"Servco",#N/A,FALSE,"Print Chart";"Genco_Detail",#N/A,FALSE,"Summary Financials";"Servco_Detail",#N/A,FALSE,"Summary Financials"}</definedName>
    <definedName name="________wrn7" localSheetId="15" hidden="1">{"Model Summary",#N/A,FALSE,"Print Chart";"Holdco",#N/A,FALSE,"Print Chart";"Genco",#N/A,FALSE,"Print Chart";"Servco",#N/A,FALSE,"Print Chart";"Genco_Detail",#N/A,FALSE,"Summary Financials";"Servco_Detail",#N/A,FALSE,"Summary Financials"}</definedName>
    <definedName name="________wrn7" localSheetId="16" hidden="1">{"Model Summary",#N/A,FALSE,"Print Chart";"Holdco",#N/A,FALSE,"Print Chart";"Genco",#N/A,FALSE,"Print Chart";"Servco",#N/A,FALSE,"Print Chart";"Genco_Detail",#N/A,FALSE,"Summary Financials";"Servco_Detail",#N/A,FALSE,"Summary Financials"}</definedName>
    <definedName name="________wrn7" localSheetId="17" hidden="1">{"Model Summary",#N/A,FALSE,"Print Chart";"Holdco",#N/A,FALSE,"Print Chart";"Genco",#N/A,FALSE,"Print Chart";"Servco",#N/A,FALSE,"Print Chart";"Genco_Detail",#N/A,FALSE,"Summary Financials";"Servco_Detail",#N/A,FALSE,"Summary Financials"}</definedName>
    <definedName name="________wrn7" localSheetId="18" hidden="1">{"Model Summary",#N/A,FALSE,"Print Chart";"Holdco",#N/A,FALSE,"Print Chart";"Genco",#N/A,FALSE,"Print Chart";"Servco",#N/A,FALSE,"Print Chart";"Genco_Detail",#N/A,FALSE,"Summary Financials";"Servco_Detail",#N/A,FALSE,"Summary Financials"}</definedName>
    <definedName name="________wrn7" localSheetId="19" hidden="1">{"Model Summary",#N/A,FALSE,"Print Chart";"Holdco",#N/A,FALSE,"Print Chart";"Genco",#N/A,FALSE,"Print Chart";"Servco",#N/A,FALSE,"Print Chart";"Genco_Detail",#N/A,FALSE,"Summary Financials";"Servco_Detail",#N/A,FALSE,"Summary Financials"}</definedName>
    <definedName name="________wrn7" localSheetId="20" hidden="1">{"Model Summary",#N/A,FALSE,"Print Chart";"Holdco",#N/A,FALSE,"Print Chart";"Genco",#N/A,FALSE,"Print Chart";"Servco",#N/A,FALSE,"Print Chart";"Genco_Detail",#N/A,FALSE,"Summary Financials";"Servco_Detail",#N/A,FALSE,"Summary Financials"}</definedName>
    <definedName name="________wrn7" localSheetId="21" hidden="1">{"Model Summary",#N/A,FALSE,"Print Chart";"Holdco",#N/A,FALSE,"Print Chart";"Genco",#N/A,FALSE,"Print Chart";"Servco",#N/A,FALSE,"Print Chart";"Genco_Detail",#N/A,FALSE,"Summary Financials";"Servco_Detail",#N/A,FALSE,"Summary Financials"}</definedName>
    <definedName name="________wrn7" localSheetId="39" hidden="1">{"Model Summary",#N/A,FALSE,"Print Chart";"Holdco",#N/A,FALSE,"Print Chart";"Genco",#N/A,FALSE,"Print Chart";"Servco",#N/A,FALSE,"Print Chart";"Genco_Detail",#N/A,FALSE,"Summary Financials";"Servco_Detail",#N/A,FALSE,"Summary Financials"}</definedName>
    <definedName name="________wrn7" localSheetId="40" hidden="1">{"Model Summary",#N/A,FALSE,"Print Chart";"Holdco",#N/A,FALSE,"Print Chart";"Genco",#N/A,FALSE,"Print Chart";"Servco",#N/A,FALSE,"Print Chart";"Genco_Detail",#N/A,FALSE,"Summary Financials";"Servco_Detail",#N/A,FALSE,"Summary Financials"}</definedName>
    <definedName name="________wrn7" localSheetId="41" hidden="1">{"Model Summary",#N/A,FALSE,"Print Chart";"Holdco",#N/A,FALSE,"Print Chart";"Genco",#N/A,FALSE,"Print Chart";"Servco",#N/A,FALSE,"Print Chart";"Genco_Detail",#N/A,FALSE,"Summary Financials";"Servco_Detail",#N/A,FALSE,"Summary Financials"}</definedName>
    <definedName name="________wrn7" localSheetId="43" hidden="1">{"Model Summary",#N/A,FALSE,"Print Chart";"Holdco",#N/A,FALSE,"Print Chart";"Genco",#N/A,FALSE,"Print Chart";"Servco",#N/A,FALSE,"Print Chart";"Genco_Detail",#N/A,FALSE,"Summary Financials";"Servco_Detail",#N/A,FALSE,"Summary Financials"}</definedName>
    <definedName name="________wrn7" localSheetId="48"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 hidden="1">{"holdco",#N/A,FALSE,"Summary Financials";"holdco",#N/A,FALSE,"Summary Financials"}</definedName>
    <definedName name="________wrn8" localSheetId="2" hidden="1">{"holdco",#N/A,FALSE,"Summary Financials";"holdco",#N/A,FALSE,"Summary Financials"}</definedName>
    <definedName name="________wrn8" localSheetId="0" hidden="1">{"holdco",#N/A,FALSE,"Summary Financials";"holdco",#N/A,FALSE,"Summary Financials"}</definedName>
    <definedName name="________wrn8" localSheetId="30" hidden="1">{"holdco",#N/A,FALSE,"Summary Financials";"holdco",#N/A,FALSE,"Summary Financials"}</definedName>
    <definedName name="________wrn8" localSheetId="12" hidden="1">{"holdco",#N/A,FALSE,"Summary Financials";"holdco",#N/A,FALSE,"Summary Financials"}</definedName>
    <definedName name="________wrn8" localSheetId="38" hidden="1">{"holdco",#N/A,FALSE,"Summary Financials";"holdco",#N/A,FALSE,"Summary Financials"}</definedName>
    <definedName name="________wrn8" localSheetId="10" hidden="1">{"holdco",#N/A,FALSE,"Summary Financials";"holdco",#N/A,FALSE,"Summary Financials"}</definedName>
    <definedName name="________wrn8" localSheetId="11" hidden="1">{"holdco",#N/A,FALSE,"Summary Financials";"holdco",#N/A,FALSE,"Summary Financials"}</definedName>
    <definedName name="________wrn8" localSheetId="3" hidden="1">{"holdco",#N/A,FALSE,"Summary Financials";"holdco",#N/A,FALSE,"Summary Financials"}</definedName>
    <definedName name="________wrn8" localSheetId="4" hidden="1">{"holdco",#N/A,FALSE,"Summary Financials";"holdco",#N/A,FALSE,"Summary Financials"}</definedName>
    <definedName name="________wrn8" localSheetId="6" hidden="1">{"holdco",#N/A,FALSE,"Summary Financials";"holdco",#N/A,FALSE,"Summary Financials"}</definedName>
    <definedName name="________wrn8" localSheetId="7" hidden="1">{"holdco",#N/A,FALSE,"Summary Financials";"holdco",#N/A,FALSE,"Summary Financials"}</definedName>
    <definedName name="________wrn8" localSheetId="8" hidden="1">{"holdco",#N/A,FALSE,"Summary Financials";"holdco",#N/A,FALSE,"Summary Financials"}</definedName>
    <definedName name="________wrn8" localSheetId="9" hidden="1">{"holdco",#N/A,FALSE,"Summary Financials";"holdco",#N/A,FALSE,"Summary Financials"}</definedName>
    <definedName name="________wrn8" localSheetId="31" hidden="1">{"holdco",#N/A,FALSE,"Summary Financials";"holdco",#N/A,FALSE,"Summary Financials"}</definedName>
    <definedName name="________wrn8" localSheetId="32" hidden="1">{"holdco",#N/A,FALSE,"Summary Financials";"holdco",#N/A,FALSE,"Summary Financials"}</definedName>
    <definedName name="________wrn8" localSheetId="13" hidden="1">{"holdco",#N/A,FALSE,"Summary Financials";"holdco",#N/A,FALSE,"Summary Financials"}</definedName>
    <definedName name="________wrn8" localSheetId="22" hidden="1">{"holdco",#N/A,FALSE,"Summary Financials";"holdco",#N/A,FALSE,"Summary Financials"}</definedName>
    <definedName name="________wrn8" localSheetId="23" hidden="1">{"holdco",#N/A,FALSE,"Summary Financials";"holdco",#N/A,FALSE,"Summary Financials"}</definedName>
    <definedName name="________wrn8" localSheetId="14" hidden="1">{"holdco",#N/A,FALSE,"Summary Financials";"holdco",#N/A,FALSE,"Summary Financials"}</definedName>
    <definedName name="________wrn8" localSheetId="15" hidden="1">{"holdco",#N/A,FALSE,"Summary Financials";"holdco",#N/A,FALSE,"Summary Financials"}</definedName>
    <definedName name="________wrn8" localSheetId="16" hidden="1">{"holdco",#N/A,FALSE,"Summary Financials";"holdco",#N/A,FALSE,"Summary Financials"}</definedName>
    <definedName name="________wrn8" localSheetId="17" hidden="1">{"holdco",#N/A,FALSE,"Summary Financials";"holdco",#N/A,FALSE,"Summary Financials"}</definedName>
    <definedName name="________wrn8" localSheetId="18" hidden="1">{"holdco",#N/A,FALSE,"Summary Financials";"holdco",#N/A,FALSE,"Summary Financials"}</definedName>
    <definedName name="________wrn8" localSheetId="19" hidden="1">{"holdco",#N/A,FALSE,"Summary Financials";"holdco",#N/A,FALSE,"Summary Financials"}</definedName>
    <definedName name="________wrn8" localSheetId="20" hidden="1">{"holdco",#N/A,FALSE,"Summary Financials";"holdco",#N/A,FALSE,"Summary Financials"}</definedName>
    <definedName name="________wrn8" localSheetId="21" hidden="1">{"holdco",#N/A,FALSE,"Summary Financials";"holdco",#N/A,FALSE,"Summary Financials"}</definedName>
    <definedName name="________wrn8" localSheetId="39" hidden="1">{"holdco",#N/A,FALSE,"Summary Financials";"holdco",#N/A,FALSE,"Summary Financials"}</definedName>
    <definedName name="________wrn8" localSheetId="40" hidden="1">{"holdco",#N/A,FALSE,"Summary Financials";"holdco",#N/A,FALSE,"Summary Financials"}</definedName>
    <definedName name="________wrn8" localSheetId="41" hidden="1">{"holdco",#N/A,FALSE,"Summary Financials";"holdco",#N/A,FALSE,"Summary Financials"}</definedName>
    <definedName name="________wrn8" localSheetId="43" hidden="1">{"holdco",#N/A,FALSE,"Summary Financials";"holdco",#N/A,FALSE,"Summary Financials"}</definedName>
    <definedName name="________wrn8" localSheetId="48" hidden="1">{"holdco",#N/A,FALSE,"Summary Financials";"holdco",#N/A,FALSE,"Summary Financials"}</definedName>
    <definedName name="________wrn8" hidden="1">{"holdco",#N/A,FALSE,"Summary Financials";"holdco",#N/A,FALSE,"Summary Financials"}</definedName>
    <definedName name="_______bb2" localSheetId="1" hidden="1">{#N/A,#N/A,FALSE,"PRJCTED MNTHLY QTY's"}</definedName>
    <definedName name="_______bb2" localSheetId="2" hidden="1">{#N/A,#N/A,FALSE,"PRJCTED MNTHLY QTY's"}</definedName>
    <definedName name="_______bb2" localSheetId="0" hidden="1">{#N/A,#N/A,FALSE,"PRJCTED MNTHLY QTY's"}</definedName>
    <definedName name="_______bb2" localSheetId="30" hidden="1">{#N/A,#N/A,FALSE,"PRJCTED MNTHLY QTY's"}</definedName>
    <definedName name="_______bb2" localSheetId="12" hidden="1">{#N/A,#N/A,FALSE,"PRJCTED MNTHLY QTY's"}</definedName>
    <definedName name="_______bb2" localSheetId="38" hidden="1">{#N/A,#N/A,FALSE,"PRJCTED MNTHLY QTY's"}</definedName>
    <definedName name="_______bb2" localSheetId="10" hidden="1">{#N/A,#N/A,FALSE,"PRJCTED MNTHLY QTY's"}</definedName>
    <definedName name="_______bb2" localSheetId="11" hidden="1">{#N/A,#N/A,FALSE,"PRJCTED MNTHLY QTY's"}</definedName>
    <definedName name="_______bb2" localSheetId="3" hidden="1">{#N/A,#N/A,FALSE,"PRJCTED MNTHLY QTY's"}</definedName>
    <definedName name="_______bb2" localSheetId="4" hidden="1">{#N/A,#N/A,FALSE,"PRJCTED MNTHLY QTY's"}</definedName>
    <definedName name="_______bb2" localSheetId="6" hidden="1">{#N/A,#N/A,FALSE,"PRJCTED MNTHLY QTY's"}</definedName>
    <definedName name="_______bb2" localSheetId="7" hidden="1">{#N/A,#N/A,FALSE,"PRJCTED MNTHLY QTY's"}</definedName>
    <definedName name="_______bb2" localSheetId="8" hidden="1">{#N/A,#N/A,FALSE,"PRJCTED MNTHLY QTY's"}</definedName>
    <definedName name="_______bb2" localSheetId="9" hidden="1">{#N/A,#N/A,FALSE,"PRJCTED MNTHLY QTY's"}</definedName>
    <definedName name="_______bb2" localSheetId="31" hidden="1">{#N/A,#N/A,FALSE,"PRJCTED MNTHLY QTY's"}</definedName>
    <definedName name="_______bb2" localSheetId="32" hidden="1">{#N/A,#N/A,FALSE,"PRJCTED MNTHLY QTY's"}</definedName>
    <definedName name="_______bb2" localSheetId="13" hidden="1">{#N/A,#N/A,FALSE,"PRJCTED MNTHLY QTY's"}</definedName>
    <definedName name="_______bb2" localSheetId="22" hidden="1">{#N/A,#N/A,FALSE,"PRJCTED MNTHLY QTY's"}</definedName>
    <definedName name="_______bb2" localSheetId="23" hidden="1">{#N/A,#N/A,FALSE,"PRJCTED MNTHLY QTY's"}</definedName>
    <definedName name="_______bb2" localSheetId="14" hidden="1">{#N/A,#N/A,FALSE,"PRJCTED MNTHLY QTY's"}</definedName>
    <definedName name="_______bb2" localSheetId="15" hidden="1">{#N/A,#N/A,FALSE,"PRJCTED MNTHLY QTY's"}</definedName>
    <definedName name="_______bb2" localSheetId="16" hidden="1">{#N/A,#N/A,FALSE,"PRJCTED MNTHLY QTY's"}</definedName>
    <definedName name="_______bb2" localSheetId="17" hidden="1">{#N/A,#N/A,FALSE,"PRJCTED MNTHLY QTY's"}</definedName>
    <definedName name="_______bb2" localSheetId="18" hidden="1">{#N/A,#N/A,FALSE,"PRJCTED MNTHLY QTY's"}</definedName>
    <definedName name="_______bb2" localSheetId="19" hidden="1">{#N/A,#N/A,FALSE,"PRJCTED MNTHLY QTY's"}</definedName>
    <definedName name="_______bb2" localSheetId="20" hidden="1">{#N/A,#N/A,FALSE,"PRJCTED MNTHLY QTY's"}</definedName>
    <definedName name="_______bb2" localSheetId="21" hidden="1">{#N/A,#N/A,FALSE,"PRJCTED MNTHLY QTY's"}</definedName>
    <definedName name="_______bb2" localSheetId="39" hidden="1">{#N/A,#N/A,FALSE,"PRJCTED MNTHLY QTY's"}</definedName>
    <definedName name="_______bb2" localSheetId="40" hidden="1">{#N/A,#N/A,FALSE,"PRJCTED MNTHLY QTY's"}</definedName>
    <definedName name="_______bb2" localSheetId="41" hidden="1">{#N/A,#N/A,FALSE,"PRJCTED MNTHLY QTY's"}</definedName>
    <definedName name="_______bb2" localSheetId="43" hidden="1">{#N/A,#N/A,FALSE,"PRJCTED MNTHLY QTY's"}</definedName>
    <definedName name="_______bb2" localSheetId="48" hidden="1">{#N/A,#N/A,FALSE,"PRJCTED MNTHLY QTY's"}</definedName>
    <definedName name="_______bb2" hidden="1">{#N/A,#N/A,FALSE,"PRJCTED MNTHLY QTY's"}</definedName>
    <definedName name="_______Lee5" localSheetId="1" hidden="1">{#VALUE!,#N/A,FALSE,0}</definedName>
    <definedName name="_______Lee5" localSheetId="2" hidden="1">{#VALUE!,#N/A,FALSE,0}</definedName>
    <definedName name="_______Lee5" localSheetId="0" hidden="1">{#VALUE!,#N/A,FALSE,0}</definedName>
    <definedName name="_______Lee5" localSheetId="30" hidden="1">{#VALUE!,#N/A,FALSE,0}</definedName>
    <definedName name="_______Lee5" localSheetId="12" hidden="1">{#VALUE!,#N/A,FALSE,0}</definedName>
    <definedName name="_______Lee5" localSheetId="38" hidden="1">{#VALUE!,#N/A,FALSE,0}</definedName>
    <definedName name="_______Lee5" localSheetId="10" hidden="1">{#VALUE!,#N/A,FALSE,0}</definedName>
    <definedName name="_______Lee5" localSheetId="11" hidden="1">{#VALUE!,#N/A,FALSE,0}</definedName>
    <definedName name="_______Lee5" localSheetId="3" hidden="1">{#VALUE!,#N/A,FALSE,0}</definedName>
    <definedName name="_______Lee5" localSheetId="4" hidden="1">{#VALUE!,#N/A,FALSE,0}</definedName>
    <definedName name="_______Lee5" localSheetId="6" hidden="1">{#VALUE!,#N/A,FALSE,0}</definedName>
    <definedName name="_______Lee5" localSheetId="7" hidden="1">{#VALUE!,#N/A,FALSE,0}</definedName>
    <definedName name="_______Lee5" localSheetId="8" hidden="1">{#VALUE!,#N/A,FALSE,0}</definedName>
    <definedName name="_______Lee5" localSheetId="9" hidden="1">{#VALUE!,#N/A,FALSE,0}</definedName>
    <definedName name="_______Lee5" localSheetId="31" hidden="1">{#VALUE!,#N/A,FALSE,0}</definedName>
    <definedName name="_______Lee5" localSheetId="32" hidden="1">{#VALUE!,#N/A,FALSE,0}</definedName>
    <definedName name="_______Lee5" localSheetId="13" hidden="1">{#VALUE!,#N/A,FALSE,0}</definedName>
    <definedName name="_______Lee5" localSheetId="22" hidden="1">{#VALUE!,#N/A,FALSE,0}</definedName>
    <definedName name="_______Lee5" localSheetId="23" hidden="1">{#VALUE!,#N/A,FALSE,0}</definedName>
    <definedName name="_______Lee5" localSheetId="14" hidden="1">{#VALUE!,#N/A,FALSE,0}</definedName>
    <definedName name="_______Lee5" localSheetId="15" hidden="1">{#VALUE!,#N/A,FALSE,0}</definedName>
    <definedName name="_______Lee5" localSheetId="16" hidden="1">{#VALUE!,#N/A,FALSE,0}</definedName>
    <definedName name="_______Lee5" localSheetId="17" hidden="1">{#VALUE!,#N/A,FALSE,0}</definedName>
    <definedName name="_______Lee5" localSheetId="18" hidden="1">{#VALUE!,#N/A,FALSE,0}</definedName>
    <definedName name="_______Lee5" localSheetId="19" hidden="1">{#VALUE!,#N/A,FALSE,0}</definedName>
    <definedName name="_______Lee5" localSheetId="20" hidden="1">{#VALUE!,#N/A,FALSE,0}</definedName>
    <definedName name="_______Lee5" localSheetId="21" hidden="1">{#VALUE!,#N/A,FALSE,0}</definedName>
    <definedName name="_______Lee5" localSheetId="39" hidden="1">{#VALUE!,#N/A,FALSE,0}</definedName>
    <definedName name="_______Lee5" localSheetId="40" hidden="1">{#VALUE!,#N/A,FALSE,0}</definedName>
    <definedName name="_______Lee5" localSheetId="41" hidden="1">{#VALUE!,#N/A,FALSE,0}</definedName>
    <definedName name="_______Lee5" localSheetId="43" hidden="1">{#VALUE!,#N/A,FALSE,0}</definedName>
    <definedName name="_______Lee5" localSheetId="48" hidden="1">{#VALUE!,#N/A,FALSE,0}</definedName>
    <definedName name="_______Lee5" hidden="1">{#VALUE!,#N/A,FALSE,0}</definedName>
    <definedName name="______hom1" localSheetId="1" hidden="1">{#N/A,#N/A,FALSE,"Assessment";#N/A,#N/A,FALSE,"Staffing";#N/A,#N/A,FALSE,"Hires";#N/A,#N/A,FALSE,"Assumptions"}</definedName>
    <definedName name="______hom1" localSheetId="2" hidden="1">{#N/A,#N/A,FALSE,"Assessment";#N/A,#N/A,FALSE,"Staffing";#N/A,#N/A,FALSE,"Hires";#N/A,#N/A,FALSE,"Assumptions"}</definedName>
    <definedName name="______hom1" localSheetId="0" hidden="1">{#N/A,#N/A,FALSE,"Assessment";#N/A,#N/A,FALSE,"Staffing";#N/A,#N/A,FALSE,"Hires";#N/A,#N/A,FALSE,"Assumptions"}</definedName>
    <definedName name="______hom1" localSheetId="30" hidden="1">{#N/A,#N/A,FALSE,"Assessment";#N/A,#N/A,FALSE,"Staffing";#N/A,#N/A,FALSE,"Hires";#N/A,#N/A,FALSE,"Assumptions"}</definedName>
    <definedName name="______hom1" localSheetId="12" hidden="1">{#N/A,#N/A,FALSE,"Assessment";#N/A,#N/A,FALSE,"Staffing";#N/A,#N/A,FALSE,"Hires";#N/A,#N/A,FALSE,"Assumptions"}</definedName>
    <definedName name="______hom1" localSheetId="38" hidden="1">{#N/A,#N/A,FALSE,"Assessment";#N/A,#N/A,FALSE,"Staffing";#N/A,#N/A,FALSE,"Hires";#N/A,#N/A,FALSE,"Assumptions"}</definedName>
    <definedName name="______hom1" localSheetId="10" hidden="1">{#N/A,#N/A,FALSE,"Assessment";#N/A,#N/A,FALSE,"Staffing";#N/A,#N/A,FALSE,"Hires";#N/A,#N/A,FALSE,"Assumptions"}</definedName>
    <definedName name="______hom1" localSheetId="11" hidden="1">{#N/A,#N/A,FALSE,"Assessment";#N/A,#N/A,FALSE,"Staffing";#N/A,#N/A,FALSE,"Hires";#N/A,#N/A,FALSE,"Assumptions"}</definedName>
    <definedName name="______hom1" localSheetId="3" hidden="1">{#N/A,#N/A,FALSE,"Assessment";#N/A,#N/A,FALSE,"Staffing";#N/A,#N/A,FALSE,"Hires";#N/A,#N/A,FALSE,"Assumptions"}</definedName>
    <definedName name="______hom1" localSheetId="4" hidden="1">{#N/A,#N/A,FALSE,"Assessment";#N/A,#N/A,FALSE,"Staffing";#N/A,#N/A,FALSE,"Hires";#N/A,#N/A,FALSE,"Assumptions"}</definedName>
    <definedName name="______hom1" localSheetId="6" hidden="1">{#N/A,#N/A,FALSE,"Assessment";#N/A,#N/A,FALSE,"Staffing";#N/A,#N/A,FALSE,"Hires";#N/A,#N/A,FALSE,"Assumptions"}</definedName>
    <definedName name="______hom1" localSheetId="7" hidden="1">{#N/A,#N/A,FALSE,"Assessment";#N/A,#N/A,FALSE,"Staffing";#N/A,#N/A,FALSE,"Hires";#N/A,#N/A,FALSE,"Assumptions"}</definedName>
    <definedName name="______hom1" localSheetId="8" hidden="1">{#N/A,#N/A,FALSE,"Assessment";#N/A,#N/A,FALSE,"Staffing";#N/A,#N/A,FALSE,"Hires";#N/A,#N/A,FALSE,"Assumptions"}</definedName>
    <definedName name="______hom1" localSheetId="9" hidden="1">{#N/A,#N/A,FALSE,"Assessment";#N/A,#N/A,FALSE,"Staffing";#N/A,#N/A,FALSE,"Hires";#N/A,#N/A,FALSE,"Assumptions"}</definedName>
    <definedName name="______hom1" localSheetId="31" hidden="1">{#N/A,#N/A,FALSE,"Assessment";#N/A,#N/A,FALSE,"Staffing";#N/A,#N/A,FALSE,"Hires";#N/A,#N/A,FALSE,"Assumptions"}</definedName>
    <definedName name="______hom1" localSheetId="32" hidden="1">{#N/A,#N/A,FALSE,"Assessment";#N/A,#N/A,FALSE,"Staffing";#N/A,#N/A,FALSE,"Hires";#N/A,#N/A,FALSE,"Assumptions"}</definedName>
    <definedName name="______hom1" localSheetId="13" hidden="1">{#N/A,#N/A,FALSE,"Assessment";#N/A,#N/A,FALSE,"Staffing";#N/A,#N/A,FALSE,"Hires";#N/A,#N/A,FALSE,"Assumptions"}</definedName>
    <definedName name="______hom1" localSheetId="22" hidden="1">{#N/A,#N/A,FALSE,"Assessment";#N/A,#N/A,FALSE,"Staffing";#N/A,#N/A,FALSE,"Hires";#N/A,#N/A,FALSE,"Assumptions"}</definedName>
    <definedName name="______hom1" localSheetId="23" hidden="1">{#N/A,#N/A,FALSE,"Assessment";#N/A,#N/A,FALSE,"Staffing";#N/A,#N/A,FALSE,"Hires";#N/A,#N/A,FALSE,"Assumptions"}</definedName>
    <definedName name="______hom1" localSheetId="14" hidden="1">{#N/A,#N/A,FALSE,"Assessment";#N/A,#N/A,FALSE,"Staffing";#N/A,#N/A,FALSE,"Hires";#N/A,#N/A,FALSE,"Assumptions"}</definedName>
    <definedName name="______hom1" localSheetId="15" hidden="1">{#N/A,#N/A,FALSE,"Assessment";#N/A,#N/A,FALSE,"Staffing";#N/A,#N/A,FALSE,"Hires";#N/A,#N/A,FALSE,"Assumptions"}</definedName>
    <definedName name="______hom1" localSheetId="16" hidden="1">{#N/A,#N/A,FALSE,"Assessment";#N/A,#N/A,FALSE,"Staffing";#N/A,#N/A,FALSE,"Hires";#N/A,#N/A,FALSE,"Assumptions"}</definedName>
    <definedName name="______hom1" localSheetId="17" hidden="1">{#N/A,#N/A,FALSE,"Assessment";#N/A,#N/A,FALSE,"Staffing";#N/A,#N/A,FALSE,"Hires";#N/A,#N/A,FALSE,"Assumptions"}</definedName>
    <definedName name="______hom1" localSheetId="18" hidden="1">{#N/A,#N/A,FALSE,"Assessment";#N/A,#N/A,FALSE,"Staffing";#N/A,#N/A,FALSE,"Hires";#N/A,#N/A,FALSE,"Assumptions"}</definedName>
    <definedName name="______hom1" localSheetId="19" hidden="1">{#N/A,#N/A,FALSE,"Assessment";#N/A,#N/A,FALSE,"Staffing";#N/A,#N/A,FALSE,"Hires";#N/A,#N/A,FALSE,"Assumptions"}</definedName>
    <definedName name="______hom1" localSheetId="20" hidden="1">{#N/A,#N/A,FALSE,"Assessment";#N/A,#N/A,FALSE,"Staffing";#N/A,#N/A,FALSE,"Hires";#N/A,#N/A,FALSE,"Assumptions"}</definedName>
    <definedName name="______hom1" localSheetId="21" hidden="1">{#N/A,#N/A,FALSE,"Assessment";#N/A,#N/A,FALSE,"Staffing";#N/A,#N/A,FALSE,"Hires";#N/A,#N/A,FALSE,"Assumptions"}</definedName>
    <definedName name="______hom1" localSheetId="39" hidden="1">{#N/A,#N/A,FALSE,"Assessment";#N/A,#N/A,FALSE,"Staffing";#N/A,#N/A,FALSE,"Hires";#N/A,#N/A,FALSE,"Assumptions"}</definedName>
    <definedName name="______hom1" localSheetId="40" hidden="1">{#N/A,#N/A,FALSE,"Assessment";#N/A,#N/A,FALSE,"Staffing";#N/A,#N/A,FALSE,"Hires";#N/A,#N/A,FALSE,"Assumptions"}</definedName>
    <definedName name="______hom1" localSheetId="41" hidden="1">{#N/A,#N/A,FALSE,"Assessment";#N/A,#N/A,FALSE,"Staffing";#N/A,#N/A,FALSE,"Hires";#N/A,#N/A,FALSE,"Assumptions"}</definedName>
    <definedName name="______hom1" localSheetId="43" hidden="1">{#N/A,#N/A,FALSE,"Assessment";#N/A,#N/A,FALSE,"Staffing";#N/A,#N/A,FALSE,"Hires";#N/A,#N/A,FALSE,"Assumptions"}</definedName>
    <definedName name="______hom1" localSheetId="48" hidden="1">{#N/A,#N/A,FALSE,"Assessment";#N/A,#N/A,FALSE,"Staffing";#N/A,#N/A,FALSE,"Hires";#N/A,#N/A,FALSE,"Assumptions"}</definedName>
    <definedName name="______hom1" hidden="1">{#N/A,#N/A,FALSE,"Assessment";#N/A,#N/A,FALSE,"Staffing";#N/A,#N/A,FALSE,"Hires";#N/A,#N/A,FALSE,"Assumptions"}</definedName>
    <definedName name="______k1" localSheetId="1" hidden="1">{#N/A,#N/A,FALSE,"Assessment";#N/A,#N/A,FALSE,"Staffing";#N/A,#N/A,FALSE,"Hires";#N/A,#N/A,FALSE,"Assumptions"}</definedName>
    <definedName name="______k1" localSheetId="2" hidden="1">{#N/A,#N/A,FALSE,"Assessment";#N/A,#N/A,FALSE,"Staffing";#N/A,#N/A,FALSE,"Hires";#N/A,#N/A,FALSE,"Assumptions"}</definedName>
    <definedName name="______k1" localSheetId="0" hidden="1">{#N/A,#N/A,FALSE,"Assessment";#N/A,#N/A,FALSE,"Staffing";#N/A,#N/A,FALSE,"Hires";#N/A,#N/A,FALSE,"Assumptions"}</definedName>
    <definedName name="______k1" localSheetId="30" hidden="1">{#N/A,#N/A,FALSE,"Assessment";#N/A,#N/A,FALSE,"Staffing";#N/A,#N/A,FALSE,"Hires";#N/A,#N/A,FALSE,"Assumptions"}</definedName>
    <definedName name="______k1" localSheetId="12" hidden="1">{#N/A,#N/A,FALSE,"Assessment";#N/A,#N/A,FALSE,"Staffing";#N/A,#N/A,FALSE,"Hires";#N/A,#N/A,FALSE,"Assumptions"}</definedName>
    <definedName name="______k1" localSheetId="38" hidden="1">{#N/A,#N/A,FALSE,"Assessment";#N/A,#N/A,FALSE,"Staffing";#N/A,#N/A,FALSE,"Hires";#N/A,#N/A,FALSE,"Assumptions"}</definedName>
    <definedName name="______k1" localSheetId="10" hidden="1">{#N/A,#N/A,FALSE,"Assessment";#N/A,#N/A,FALSE,"Staffing";#N/A,#N/A,FALSE,"Hires";#N/A,#N/A,FALSE,"Assumptions"}</definedName>
    <definedName name="______k1" localSheetId="11" hidden="1">{#N/A,#N/A,FALSE,"Assessment";#N/A,#N/A,FALSE,"Staffing";#N/A,#N/A,FALSE,"Hires";#N/A,#N/A,FALSE,"Assumptions"}</definedName>
    <definedName name="______k1" localSheetId="3" hidden="1">{#N/A,#N/A,FALSE,"Assessment";#N/A,#N/A,FALSE,"Staffing";#N/A,#N/A,FALSE,"Hires";#N/A,#N/A,FALSE,"Assumptions"}</definedName>
    <definedName name="______k1" localSheetId="4" hidden="1">{#N/A,#N/A,FALSE,"Assessment";#N/A,#N/A,FALSE,"Staffing";#N/A,#N/A,FALSE,"Hires";#N/A,#N/A,FALSE,"Assumptions"}</definedName>
    <definedName name="______k1" localSheetId="6" hidden="1">{#N/A,#N/A,FALSE,"Assessment";#N/A,#N/A,FALSE,"Staffing";#N/A,#N/A,FALSE,"Hires";#N/A,#N/A,FALSE,"Assumptions"}</definedName>
    <definedName name="______k1" localSheetId="7" hidden="1">{#N/A,#N/A,FALSE,"Assessment";#N/A,#N/A,FALSE,"Staffing";#N/A,#N/A,FALSE,"Hires";#N/A,#N/A,FALSE,"Assumptions"}</definedName>
    <definedName name="______k1" localSheetId="8" hidden="1">{#N/A,#N/A,FALSE,"Assessment";#N/A,#N/A,FALSE,"Staffing";#N/A,#N/A,FALSE,"Hires";#N/A,#N/A,FALSE,"Assumptions"}</definedName>
    <definedName name="______k1" localSheetId="9" hidden="1">{#N/A,#N/A,FALSE,"Assessment";#N/A,#N/A,FALSE,"Staffing";#N/A,#N/A,FALSE,"Hires";#N/A,#N/A,FALSE,"Assumptions"}</definedName>
    <definedName name="______k1" localSheetId="31" hidden="1">{#N/A,#N/A,FALSE,"Assessment";#N/A,#N/A,FALSE,"Staffing";#N/A,#N/A,FALSE,"Hires";#N/A,#N/A,FALSE,"Assumptions"}</definedName>
    <definedName name="______k1" localSheetId="32" hidden="1">{#N/A,#N/A,FALSE,"Assessment";#N/A,#N/A,FALSE,"Staffing";#N/A,#N/A,FALSE,"Hires";#N/A,#N/A,FALSE,"Assumptions"}</definedName>
    <definedName name="______k1" localSheetId="13" hidden="1">{#N/A,#N/A,FALSE,"Assessment";#N/A,#N/A,FALSE,"Staffing";#N/A,#N/A,FALSE,"Hires";#N/A,#N/A,FALSE,"Assumptions"}</definedName>
    <definedName name="______k1" localSheetId="22" hidden="1">{#N/A,#N/A,FALSE,"Assessment";#N/A,#N/A,FALSE,"Staffing";#N/A,#N/A,FALSE,"Hires";#N/A,#N/A,FALSE,"Assumptions"}</definedName>
    <definedName name="______k1" localSheetId="23" hidden="1">{#N/A,#N/A,FALSE,"Assessment";#N/A,#N/A,FALSE,"Staffing";#N/A,#N/A,FALSE,"Hires";#N/A,#N/A,FALSE,"Assumptions"}</definedName>
    <definedName name="______k1" localSheetId="14" hidden="1">{#N/A,#N/A,FALSE,"Assessment";#N/A,#N/A,FALSE,"Staffing";#N/A,#N/A,FALSE,"Hires";#N/A,#N/A,FALSE,"Assumptions"}</definedName>
    <definedName name="______k1" localSheetId="15" hidden="1">{#N/A,#N/A,FALSE,"Assessment";#N/A,#N/A,FALSE,"Staffing";#N/A,#N/A,FALSE,"Hires";#N/A,#N/A,FALSE,"Assumptions"}</definedName>
    <definedName name="______k1" localSheetId="16" hidden="1">{#N/A,#N/A,FALSE,"Assessment";#N/A,#N/A,FALSE,"Staffing";#N/A,#N/A,FALSE,"Hires";#N/A,#N/A,FALSE,"Assumptions"}</definedName>
    <definedName name="______k1" localSheetId="17" hidden="1">{#N/A,#N/A,FALSE,"Assessment";#N/A,#N/A,FALSE,"Staffing";#N/A,#N/A,FALSE,"Hires";#N/A,#N/A,FALSE,"Assumptions"}</definedName>
    <definedName name="______k1" localSheetId="18" hidden="1">{#N/A,#N/A,FALSE,"Assessment";#N/A,#N/A,FALSE,"Staffing";#N/A,#N/A,FALSE,"Hires";#N/A,#N/A,FALSE,"Assumptions"}</definedName>
    <definedName name="______k1" localSheetId="19" hidden="1">{#N/A,#N/A,FALSE,"Assessment";#N/A,#N/A,FALSE,"Staffing";#N/A,#N/A,FALSE,"Hires";#N/A,#N/A,FALSE,"Assumptions"}</definedName>
    <definedName name="______k1" localSheetId="20" hidden="1">{#N/A,#N/A,FALSE,"Assessment";#N/A,#N/A,FALSE,"Staffing";#N/A,#N/A,FALSE,"Hires";#N/A,#N/A,FALSE,"Assumptions"}</definedName>
    <definedName name="______k1" localSheetId="21" hidden="1">{#N/A,#N/A,FALSE,"Assessment";#N/A,#N/A,FALSE,"Staffing";#N/A,#N/A,FALSE,"Hires";#N/A,#N/A,FALSE,"Assumptions"}</definedName>
    <definedName name="______k1" localSheetId="39" hidden="1">{#N/A,#N/A,FALSE,"Assessment";#N/A,#N/A,FALSE,"Staffing";#N/A,#N/A,FALSE,"Hires";#N/A,#N/A,FALSE,"Assumptions"}</definedName>
    <definedName name="______k1" localSheetId="40" hidden="1">{#N/A,#N/A,FALSE,"Assessment";#N/A,#N/A,FALSE,"Staffing";#N/A,#N/A,FALSE,"Hires";#N/A,#N/A,FALSE,"Assumptions"}</definedName>
    <definedName name="______k1" localSheetId="41" hidden="1">{#N/A,#N/A,FALSE,"Assessment";#N/A,#N/A,FALSE,"Staffing";#N/A,#N/A,FALSE,"Hires";#N/A,#N/A,FALSE,"Assumptions"}</definedName>
    <definedName name="______k1" localSheetId="43" hidden="1">{#N/A,#N/A,FALSE,"Assessment";#N/A,#N/A,FALSE,"Staffing";#N/A,#N/A,FALSE,"Hires";#N/A,#N/A,FALSE,"Assumptions"}</definedName>
    <definedName name="______k1" localSheetId="48" hidden="1">{#N/A,#N/A,FALSE,"Assessment";#N/A,#N/A,FALSE,"Staffing";#N/A,#N/A,FALSE,"Hires";#N/A,#N/A,FALSE,"Assumptions"}</definedName>
    <definedName name="______k1" hidden="1">{#N/A,#N/A,FALSE,"Assessment";#N/A,#N/A,FALSE,"Staffing";#N/A,#N/A,FALSE,"Hires";#N/A,#N/A,FALSE,"Assumptions"}</definedName>
    <definedName name="______kk1" localSheetId="1" hidden="1">{#N/A,#N/A,FALSE,"Assessment";#N/A,#N/A,FALSE,"Staffing";#N/A,#N/A,FALSE,"Hires";#N/A,#N/A,FALSE,"Assumptions"}</definedName>
    <definedName name="______kk1" localSheetId="2" hidden="1">{#N/A,#N/A,FALSE,"Assessment";#N/A,#N/A,FALSE,"Staffing";#N/A,#N/A,FALSE,"Hires";#N/A,#N/A,FALSE,"Assumptions"}</definedName>
    <definedName name="______kk1" localSheetId="0" hidden="1">{#N/A,#N/A,FALSE,"Assessment";#N/A,#N/A,FALSE,"Staffing";#N/A,#N/A,FALSE,"Hires";#N/A,#N/A,FALSE,"Assumptions"}</definedName>
    <definedName name="______kk1" localSheetId="30" hidden="1">{#N/A,#N/A,FALSE,"Assessment";#N/A,#N/A,FALSE,"Staffing";#N/A,#N/A,FALSE,"Hires";#N/A,#N/A,FALSE,"Assumptions"}</definedName>
    <definedName name="______kk1" localSheetId="12" hidden="1">{#N/A,#N/A,FALSE,"Assessment";#N/A,#N/A,FALSE,"Staffing";#N/A,#N/A,FALSE,"Hires";#N/A,#N/A,FALSE,"Assumptions"}</definedName>
    <definedName name="______kk1" localSheetId="38" hidden="1">{#N/A,#N/A,FALSE,"Assessment";#N/A,#N/A,FALSE,"Staffing";#N/A,#N/A,FALSE,"Hires";#N/A,#N/A,FALSE,"Assumptions"}</definedName>
    <definedName name="______kk1" localSheetId="10" hidden="1">{#N/A,#N/A,FALSE,"Assessment";#N/A,#N/A,FALSE,"Staffing";#N/A,#N/A,FALSE,"Hires";#N/A,#N/A,FALSE,"Assumptions"}</definedName>
    <definedName name="______kk1" localSheetId="11" hidden="1">{#N/A,#N/A,FALSE,"Assessment";#N/A,#N/A,FALSE,"Staffing";#N/A,#N/A,FALSE,"Hires";#N/A,#N/A,FALSE,"Assumptions"}</definedName>
    <definedName name="______kk1" localSheetId="3" hidden="1">{#N/A,#N/A,FALSE,"Assessment";#N/A,#N/A,FALSE,"Staffing";#N/A,#N/A,FALSE,"Hires";#N/A,#N/A,FALSE,"Assumptions"}</definedName>
    <definedName name="______kk1" localSheetId="4" hidden="1">{#N/A,#N/A,FALSE,"Assessment";#N/A,#N/A,FALSE,"Staffing";#N/A,#N/A,FALSE,"Hires";#N/A,#N/A,FALSE,"Assumptions"}</definedName>
    <definedName name="______kk1" localSheetId="6" hidden="1">{#N/A,#N/A,FALSE,"Assessment";#N/A,#N/A,FALSE,"Staffing";#N/A,#N/A,FALSE,"Hires";#N/A,#N/A,FALSE,"Assumptions"}</definedName>
    <definedName name="______kk1" localSheetId="7" hidden="1">{#N/A,#N/A,FALSE,"Assessment";#N/A,#N/A,FALSE,"Staffing";#N/A,#N/A,FALSE,"Hires";#N/A,#N/A,FALSE,"Assumptions"}</definedName>
    <definedName name="______kk1" localSheetId="8" hidden="1">{#N/A,#N/A,FALSE,"Assessment";#N/A,#N/A,FALSE,"Staffing";#N/A,#N/A,FALSE,"Hires";#N/A,#N/A,FALSE,"Assumptions"}</definedName>
    <definedName name="______kk1" localSheetId="9" hidden="1">{#N/A,#N/A,FALSE,"Assessment";#N/A,#N/A,FALSE,"Staffing";#N/A,#N/A,FALSE,"Hires";#N/A,#N/A,FALSE,"Assumptions"}</definedName>
    <definedName name="______kk1" localSheetId="31" hidden="1">{#N/A,#N/A,FALSE,"Assessment";#N/A,#N/A,FALSE,"Staffing";#N/A,#N/A,FALSE,"Hires";#N/A,#N/A,FALSE,"Assumptions"}</definedName>
    <definedName name="______kk1" localSheetId="32" hidden="1">{#N/A,#N/A,FALSE,"Assessment";#N/A,#N/A,FALSE,"Staffing";#N/A,#N/A,FALSE,"Hires";#N/A,#N/A,FALSE,"Assumptions"}</definedName>
    <definedName name="______kk1" localSheetId="13" hidden="1">{#N/A,#N/A,FALSE,"Assessment";#N/A,#N/A,FALSE,"Staffing";#N/A,#N/A,FALSE,"Hires";#N/A,#N/A,FALSE,"Assumptions"}</definedName>
    <definedName name="______kk1" localSheetId="22" hidden="1">{#N/A,#N/A,FALSE,"Assessment";#N/A,#N/A,FALSE,"Staffing";#N/A,#N/A,FALSE,"Hires";#N/A,#N/A,FALSE,"Assumptions"}</definedName>
    <definedName name="______kk1" localSheetId="23" hidden="1">{#N/A,#N/A,FALSE,"Assessment";#N/A,#N/A,FALSE,"Staffing";#N/A,#N/A,FALSE,"Hires";#N/A,#N/A,FALSE,"Assumptions"}</definedName>
    <definedName name="______kk1" localSheetId="14" hidden="1">{#N/A,#N/A,FALSE,"Assessment";#N/A,#N/A,FALSE,"Staffing";#N/A,#N/A,FALSE,"Hires";#N/A,#N/A,FALSE,"Assumptions"}</definedName>
    <definedName name="______kk1" localSheetId="15" hidden="1">{#N/A,#N/A,FALSE,"Assessment";#N/A,#N/A,FALSE,"Staffing";#N/A,#N/A,FALSE,"Hires";#N/A,#N/A,FALSE,"Assumptions"}</definedName>
    <definedName name="______kk1" localSheetId="16" hidden="1">{#N/A,#N/A,FALSE,"Assessment";#N/A,#N/A,FALSE,"Staffing";#N/A,#N/A,FALSE,"Hires";#N/A,#N/A,FALSE,"Assumptions"}</definedName>
    <definedName name="______kk1" localSheetId="17" hidden="1">{#N/A,#N/A,FALSE,"Assessment";#N/A,#N/A,FALSE,"Staffing";#N/A,#N/A,FALSE,"Hires";#N/A,#N/A,FALSE,"Assumptions"}</definedName>
    <definedName name="______kk1" localSheetId="18" hidden="1">{#N/A,#N/A,FALSE,"Assessment";#N/A,#N/A,FALSE,"Staffing";#N/A,#N/A,FALSE,"Hires";#N/A,#N/A,FALSE,"Assumptions"}</definedName>
    <definedName name="______kk1" localSheetId="19" hidden="1">{#N/A,#N/A,FALSE,"Assessment";#N/A,#N/A,FALSE,"Staffing";#N/A,#N/A,FALSE,"Hires";#N/A,#N/A,FALSE,"Assumptions"}</definedName>
    <definedName name="______kk1" localSheetId="20" hidden="1">{#N/A,#N/A,FALSE,"Assessment";#N/A,#N/A,FALSE,"Staffing";#N/A,#N/A,FALSE,"Hires";#N/A,#N/A,FALSE,"Assumptions"}</definedName>
    <definedName name="______kk1" localSheetId="21" hidden="1">{#N/A,#N/A,FALSE,"Assessment";#N/A,#N/A,FALSE,"Staffing";#N/A,#N/A,FALSE,"Hires";#N/A,#N/A,FALSE,"Assumptions"}</definedName>
    <definedName name="______kk1" localSheetId="39" hidden="1">{#N/A,#N/A,FALSE,"Assessment";#N/A,#N/A,FALSE,"Staffing";#N/A,#N/A,FALSE,"Hires";#N/A,#N/A,FALSE,"Assumptions"}</definedName>
    <definedName name="______kk1" localSheetId="40" hidden="1">{#N/A,#N/A,FALSE,"Assessment";#N/A,#N/A,FALSE,"Staffing";#N/A,#N/A,FALSE,"Hires";#N/A,#N/A,FALSE,"Assumptions"}</definedName>
    <definedName name="______kk1" localSheetId="41" hidden="1">{#N/A,#N/A,FALSE,"Assessment";#N/A,#N/A,FALSE,"Staffing";#N/A,#N/A,FALSE,"Hires";#N/A,#N/A,FALSE,"Assumptions"}</definedName>
    <definedName name="______kk1" localSheetId="43" hidden="1">{#N/A,#N/A,FALSE,"Assessment";#N/A,#N/A,FALSE,"Staffing";#N/A,#N/A,FALSE,"Hires";#N/A,#N/A,FALSE,"Assumptions"}</definedName>
    <definedName name="______kk1" localSheetId="48" hidden="1">{#N/A,#N/A,FALSE,"Assessment";#N/A,#N/A,FALSE,"Staffing";#N/A,#N/A,FALSE,"Hires";#N/A,#N/A,FALSE,"Assumptions"}</definedName>
    <definedName name="______kk1" hidden="1">{#N/A,#N/A,FALSE,"Assessment";#N/A,#N/A,FALSE,"Staffing";#N/A,#N/A,FALSE,"Hires";#N/A,#N/A,FALSE,"Assumptions"}</definedName>
    <definedName name="______KKK1" localSheetId="1" hidden="1">{#N/A,#N/A,FALSE,"Assessment";#N/A,#N/A,FALSE,"Staffing";#N/A,#N/A,FALSE,"Hires";#N/A,#N/A,FALSE,"Assumptions"}</definedName>
    <definedName name="______KKK1" localSheetId="2" hidden="1">{#N/A,#N/A,FALSE,"Assessment";#N/A,#N/A,FALSE,"Staffing";#N/A,#N/A,FALSE,"Hires";#N/A,#N/A,FALSE,"Assumptions"}</definedName>
    <definedName name="______KKK1" localSheetId="0" hidden="1">{#N/A,#N/A,FALSE,"Assessment";#N/A,#N/A,FALSE,"Staffing";#N/A,#N/A,FALSE,"Hires";#N/A,#N/A,FALSE,"Assumptions"}</definedName>
    <definedName name="______KKK1" localSheetId="30" hidden="1">{#N/A,#N/A,FALSE,"Assessment";#N/A,#N/A,FALSE,"Staffing";#N/A,#N/A,FALSE,"Hires";#N/A,#N/A,FALSE,"Assumptions"}</definedName>
    <definedName name="______KKK1" localSheetId="12" hidden="1">{#N/A,#N/A,FALSE,"Assessment";#N/A,#N/A,FALSE,"Staffing";#N/A,#N/A,FALSE,"Hires";#N/A,#N/A,FALSE,"Assumptions"}</definedName>
    <definedName name="______KKK1" localSheetId="38" hidden="1">{#N/A,#N/A,FALSE,"Assessment";#N/A,#N/A,FALSE,"Staffing";#N/A,#N/A,FALSE,"Hires";#N/A,#N/A,FALSE,"Assumptions"}</definedName>
    <definedName name="______KKK1" localSheetId="10" hidden="1">{#N/A,#N/A,FALSE,"Assessment";#N/A,#N/A,FALSE,"Staffing";#N/A,#N/A,FALSE,"Hires";#N/A,#N/A,FALSE,"Assumptions"}</definedName>
    <definedName name="______KKK1" localSheetId="11" hidden="1">{#N/A,#N/A,FALSE,"Assessment";#N/A,#N/A,FALSE,"Staffing";#N/A,#N/A,FALSE,"Hires";#N/A,#N/A,FALSE,"Assumptions"}</definedName>
    <definedName name="______KKK1" localSheetId="3" hidden="1">{#N/A,#N/A,FALSE,"Assessment";#N/A,#N/A,FALSE,"Staffing";#N/A,#N/A,FALSE,"Hires";#N/A,#N/A,FALSE,"Assumptions"}</definedName>
    <definedName name="______KKK1" localSheetId="4" hidden="1">{#N/A,#N/A,FALSE,"Assessment";#N/A,#N/A,FALSE,"Staffing";#N/A,#N/A,FALSE,"Hires";#N/A,#N/A,FALSE,"Assumptions"}</definedName>
    <definedName name="______KKK1" localSheetId="6" hidden="1">{#N/A,#N/A,FALSE,"Assessment";#N/A,#N/A,FALSE,"Staffing";#N/A,#N/A,FALSE,"Hires";#N/A,#N/A,FALSE,"Assumptions"}</definedName>
    <definedName name="______KKK1" localSheetId="7" hidden="1">{#N/A,#N/A,FALSE,"Assessment";#N/A,#N/A,FALSE,"Staffing";#N/A,#N/A,FALSE,"Hires";#N/A,#N/A,FALSE,"Assumptions"}</definedName>
    <definedName name="______KKK1" localSheetId="8" hidden="1">{#N/A,#N/A,FALSE,"Assessment";#N/A,#N/A,FALSE,"Staffing";#N/A,#N/A,FALSE,"Hires";#N/A,#N/A,FALSE,"Assumptions"}</definedName>
    <definedName name="______KKK1" localSheetId="9" hidden="1">{#N/A,#N/A,FALSE,"Assessment";#N/A,#N/A,FALSE,"Staffing";#N/A,#N/A,FALSE,"Hires";#N/A,#N/A,FALSE,"Assumptions"}</definedName>
    <definedName name="______KKK1" localSheetId="31" hidden="1">{#N/A,#N/A,FALSE,"Assessment";#N/A,#N/A,FALSE,"Staffing";#N/A,#N/A,FALSE,"Hires";#N/A,#N/A,FALSE,"Assumptions"}</definedName>
    <definedName name="______KKK1" localSheetId="32" hidden="1">{#N/A,#N/A,FALSE,"Assessment";#N/A,#N/A,FALSE,"Staffing";#N/A,#N/A,FALSE,"Hires";#N/A,#N/A,FALSE,"Assumptions"}</definedName>
    <definedName name="______KKK1" localSheetId="13" hidden="1">{#N/A,#N/A,FALSE,"Assessment";#N/A,#N/A,FALSE,"Staffing";#N/A,#N/A,FALSE,"Hires";#N/A,#N/A,FALSE,"Assumptions"}</definedName>
    <definedName name="______KKK1" localSheetId="22" hidden="1">{#N/A,#N/A,FALSE,"Assessment";#N/A,#N/A,FALSE,"Staffing";#N/A,#N/A,FALSE,"Hires";#N/A,#N/A,FALSE,"Assumptions"}</definedName>
    <definedName name="______KKK1" localSheetId="23" hidden="1">{#N/A,#N/A,FALSE,"Assessment";#N/A,#N/A,FALSE,"Staffing";#N/A,#N/A,FALSE,"Hires";#N/A,#N/A,FALSE,"Assumptions"}</definedName>
    <definedName name="______KKK1" localSheetId="14" hidden="1">{#N/A,#N/A,FALSE,"Assessment";#N/A,#N/A,FALSE,"Staffing";#N/A,#N/A,FALSE,"Hires";#N/A,#N/A,FALSE,"Assumptions"}</definedName>
    <definedName name="______KKK1" localSheetId="15" hidden="1">{#N/A,#N/A,FALSE,"Assessment";#N/A,#N/A,FALSE,"Staffing";#N/A,#N/A,FALSE,"Hires";#N/A,#N/A,FALSE,"Assumptions"}</definedName>
    <definedName name="______KKK1" localSheetId="16" hidden="1">{#N/A,#N/A,FALSE,"Assessment";#N/A,#N/A,FALSE,"Staffing";#N/A,#N/A,FALSE,"Hires";#N/A,#N/A,FALSE,"Assumptions"}</definedName>
    <definedName name="______KKK1" localSheetId="17" hidden="1">{#N/A,#N/A,FALSE,"Assessment";#N/A,#N/A,FALSE,"Staffing";#N/A,#N/A,FALSE,"Hires";#N/A,#N/A,FALSE,"Assumptions"}</definedName>
    <definedName name="______KKK1" localSheetId="18" hidden="1">{#N/A,#N/A,FALSE,"Assessment";#N/A,#N/A,FALSE,"Staffing";#N/A,#N/A,FALSE,"Hires";#N/A,#N/A,FALSE,"Assumptions"}</definedName>
    <definedName name="______KKK1" localSheetId="19" hidden="1">{#N/A,#N/A,FALSE,"Assessment";#N/A,#N/A,FALSE,"Staffing";#N/A,#N/A,FALSE,"Hires";#N/A,#N/A,FALSE,"Assumptions"}</definedName>
    <definedName name="______KKK1" localSheetId="20" hidden="1">{#N/A,#N/A,FALSE,"Assessment";#N/A,#N/A,FALSE,"Staffing";#N/A,#N/A,FALSE,"Hires";#N/A,#N/A,FALSE,"Assumptions"}</definedName>
    <definedName name="______KKK1" localSheetId="21" hidden="1">{#N/A,#N/A,FALSE,"Assessment";#N/A,#N/A,FALSE,"Staffing";#N/A,#N/A,FALSE,"Hires";#N/A,#N/A,FALSE,"Assumptions"}</definedName>
    <definedName name="______KKK1" localSheetId="39" hidden="1">{#N/A,#N/A,FALSE,"Assessment";#N/A,#N/A,FALSE,"Staffing";#N/A,#N/A,FALSE,"Hires";#N/A,#N/A,FALSE,"Assumptions"}</definedName>
    <definedName name="______KKK1" localSheetId="40" hidden="1">{#N/A,#N/A,FALSE,"Assessment";#N/A,#N/A,FALSE,"Staffing";#N/A,#N/A,FALSE,"Hires";#N/A,#N/A,FALSE,"Assumptions"}</definedName>
    <definedName name="______KKK1" localSheetId="41" hidden="1">{#N/A,#N/A,FALSE,"Assessment";#N/A,#N/A,FALSE,"Staffing";#N/A,#N/A,FALSE,"Hires";#N/A,#N/A,FALSE,"Assumptions"}</definedName>
    <definedName name="______KKK1" localSheetId="43" hidden="1">{#N/A,#N/A,FALSE,"Assessment";#N/A,#N/A,FALSE,"Staffing";#N/A,#N/A,FALSE,"Hires";#N/A,#N/A,FALSE,"Assumptions"}</definedName>
    <definedName name="______KKK1" localSheetId="48" hidden="1">{#N/A,#N/A,FALSE,"Assessment";#N/A,#N/A,FALSE,"Staffing";#N/A,#N/A,FALSE,"Hires";#N/A,#N/A,FALSE,"Assumptions"}</definedName>
    <definedName name="______KKK1" hidden="1">{#N/A,#N/A,FALSE,"Assessment";#N/A,#N/A,FALSE,"Staffing";#N/A,#N/A,FALSE,"Hires";#N/A,#N/A,FALSE,"Assumptions"}</definedName>
    <definedName name="______w2" localSheetId="1" hidden="1">{"Model Summary",#N/A,FALSE,"Print Chart";"Holdco",#N/A,FALSE,"Print Chart";"Genco",#N/A,FALSE,"Print Chart";"Servco",#N/A,FALSE,"Print Chart";"Genco_Detail",#N/A,FALSE,"Summary Financials";"Servco_Detail",#N/A,FALSE,"Summary Financials"}</definedName>
    <definedName name="______w2" localSheetId="2" hidden="1">{"Model Summary",#N/A,FALSE,"Print Chart";"Holdco",#N/A,FALSE,"Print Chart";"Genco",#N/A,FALSE,"Print Chart";"Servco",#N/A,FALSE,"Print Chart";"Genco_Detail",#N/A,FALSE,"Summary Financials";"Servco_Detail",#N/A,FALSE,"Summary Financials"}</definedName>
    <definedName name="______w2" localSheetId="0" hidden="1">{"Model Summary",#N/A,FALSE,"Print Chart";"Holdco",#N/A,FALSE,"Print Chart";"Genco",#N/A,FALSE,"Print Chart";"Servco",#N/A,FALSE,"Print Chart";"Genco_Detail",#N/A,FALSE,"Summary Financials";"Servco_Detail",#N/A,FALSE,"Summary Financials"}</definedName>
    <definedName name="______w2" localSheetId="30" hidden="1">{"Model Summary",#N/A,FALSE,"Print Chart";"Holdco",#N/A,FALSE,"Print Chart";"Genco",#N/A,FALSE,"Print Chart";"Servco",#N/A,FALSE,"Print Chart";"Genco_Detail",#N/A,FALSE,"Summary Financials";"Servco_Detail",#N/A,FALSE,"Summary Financials"}</definedName>
    <definedName name="______w2" localSheetId="12" hidden="1">{"Model Summary",#N/A,FALSE,"Print Chart";"Holdco",#N/A,FALSE,"Print Chart";"Genco",#N/A,FALSE,"Print Chart";"Servco",#N/A,FALSE,"Print Chart";"Genco_Detail",#N/A,FALSE,"Summary Financials";"Servco_Detail",#N/A,FALSE,"Summary Financials"}</definedName>
    <definedName name="______w2" localSheetId="38" hidden="1">{"Model Summary",#N/A,FALSE,"Print Chart";"Holdco",#N/A,FALSE,"Print Chart";"Genco",#N/A,FALSE,"Print Chart";"Servco",#N/A,FALSE,"Print Chart";"Genco_Detail",#N/A,FALSE,"Summary Financials";"Servco_Detail",#N/A,FALSE,"Summary Financials"}</definedName>
    <definedName name="______w2" localSheetId="10" hidden="1">{"Model Summary",#N/A,FALSE,"Print Chart";"Holdco",#N/A,FALSE,"Print Chart";"Genco",#N/A,FALSE,"Print Chart";"Servco",#N/A,FALSE,"Print Chart";"Genco_Detail",#N/A,FALSE,"Summary Financials";"Servco_Detail",#N/A,FALSE,"Summary Financials"}</definedName>
    <definedName name="______w2" localSheetId="11" hidden="1">{"Model Summary",#N/A,FALSE,"Print Chart";"Holdco",#N/A,FALSE,"Print Chart";"Genco",#N/A,FALSE,"Print Chart";"Servco",#N/A,FALSE,"Print Chart";"Genco_Detail",#N/A,FALSE,"Summary Financials";"Servco_Detail",#N/A,FALSE,"Summary Financials"}</definedName>
    <definedName name="______w2" localSheetId="3" hidden="1">{"Model Summary",#N/A,FALSE,"Print Chart";"Holdco",#N/A,FALSE,"Print Chart";"Genco",#N/A,FALSE,"Print Chart";"Servco",#N/A,FALSE,"Print Chart";"Genco_Detail",#N/A,FALSE,"Summary Financials";"Servco_Detail",#N/A,FALSE,"Summary Financials"}</definedName>
    <definedName name="______w2" localSheetId="4" hidden="1">{"Model Summary",#N/A,FALSE,"Print Chart";"Holdco",#N/A,FALSE,"Print Chart";"Genco",#N/A,FALSE,"Print Chart";"Servco",#N/A,FALSE,"Print Chart";"Genco_Detail",#N/A,FALSE,"Summary Financials";"Servco_Detail",#N/A,FALSE,"Summary Financials"}</definedName>
    <definedName name="______w2" localSheetId="6" hidden="1">{"Model Summary",#N/A,FALSE,"Print Chart";"Holdco",#N/A,FALSE,"Print Chart";"Genco",#N/A,FALSE,"Print Chart";"Servco",#N/A,FALSE,"Print Chart";"Genco_Detail",#N/A,FALSE,"Summary Financials";"Servco_Detail",#N/A,FALSE,"Summary Financials"}</definedName>
    <definedName name="______w2" localSheetId="7" hidden="1">{"Model Summary",#N/A,FALSE,"Print Chart";"Holdco",#N/A,FALSE,"Print Chart";"Genco",#N/A,FALSE,"Print Chart";"Servco",#N/A,FALSE,"Print Chart";"Genco_Detail",#N/A,FALSE,"Summary Financials";"Servco_Detail",#N/A,FALSE,"Summary Financials"}</definedName>
    <definedName name="______w2" localSheetId="8" hidden="1">{"Model Summary",#N/A,FALSE,"Print Chart";"Holdco",#N/A,FALSE,"Print Chart";"Genco",#N/A,FALSE,"Print Chart";"Servco",#N/A,FALSE,"Print Chart";"Genco_Detail",#N/A,FALSE,"Summary Financials";"Servco_Detail",#N/A,FALSE,"Summary Financials"}</definedName>
    <definedName name="______w2" localSheetId="9" hidden="1">{"Model Summary",#N/A,FALSE,"Print Chart";"Holdco",#N/A,FALSE,"Print Chart";"Genco",#N/A,FALSE,"Print Chart";"Servco",#N/A,FALSE,"Print Chart";"Genco_Detail",#N/A,FALSE,"Summary Financials";"Servco_Detail",#N/A,FALSE,"Summary Financials"}</definedName>
    <definedName name="______w2" localSheetId="31" hidden="1">{"Model Summary",#N/A,FALSE,"Print Chart";"Holdco",#N/A,FALSE,"Print Chart";"Genco",#N/A,FALSE,"Print Chart";"Servco",#N/A,FALSE,"Print Chart";"Genco_Detail",#N/A,FALSE,"Summary Financials";"Servco_Detail",#N/A,FALSE,"Summary Financials"}</definedName>
    <definedName name="______w2" localSheetId="32" hidden="1">{"Model Summary",#N/A,FALSE,"Print Chart";"Holdco",#N/A,FALSE,"Print Chart";"Genco",#N/A,FALSE,"Print Chart";"Servco",#N/A,FALSE,"Print Chart";"Genco_Detail",#N/A,FALSE,"Summary Financials";"Servco_Detail",#N/A,FALSE,"Summary Financials"}</definedName>
    <definedName name="______w2" localSheetId="13" hidden="1">{"Model Summary",#N/A,FALSE,"Print Chart";"Holdco",#N/A,FALSE,"Print Chart";"Genco",#N/A,FALSE,"Print Chart";"Servco",#N/A,FALSE,"Print Chart";"Genco_Detail",#N/A,FALSE,"Summary Financials";"Servco_Detail",#N/A,FALSE,"Summary Financials"}</definedName>
    <definedName name="______w2" localSheetId="22" hidden="1">{"Model Summary",#N/A,FALSE,"Print Chart";"Holdco",#N/A,FALSE,"Print Chart";"Genco",#N/A,FALSE,"Print Chart";"Servco",#N/A,FALSE,"Print Chart";"Genco_Detail",#N/A,FALSE,"Summary Financials";"Servco_Detail",#N/A,FALSE,"Summary Financials"}</definedName>
    <definedName name="______w2" localSheetId="23" hidden="1">{"Model Summary",#N/A,FALSE,"Print Chart";"Holdco",#N/A,FALSE,"Print Chart";"Genco",#N/A,FALSE,"Print Chart";"Servco",#N/A,FALSE,"Print Chart";"Genco_Detail",#N/A,FALSE,"Summary Financials";"Servco_Detail",#N/A,FALSE,"Summary Financials"}</definedName>
    <definedName name="______w2" localSheetId="14" hidden="1">{"Model Summary",#N/A,FALSE,"Print Chart";"Holdco",#N/A,FALSE,"Print Chart";"Genco",#N/A,FALSE,"Print Chart";"Servco",#N/A,FALSE,"Print Chart";"Genco_Detail",#N/A,FALSE,"Summary Financials";"Servco_Detail",#N/A,FALSE,"Summary Financials"}</definedName>
    <definedName name="______w2" localSheetId="15" hidden="1">{"Model Summary",#N/A,FALSE,"Print Chart";"Holdco",#N/A,FALSE,"Print Chart";"Genco",#N/A,FALSE,"Print Chart";"Servco",#N/A,FALSE,"Print Chart";"Genco_Detail",#N/A,FALSE,"Summary Financials";"Servco_Detail",#N/A,FALSE,"Summary Financials"}</definedName>
    <definedName name="______w2" localSheetId="16" hidden="1">{"Model Summary",#N/A,FALSE,"Print Chart";"Holdco",#N/A,FALSE,"Print Chart";"Genco",#N/A,FALSE,"Print Chart";"Servco",#N/A,FALSE,"Print Chart";"Genco_Detail",#N/A,FALSE,"Summary Financials";"Servco_Detail",#N/A,FALSE,"Summary Financials"}</definedName>
    <definedName name="______w2" localSheetId="17" hidden="1">{"Model Summary",#N/A,FALSE,"Print Chart";"Holdco",#N/A,FALSE,"Print Chart";"Genco",#N/A,FALSE,"Print Chart";"Servco",#N/A,FALSE,"Print Chart";"Genco_Detail",#N/A,FALSE,"Summary Financials";"Servco_Detail",#N/A,FALSE,"Summary Financials"}</definedName>
    <definedName name="______w2" localSheetId="18" hidden="1">{"Model Summary",#N/A,FALSE,"Print Chart";"Holdco",#N/A,FALSE,"Print Chart";"Genco",#N/A,FALSE,"Print Chart";"Servco",#N/A,FALSE,"Print Chart";"Genco_Detail",#N/A,FALSE,"Summary Financials";"Servco_Detail",#N/A,FALSE,"Summary Financials"}</definedName>
    <definedName name="______w2" localSheetId="19" hidden="1">{"Model Summary",#N/A,FALSE,"Print Chart";"Holdco",#N/A,FALSE,"Print Chart";"Genco",#N/A,FALSE,"Print Chart";"Servco",#N/A,FALSE,"Print Chart";"Genco_Detail",#N/A,FALSE,"Summary Financials";"Servco_Detail",#N/A,FALSE,"Summary Financials"}</definedName>
    <definedName name="______w2" localSheetId="20" hidden="1">{"Model Summary",#N/A,FALSE,"Print Chart";"Holdco",#N/A,FALSE,"Print Chart";"Genco",#N/A,FALSE,"Print Chart";"Servco",#N/A,FALSE,"Print Chart";"Genco_Detail",#N/A,FALSE,"Summary Financials";"Servco_Detail",#N/A,FALSE,"Summary Financials"}</definedName>
    <definedName name="______w2" localSheetId="21" hidden="1">{"Model Summary",#N/A,FALSE,"Print Chart";"Holdco",#N/A,FALSE,"Print Chart";"Genco",#N/A,FALSE,"Print Chart";"Servco",#N/A,FALSE,"Print Chart";"Genco_Detail",#N/A,FALSE,"Summary Financials";"Servco_Detail",#N/A,FALSE,"Summary Financials"}</definedName>
    <definedName name="______w2" localSheetId="39" hidden="1">{"Model Summary",#N/A,FALSE,"Print Chart";"Holdco",#N/A,FALSE,"Print Chart";"Genco",#N/A,FALSE,"Print Chart";"Servco",#N/A,FALSE,"Print Chart";"Genco_Detail",#N/A,FALSE,"Summary Financials";"Servco_Detail",#N/A,FALSE,"Summary Financials"}</definedName>
    <definedName name="______w2" localSheetId="40" hidden="1">{"Model Summary",#N/A,FALSE,"Print Chart";"Holdco",#N/A,FALSE,"Print Chart";"Genco",#N/A,FALSE,"Print Chart";"Servco",#N/A,FALSE,"Print Chart";"Genco_Detail",#N/A,FALSE,"Summary Financials";"Servco_Detail",#N/A,FALSE,"Summary Financials"}</definedName>
    <definedName name="______w2" localSheetId="41" hidden="1">{"Model Summary",#N/A,FALSE,"Print Chart";"Holdco",#N/A,FALSE,"Print Chart";"Genco",#N/A,FALSE,"Print Chart";"Servco",#N/A,FALSE,"Print Chart";"Genco_Detail",#N/A,FALSE,"Summary Financials";"Servco_Detail",#N/A,FALSE,"Summary Financials"}</definedName>
    <definedName name="______w2" localSheetId="43" hidden="1">{"Model Summary",#N/A,FALSE,"Print Chart";"Holdco",#N/A,FALSE,"Print Chart";"Genco",#N/A,FALSE,"Print Chart";"Servco",#N/A,FALSE,"Print Chart";"Genco_Detail",#N/A,FALSE,"Summary Financials";"Servco_Detail",#N/A,FALSE,"Summary Financials"}</definedName>
    <definedName name="______w2" localSheetId="48"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 hidden="1">{"Model Summary",#N/A,FALSE,"Print Chart";"Holdco",#N/A,FALSE,"Print Chart";"Genco",#N/A,FALSE,"Print Chart";"Servco",#N/A,FALSE,"Print Chart";"Genco_Detail",#N/A,FALSE,"Summary Financials";"Servco_Detail",#N/A,FALSE,"Summary Financials"}</definedName>
    <definedName name="______wr6" localSheetId="2" hidden="1">{"Model Summary",#N/A,FALSE,"Print Chart";"Holdco",#N/A,FALSE,"Print Chart";"Genco",#N/A,FALSE,"Print Chart";"Servco",#N/A,FALSE,"Print Chart";"Genco_Detail",#N/A,FALSE,"Summary Financials";"Servco_Detail",#N/A,FALSE,"Summary Financials"}</definedName>
    <definedName name="______wr6" localSheetId="0" hidden="1">{"Model Summary",#N/A,FALSE,"Print Chart";"Holdco",#N/A,FALSE,"Print Chart";"Genco",#N/A,FALSE,"Print Chart";"Servco",#N/A,FALSE,"Print Chart";"Genco_Detail",#N/A,FALSE,"Summary Financials";"Servco_Detail",#N/A,FALSE,"Summary Financials"}</definedName>
    <definedName name="______wr6" localSheetId="30" hidden="1">{"Model Summary",#N/A,FALSE,"Print Chart";"Holdco",#N/A,FALSE,"Print Chart";"Genco",#N/A,FALSE,"Print Chart";"Servco",#N/A,FALSE,"Print Chart";"Genco_Detail",#N/A,FALSE,"Summary Financials";"Servco_Detail",#N/A,FALSE,"Summary Financials"}</definedName>
    <definedName name="______wr6" localSheetId="12" hidden="1">{"Model Summary",#N/A,FALSE,"Print Chart";"Holdco",#N/A,FALSE,"Print Chart";"Genco",#N/A,FALSE,"Print Chart";"Servco",#N/A,FALSE,"Print Chart";"Genco_Detail",#N/A,FALSE,"Summary Financials";"Servco_Detail",#N/A,FALSE,"Summary Financials"}</definedName>
    <definedName name="______wr6" localSheetId="38" hidden="1">{"Model Summary",#N/A,FALSE,"Print Chart";"Holdco",#N/A,FALSE,"Print Chart";"Genco",#N/A,FALSE,"Print Chart";"Servco",#N/A,FALSE,"Print Chart";"Genco_Detail",#N/A,FALSE,"Summary Financials";"Servco_Detail",#N/A,FALSE,"Summary Financials"}</definedName>
    <definedName name="______wr6" localSheetId="10" hidden="1">{"Model Summary",#N/A,FALSE,"Print Chart";"Holdco",#N/A,FALSE,"Print Chart";"Genco",#N/A,FALSE,"Print Chart";"Servco",#N/A,FALSE,"Print Chart";"Genco_Detail",#N/A,FALSE,"Summary Financials";"Servco_Detail",#N/A,FALSE,"Summary Financials"}</definedName>
    <definedName name="______wr6" localSheetId="11"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localSheetId="4" hidden="1">{"Model Summary",#N/A,FALSE,"Print Chart";"Holdco",#N/A,FALSE,"Print Chart";"Genco",#N/A,FALSE,"Print Chart";"Servco",#N/A,FALSE,"Print Chart";"Genco_Detail",#N/A,FALSE,"Summary Financials";"Servco_Detail",#N/A,FALSE,"Summary Financials"}</definedName>
    <definedName name="______wr6" localSheetId="6" hidden="1">{"Model Summary",#N/A,FALSE,"Print Chart";"Holdco",#N/A,FALSE,"Print Chart";"Genco",#N/A,FALSE,"Print Chart";"Servco",#N/A,FALSE,"Print Chart";"Genco_Detail",#N/A,FALSE,"Summary Financials";"Servco_Detail",#N/A,FALSE,"Summary Financials"}</definedName>
    <definedName name="______wr6" localSheetId="7" hidden="1">{"Model Summary",#N/A,FALSE,"Print Chart";"Holdco",#N/A,FALSE,"Print Chart";"Genco",#N/A,FALSE,"Print Chart";"Servco",#N/A,FALSE,"Print Chart";"Genco_Detail",#N/A,FALSE,"Summary Financials";"Servco_Detail",#N/A,FALSE,"Summary Financials"}</definedName>
    <definedName name="______wr6" localSheetId="8" hidden="1">{"Model Summary",#N/A,FALSE,"Print Chart";"Holdco",#N/A,FALSE,"Print Chart";"Genco",#N/A,FALSE,"Print Chart";"Servco",#N/A,FALSE,"Print Chart";"Genco_Detail",#N/A,FALSE,"Summary Financials";"Servco_Detail",#N/A,FALSE,"Summary Financials"}</definedName>
    <definedName name="______wr6" localSheetId="9" hidden="1">{"Model Summary",#N/A,FALSE,"Print Chart";"Holdco",#N/A,FALSE,"Print Chart";"Genco",#N/A,FALSE,"Print Chart";"Servco",#N/A,FALSE,"Print Chart";"Genco_Detail",#N/A,FALSE,"Summary Financials";"Servco_Detail",#N/A,FALSE,"Summary Financials"}</definedName>
    <definedName name="______wr6" localSheetId="31" hidden="1">{"Model Summary",#N/A,FALSE,"Print Chart";"Holdco",#N/A,FALSE,"Print Chart";"Genco",#N/A,FALSE,"Print Chart";"Servco",#N/A,FALSE,"Print Chart";"Genco_Detail",#N/A,FALSE,"Summary Financials";"Servco_Detail",#N/A,FALSE,"Summary Financials"}</definedName>
    <definedName name="______wr6" localSheetId="32" hidden="1">{"Model Summary",#N/A,FALSE,"Print Chart";"Holdco",#N/A,FALSE,"Print Chart";"Genco",#N/A,FALSE,"Print Chart";"Servco",#N/A,FALSE,"Print Chart";"Genco_Detail",#N/A,FALSE,"Summary Financials";"Servco_Detail",#N/A,FALSE,"Summary Financials"}</definedName>
    <definedName name="______wr6" localSheetId="13" hidden="1">{"Model Summary",#N/A,FALSE,"Print Chart";"Holdco",#N/A,FALSE,"Print Chart";"Genco",#N/A,FALSE,"Print Chart";"Servco",#N/A,FALSE,"Print Chart";"Genco_Detail",#N/A,FALSE,"Summary Financials";"Servco_Detail",#N/A,FALSE,"Summary Financials"}</definedName>
    <definedName name="______wr6" localSheetId="22" hidden="1">{"Model Summary",#N/A,FALSE,"Print Chart";"Holdco",#N/A,FALSE,"Print Chart";"Genco",#N/A,FALSE,"Print Chart";"Servco",#N/A,FALSE,"Print Chart";"Genco_Detail",#N/A,FALSE,"Summary Financials";"Servco_Detail",#N/A,FALSE,"Summary Financials"}</definedName>
    <definedName name="______wr6" localSheetId="23" hidden="1">{"Model Summary",#N/A,FALSE,"Print Chart";"Holdco",#N/A,FALSE,"Print Chart";"Genco",#N/A,FALSE,"Print Chart";"Servco",#N/A,FALSE,"Print Chart";"Genco_Detail",#N/A,FALSE,"Summary Financials";"Servco_Detail",#N/A,FALSE,"Summary Financials"}</definedName>
    <definedName name="______wr6" localSheetId="14" hidden="1">{"Model Summary",#N/A,FALSE,"Print Chart";"Holdco",#N/A,FALSE,"Print Chart";"Genco",#N/A,FALSE,"Print Chart";"Servco",#N/A,FALSE,"Print Chart";"Genco_Detail",#N/A,FALSE,"Summary Financials";"Servco_Detail",#N/A,FALSE,"Summary Financials"}</definedName>
    <definedName name="______wr6" localSheetId="15" hidden="1">{"Model Summary",#N/A,FALSE,"Print Chart";"Holdco",#N/A,FALSE,"Print Chart";"Genco",#N/A,FALSE,"Print Chart";"Servco",#N/A,FALSE,"Print Chart";"Genco_Detail",#N/A,FALSE,"Summary Financials";"Servco_Detail",#N/A,FALSE,"Summary Financials"}</definedName>
    <definedName name="______wr6" localSheetId="16" hidden="1">{"Model Summary",#N/A,FALSE,"Print Chart";"Holdco",#N/A,FALSE,"Print Chart";"Genco",#N/A,FALSE,"Print Chart";"Servco",#N/A,FALSE,"Print Chart";"Genco_Detail",#N/A,FALSE,"Summary Financials";"Servco_Detail",#N/A,FALSE,"Summary Financials"}</definedName>
    <definedName name="______wr6" localSheetId="17" hidden="1">{"Model Summary",#N/A,FALSE,"Print Chart";"Holdco",#N/A,FALSE,"Print Chart";"Genco",#N/A,FALSE,"Print Chart";"Servco",#N/A,FALSE,"Print Chart";"Genco_Detail",#N/A,FALSE,"Summary Financials";"Servco_Detail",#N/A,FALSE,"Summary Financials"}</definedName>
    <definedName name="______wr6" localSheetId="18" hidden="1">{"Model Summary",#N/A,FALSE,"Print Chart";"Holdco",#N/A,FALSE,"Print Chart";"Genco",#N/A,FALSE,"Print Chart";"Servco",#N/A,FALSE,"Print Chart";"Genco_Detail",#N/A,FALSE,"Summary Financials";"Servco_Detail",#N/A,FALSE,"Summary Financials"}</definedName>
    <definedName name="______wr6" localSheetId="19" hidden="1">{"Model Summary",#N/A,FALSE,"Print Chart";"Holdco",#N/A,FALSE,"Print Chart";"Genco",#N/A,FALSE,"Print Chart";"Servco",#N/A,FALSE,"Print Chart";"Genco_Detail",#N/A,FALSE,"Summary Financials";"Servco_Detail",#N/A,FALSE,"Summary Financials"}</definedName>
    <definedName name="______wr6" localSheetId="20" hidden="1">{"Model Summary",#N/A,FALSE,"Print Chart";"Holdco",#N/A,FALSE,"Print Chart";"Genco",#N/A,FALSE,"Print Chart";"Servco",#N/A,FALSE,"Print Chart";"Genco_Detail",#N/A,FALSE,"Summary Financials";"Servco_Detail",#N/A,FALSE,"Summary Financials"}</definedName>
    <definedName name="______wr6" localSheetId="21" hidden="1">{"Model Summary",#N/A,FALSE,"Print Chart";"Holdco",#N/A,FALSE,"Print Chart";"Genco",#N/A,FALSE,"Print Chart";"Servco",#N/A,FALSE,"Print Chart";"Genco_Detail",#N/A,FALSE,"Summary Financials";"Servco_Detail",#N/A,FALSE,"Summary Financials"}</definedName>
    <definedName name="______wr6" localSheetId="39" hidden="1">{"Model Summary",#N/A,FALSE,"Print Chart";"Holdco",#N/A,FALSE,"Print Chart";"Genco",#N/A,FALSE,"Print Chart";"Servco",#N/A,FALSE,"Print Chart";"Genco_Detail",#N/A,FALSE,"Summary Financials";"Servco_Detail",#N/A,FALSE,"Summary Financials"}</definedName>
    <definedName name="______wr6" localSheetId="40" hidden="1">{"Model Summary",#N/A,FALSE,"Print Chart";"Holdco",#N/A,FALSE,"Print Chart";"Genco",#N/A,FALSE,"Print Chart";"Servco",#N/A,FALSE,"Print Chart";"Genco_Detail",#N/A,FALSE,"Summary Financials";"Servco_Detail",#N/A,FALSE,"Summary Financials"}</definedName>
    <definedName name="______wr6" localSheetId="41" hidden="1">{"Model Summary",#N/A,FALSE,"Print Chart";"Holdco",#N/A,FALSE,"Print Chart";"Genco",#N/A,FALSE,"Print Chart";"Servco",#N/A,FALSE,"Print Chart";"Genco_Detail",#N/A,FALSE,"Summary Financials";"Servco_Detail",#N/A,FALSE,"Summary Financials"}</definedName>
    <definedName name="______wr6" localSheetId="43" hidden="1">{"Model Summary",#N/A,FALSE,"Print Chart";"Holdco",#N/A,FALSE,"Print Chart";"Genco",#N/A,FALSE,"Print Chart";"Servco",#N/A,FALSE,"Print Chart";"Genco_Detail",#N/A,FALSE,"Summary Financials";"Servco_Detail",#N/A,FALSE,"Summary Financials"}</definedName>
    <definedName name="______wr6" localSheetId="48"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 hidden="1">{"holdco",#N/A,FALSE,"Summary Financials";"holdco",#N/A,FALSE,"Summary Financials"}</definedName>
    <definedName name="______wr9" localSheetId="2" hidden="1">{"holdco",#N/A,FALSE,"Summary Financials";"holdco",#N/A,FALSE,"Summary Financials"}</definedName>
    <definedName name="______wr9" localSheetId="0" hidden="1">{"holdco",#N/A,FALSE,"Summary Financials";"holdco",#N/A,FALSE,"Summary Financials"}</definedName>
    <definedName name="______wr9" localSheetId="30" hidden="1">{"holdco",#N/A,FALSE,"Summary Financials";"holdco",#N/A,FALSE,"Summary Financials"}</definedName>
    <definedName name="______wr9" localSheetId="12" hidden="1">{"holdco",#N/A,FALSE,"Summary Financials";"holdco",#N/A,FALSE,"Summary Financials"}</definedName>
    <definedName name="______wr9" localSheetId="38" hidden="1">{"holdco",#N/A,FALSE,"Summary Financials";"holdco",#N/A,FALSE,"Summary Financials"}</definedName>
    <definedName name="______wr9" localSheetId="10" hidden="1">{"holdco",#N/A,FALSE,"Summary Financials";"holdco",#N/A,FALSE,"Summary Financials"}</definedName>
    <definedName name="______wr9" localSheetId="11" hidden="1">{"holdco",#N/A,FALSE,"Summary Financials";"holdco",#N/A,FALSE,"Summary Financials"}</definedName>
    <definedName name="______wr9" localSheetId="3" hidden="1">{"holdco",#N/A,FALSE,"Summary Financials";"holdco",#N/A,FALSE,"Summary Financials"}</definedName>
    <definedName name="______wr9" localSheetId="4" hidden="1">{"holdco",#N/A,FALSE,"Summary Financials";"holdco",#N/A,FALSE,"Summary Financials"}</definedName>
    <definedName name="______wr9" localSheetId="6" hidden="1">{"holdco",#N/A,FALSE,"Summary Financials";"holdco",#N/A,FALSE,"Summary Financials"}</definedName>
    <definedName name="______wr9" localSheetId="7" hidden="1">{"holdco",#N/A,FALSE,"Summary Financials";"holdco",#N/A,FALSE,"Summary Financials"}</definedName>
    <definedName name="______wr9" localSheetId="8" hidden="1">{"holdco",#N/A,FALSE,"Summary Financials";"holdco",#N/A,FALSE,"Summary Financials"}</definedName>
    <definedName name="______wr9" localSheetId="9" hidden="1">{"holdco",#N/A,FALSE,"Summary Financials";"holdco",#N/A,FALSE,"Summary Financials"}</definedName>
    <definedName name="______wr9" localSheetId="31" hidden="1">{"holdco",#N/A,FALSE,"Summary Financials";"holdco",#N/A,FALSE,"Summary Financials"}</definedName>
    <definedName name="______wr9" localSheetId="32" hidden="1">{"holdco",#N/A,FALSE,"Summary Financials";"holdco",#N/A,FALSE,"Summary Financials"}</definedName>
    <definedName name="______wr9" localSheetId="13" hidden="1">{"holdco",#N/A,FALSE,"Summary Financials";"holdco",#N/A,FALSE,"Summary Financials"}</definedName>
    <definedName name="______wr9" localSheetId="22" hidden="1">{"holdco",#N/A,FALSE,"Summary Financials";"holdco",#N/A,FALSE,"Summary Financials"}</definedName>
    <definedName name="______wr9" localSheetId="23" hidden="1">{"holdco",#N/A,FALSE,"Summary Financials";"holdco",#N/A,FALSE,"Summary Financials"}</definedName>
    <definedName name="______wr9" localSheetId="14" hidden="1">{"holdco",#N/A,FALSE,"Summary Financials";"holdco",#N/A,FALSE,"Summary Financials"}</definedName>
    <definedName name="______wr9" localSheetId="15" hidden="1">{"holdco",#N/A,FALSE,"Summary Financials";"holdco",#N/A,FALSE,"Summary Financials"}</definedName>
    <definedName name="______wr9" localSheetId="16" hidden="1">{"holdco",#N/A,FALSE,"Summary Financials";"holdco",#N/A,FALSE,"Summary Financials"}</definedName>
    <definedName name="______wr9" localSheetId="17" hidden="1">{"holdco",#N/A,FALSE,"Summary Financials";"holdco",#N/A,FALSE,"Summary Financials"}</definedName>
    <definedName name="______wr9" localSheetId="18" hidden="1">{"holdco",#N/A,FALSE,"Summary Financials";"holdco",#N/A,FALSE,"Summary Financials"}</definedName>
    <definedName name="______wr9" localSheetId="19" hidden="1">{"holdco",#N/A,FALSE,"Summary Financials";"holdco",#N/A,FALSE,"Summary Financials"}</definedName>
    <definedName name="______wr9" localSheetId="20" hidden="1">{"holdco",#N/A,FALSE,"Summary Financials";"holdco",#N/A,FALSE,"Summary Financials"}</definedName>
    <definedName name="______wr9" localSheetId="21" hidden="1">{"holdco",#N/A,FALSE,"Summary Financials";"holdco",#N/A,FALSE,"Summary Financials"}</definedName>
    <definedName name="______wr9" localSheetId="39" hidden="1">{"holdco",#N/A,FALSE,"Summary Financials";"holdco",#N/A,FALSE,"Summary Financials"}</definedName>
    <definedName name="______wr9" localSheetId="40" hidden="1">{"holdco",#N/A,FALSE,"Summary Financials";"holdco",#N/A,FALSE,"Summary Financials"}</definedName>
    <definedName name="______wr9" localSheetId="41" hidden="1">{"holdco",#N/A,FALSE,"Summary Financials";"holdco",#N/A,FALSE,"Summary Financials"}</definedName>
    <definedName name="______wr9" localSheetId="43" hidden="1">{"holdco",#N/A,FALSE,"Summary Financials";"holdco",#N/A,FALSE,"Summary Financials"}</definedName>
    <definedName name="______wr9" localSheetId="48" hidden="1">{"holdco",#N/A,FALSE,"Summary Financials";"holdco",#N/A,FALSE,"Summary Financials"}</definedName>
    <definedName name="______wr9" hidden="1">{"holdco",#N/A,FALSE,"Summary Financials";"holdco",#N/A,FALSE,"Summary Financials"}</definedName>
    <definedName name="______wrn1" localSheetId="1" hidden="1">{"holdco",#N/A,FALSE,"Summary Financials";"holdco",#N/A,FALSE,"Summary Financials"}</definedName>
    <definedName name="______wrn1" localSheetId="2" hidden="1">{"holdco",#N/A,FALSE,"Summary Financials";"holdco",#N/A,FALSE,"Summary Financials"}</definedName>
    <definedName name="______wrn1" localSheetId="0" hidden="1">{"holdco",#N/A,FALSE,"Summary Financials";"holdco",#N/A,FALSE,"Summary Financials"}</definedName>
    <definedName name="______wrn1" localSheetId="30" hidden="1">{"holdco",#N/A,FALSE,"Summary Financials";"holdco",#N/A,FALSE,"Summary Financials"}</definedName>
    <definedName name="______wrn1" localSheetId="12" hidden="1">{"holdco",#N/A,FALSE,"Summary Financials";"holdco",#N/A,FALSE,"Summary Financials"}</definedName>
    <definedName name="______wrn1" localSheetId="38" hidden="1">{"holdco",#N/A,FALSE,"Summary Financials";"holdco",#N/A,FALSE,"Summary Financials"}</definedName>
    <definedName name="______wrn1" localSheetId="10" hidden="1">{"holdco",#N/A,FALSE,"Summary Financials";"holdco",#N/A,FALSE,"Summary Financials"}</definedName>
    <definedName name="______wrn1" localSheetId="11" hidden="1">{"holdco",#N/A,FALSE,"Summary Financials";"holdco",#N/A,FALSE,"Summary Financials"}</definedName>
    <definedName name="______wrn1" localSheetId="3" hidden="1">{"holdco",#N/A,FALSE,"Summary Financials";"holdco",#N/A,FALSE,"Summary Financials"}</definedName>
    <definedName name="______wrn1" localSheetId="4" hidden="1">{"holdco",#N/A,FALSE,"Summary Financials";"holdco",#N/A,FALSE,"Summary Financials"}</definedName>
    <definedName name="______wrn1" localSheetId="6" hidden="1">{"holdco",#N/A,FALSE,"Summary Financials";"holdco",#N/A,FALSE,"Summary Financials"}</definedName>
    <definedName name="______wrn1" localSheetId="7" hidden="1">{"holdco",#N/A,FALSE,"Summary Financials";"holdco",#N/A,FALSE,"Summary Financials"}</definedName>
    <definedName name="______wrn1" localSheetId="8" hidden="1">{"holdco",#N/A,FALSE,"Summary Financials";"holdco",#N/A,FALSE,"Summary Financials"}</definedName>
    <definedName name="______wrn1" localSheetId="9" hidden="1">{"holdco",#N/A,FALSE,"Summary Financials";"holdco",#N/A,FALSE,"Summary Financials"}</definedName>
    <definedName name="______wrn1" localSheetId="31" hidden="1">{"holdco",#N/A,FALSE,"Summary Financials";"holdco",#N/A,FALSE,"Summary Financials"}</definedName>
    <definedName name="______wrn1" localSheetId="32" hidden="1">{"holdco",#N/A,FALSE,"Summary Financials";"holdco",#N/A,FALSE,"Summary Financials"}</definedName>
    <definedName name="______wrn1" localSheetId="13" hidden="1">{"holdco",#N/A,FALSE,"Summary Financials";"holdco",#N/A,FALSE,"Summary Financials"}</definedName>
    <definedName name="______wrn1" localSheetId="22" hidden="1">{"holdco",#N/A,FALSE,"Summary Financials";"holdco",#N/A,FALSE,"Summary Financials"}</definedName>
    <definedName name="______wrn1" localSheetId="23" hidden="1">{"holdco",#N/A,FALSE,"Summary Financials";"holdco",#N/A,FALSE,"Summary Financials"}</definedName>
    <definedName name="______wrn1" localSheetId="14" hidden="1">{"holdco",#N/A,FALSE,"Summary Financials";"holdco",#N/A,FALSE,"Summary Financials"}</definedName>
    <definedName name="______wrn1" localSheetId="15" hidden="1">{"holdco",#N/A,FALSE,"Summary Financials";"holdco",#N/A,FALSE,"Summary Financials"}</definedName>
    <definedName name="______wrn1" localSheetId="16" hidden="1">{"holdco",#N/A,FALSE,"Summary Financials";"holdco",#N/A,FALSE,"Summary Financials"}</definedName>
    <definedName name="______wrn1" localSheetId="17" hidden="1">{"holdco",#N/A,FALSE,"Summary Financials";"holdco",#N/A,FALSE,"Summary Financials"}</definedName>
    <definedName name="______wrn1" localSheetId="18" hidden="1">{"holdco",#N/A,FALSE,"Summary Financials";"holdco",#N/A,FALSE,"Summary Financials"}</definedName>
    <definedName name="______wrn1" localSheetId="19" hidden="1">{"holdco",#N/A,FALSE,"Summary Financials";"holdco",#N/A,FALSE,"Summary Financials"}</definedName>
    <definedName name="______wrn1" localSheetId="20" hidden="1">{"holdco",#N/A,FALSE,"Summary Financials";"holdco",#N/A,FALSE,"Summary Financials"}</definedName>
    <definedName name="______wrn1" localSheetId="21" hidden="1">{"holdco",#N/A,FALSE,"Summary Financials";"holdco",#N/A,FALSE,"Summary Financials"}</definedName>
    <definedName name="______wrn1" localSheetId="39" hidden="1">{"holdco",#N/A,FALSE,"Summary Financials";"holdco",#N/A,FALSE,"Summary Financials"}</definedName>
    <definedName name="______wrn1" localSheetId="40" hidden="1">{"holdco",#N/A,FALSE,"Summary Financials";"holdco",#N/A,FALSE,"Summary Financials"}</definedName>
    <definedName name="______wrn1" localSheetId="41" hidden="1">{"holdco",#N/A,FALSE,"Summary Financials";"holdco",#N/A,FALSE,"Summary Financials"}</definedName>
    <definedName name="______wrn1" localSheetId="43" hidden="1">{"holdco",#N/A,FALSE,"Summary Financials";"holdco",#N/A,FALSE,"Summary Financials"}</definedName>
    <definedName name="______wrn1" localSheetId="48" hidden="1">{"holdco",#N/A,FALSE,"Summary Financials";"holdco",#N/A,FALSE,"Summary Financials"}</definedName>
    <definedName name="______wrn1" hidden="1">{"holdco",#N/A,FALSE,"Summary Financials";"holdco",#N/A,FALSE,"Summary Financials"}</definedName>
    <definedName name="______wrn2" localSheetId="1" hidden="1">{"holdco",#N/A,FALSE,"Summary Financials";"holdco",#N/A,FALSE,"Summary Financials"}</definedName>
    <definedName name="______wrn2" localSheetId="2" hidden="1">{"holdco",#N/A,FALSE,"Summary Financials";"holdco",#N/A,FALSE,"Summary Financials"}</definedName>
    <definedName name="______wrn2" localSheetId="0" hidden="1">{"holdco",#N/A,FALSE,"Summary Financials";"holdco",#N/A,FALSE,"Summary Financials"}</definedName>
    <definedName name="______wrn2" localSheetId="30" hidden="1">{"holdco",#N/A,FALSE,"Summary Financials";"holdco",#N/A,FALSE,"Summary Financials"}</definedName>
    <definedName name="______wrn2" localSheetId="12" hidden="1">{"holdco",#N/A,FALSE,"Summary Financials";"holdco",#N/A,FALSE,"Summary Financials"}</definedName>
    <definedName name="______wrn2" localSheetId="38" hidden="1">{"holdco",#N/A,FALSE,"Summary Financials";"holdco",#N/A,FALSE,"Summary Financials"}</definedName>
    <definedName name="______wrn2" localSheetId="10" hidden="1">{"holdco",#N/A,FALSE,"Summary Financials";"holdco",#N/A,FALSE,"Summary Financials"}</definedName>
    <definedName name="______wrn2" localSheetId="11" hidden="1">{"holdco",#N/A,FALSE,"Summary Financials";"holdco",#N/A,FALSE,"Summary Financials"}</definedName>
    <definedName name="______wrn2" localSheetId="3" hidden="1">{"holdco",#N/A,FALSE,"Summary Financials";"holdco",#N/A,FALSE,"Summary Financials"}</definedName>
    <definedName name="______wrn2" localSheetId="4" hidden="1">{"holdco",#N/A,FALSE,"Summary Financials";"holdco",#N/A,FALSE,"Summary Financials"}</definedName>
    <definedName name="______wrn2" localSheetId="6" hidden="1">{"holdco",#N/A,FALSE,"Summary Financials";"holdco",#N/A,FALSE,"Summary Financials"}</definedName>
    <definedName name="______wrn2" localSheetId="7" hidden="1">{"holdco",#N/A,FALSE,"Summary Financials";"holdco",#N/A,FALSE,"Summary Financials"}</definedName>
    <definedName name="______wrn2" localSheetId="8" hidden="1">{"holdco",#N/A,FALSE,"Summary Financials";"holdco",#N/A,FALSE,"Summary Financials"}</definedName>
    <definedName name="______wrn2" localSheetId="9" hidden="1">{"holdco",#N/A,FALSE,"Summary Financials";"holdco",#N/A,FALSE,"Summary Financials"}</definedName>
    <definedName name="______wrn2" localSheetId="31" hidden="1">{"holdco",#N/A,FALSE,"Summary Financials";"holdco",#N/A,FALSE,"Summary Financials"}</definedName>
    <definedName name="______wrn2" localSheetId="32" hidden="1">{"holdco",#N/A,FALSE,"Summary Financials";"holdco",#N/A,FALSE,"Summary Financials"}</definedName>
    <definedName name="______wrn2" localSheetId="13" hidden="1">{"holdco",#N/A,FALSE,"Summary Financials";"holdco",#N/A,FALSE,"Summary Financials"}</definedName>
    <definedName name="______wrn2" localSheetId="22" hidden="1">{"holdco",#N/A,FALSE,"Summary Financials";"holdco",#N/A,FALSE,"Summary Financials"}</definedName>
    <definedName name="______wrn2" localSheetId="23" hidden="1">{"holdco",#N/A,FALSE,"Summary Financials";"holdco",#N/A,FALSE,"Summary Financials"}</definedName>
    <definedName name="______wrn2" localSheetId="14" hidden="1">{"holdco",#N/A,FALSE,"Summary Financials";"holdco",#N/A,FALSE,"Summary Financials"}</definedName>
    <definedName name="______wrn2" localSheetId="15" hidden="1">{"holdco",#N/A,FALSE,"Summary Financials";"holdco",#N/A,FALSE,"Summary Financials"}</definedName>
    <definedName name="______wrn2" localSheetId="16" hidden="1">{"holdco",#N/A,FALSE,"Summary Financials";"holdco",#N/A,FALSE,"Summary Financials"}</definedName>
    <definedName name="______wrn2" localSheetId="17" hidden="1">{"holdco",#N/A,FALSE,"Summary Financials";"holdco",#N/A,FALSE,"Summary Financials"}</definedName>
    <definedName name="______wrn2" localSheetId="18" hidden="1">{"holdco",#N/A,FALSE,"Summary Financials";"holdco",#N/A,FALSE,"Summary Financials"}</definedName>
    <definedName name="______wrn2" localSheetId="19" hidden="1">{"holdco",#N/A,FALSE,"Summary Financials";"holdco",#N/A,FALSE,"Summary Financials"}</definedName>
    <definedName name="______wrn2" localSheetId="20" hidden="1">{"holdco",#N/A,FALSE,"Summary Financials";"holdco",#N/A,FALSE,"Summary Financials"}</definedName>
    <definedName name="______wrn2" localSheetId="21" hidden="1">{"holdco",#N/A,FALSE,"Summary Financials";"holdco",#N/A,FALSE,"Summary Financials"}</definedName>
    <definedName name="______wrn2" localSheetId="39" hidden="1">{"holdco",#N/A,FALSE,"Summary Financials";"holdco",#N/A,FALSE,"Summary Financials"}</definedName>
    <definedName name="______wrn2" localSheetId="40" hidden="1">{"holdco",#N/A,FALSE,"Summary Financials";"holdco",#N/A,FALSE,"Summary Financials"}</definedName>
    <definedName name="______wrn2" localSheetId="41" hidden="1">{"holdco",#N/A,FALSE,"Summary Financials";"holdco",#N/A,FALSE,"Summary Financials"}</definedName>
    <definedName name="______wrn2" localSheetId="43" hidden="1">{"holdco",#N/A,FALSE,"Summary Financials";"holdco",#N/A,FALSE,"Summary Financials"}</definedName>
    <definedName name="______wrn2" localSheetId="48" hidden="1">{"holdco",#N/A,FALSE,"Summary Financials";"holdco",#N/A,FALSE,"Summary Financials"}</definedName>
    <definedName name="______wrn2" hidden="1">{"holdco",#N/A,FALSE,"Summary Financials";"holdco",#N/A,FALSE,"Summary Financials"}</definedName>
    <definedName name="______wrn3" localSheetId="1" hidden="1">{"holdco",#N/A,FALSE,"Summary Financials";"holdco",#N/A,FALSE,"Summary Financials"}</definedName>
    <definedName name="______wrn3" localSheetId="2" hidden="1">{"holdco",#N/A,FALSE,"Summary Financials";"holdco",#N/A,FALSE,"Summary Financials"}</definedName>
    <definedName name="______wrn3" localSheetId="0" hidden="1">{"holdco",#N/A,FALSE,"Summary Financials";"holdco",#N/A,FALSE,"Summary Financials"}</definedName>
    <definedName name="______wrn3" localSheetId="30" hidden="1">{"holdco",#N/A,FALSE,"Summary Financials";"holdco",#N/A,FALSE,"Summary Financials"}</definedName>
    <definedName name="______wrn3" localSheetId="12" hidden="1">{"holdco",#N/A,FALSE,"Summary Financials";"holdco",#N/A,FALSE,"Summary Financials"}</definedName>
    <definedName name="______wrn3" localSheetId="38" hidden="1">{"holdco",#N/A,FALSE,"Summary Financials";"holdco",#N/A,FALSE,"Summary Financials"}</definedName>
    <definedName name="______wrn3" localSheetId="10" hidden="1">{"holdco",#N/A,FALSE,"Summary Financials";"holdco",#N/A,FALSE,"Summary Financials"}</definedName>
    <definedName name="______wrn3" localSheetId="11" hidden="1">{"holdco",#N/A,FALSE,"Summary Financials";"holdco",#N/A,FALSE,"Summary Financials"}</definedName>
    <definedName name="______wrn3" localSheetId="3" hidden="1">{"holdco",#N/A,FALSE,"Summary Financials";"holdco",#N/A,FALSE,"Summary Financials"}</definedName>
    <definedName name="______wrn3" localSheetId="4" hidden="1">{"holdco",#N/A,FALSE,"Summary Financials";"holdco",#N/A,FALSE,"Summary Financials"}</definedName>
    <definedName name="______wrn3" localSheetId="6" hidden="1">{"holdco",#N/A,FALSE,"Summary Financials";"holdco",#N/A,FALSE,"Summary Financials"}</definedName>
    <definedName name="______wrn3" localSheetId="7" hidden="1">{"holdco",#N/A,FALSE,"Summary Financials";"holdco",#N/A,FALSE,"Summary Financials"}</definedName>
    <definedName name="______wrn3" localSheetId="8" hidden="1">{"holdco",#N/A,FALSE,"Summary Financials";"holdco",#N/A,FALSE,"Summary Financials"}</definedName>
    <definedName name="______wrn3" localSheetId="9" hidden="1">{"holdco",#N/A,FALSE,"Summary Financials";"holdco",#N/A,FALSE,"Summary Financials"}</definedName>
    <definedName name="______wrn3" localSheetId="31" hidden="1">{"holdco",#N/A,FALSE,"Summary Financials";"holdco",#N/A,FALSE,"Summary Financials"}</definedName>
    <definedName name="______wrn3" localSheetId="32" hidden="1">{"holdco",#N/A,FALSE,"Summary Financials";"holdco",#N/A,FALSE,"Summary Financials"}</definedName>
    <definedName name="______wrn3" localSheetId="13" hidden="1">{"holdco",#N/A,FALSE,"Summary Financials";"holdco",#N/A,FALSE,"Summary Financials"}</definedName>
    <definedName name="______wrn3" localSheetId="22" hidden="1">{"holdco",#N/A,FALSE,"Summary Financials";"holdco",#N/A,FALSE,"Summary Financials"}</definedName>
    <definedName name="______wrn3" localSheetId="23" hidden="1">{"holdco",#N/A,FALSE,"Summary Financials";"holdco",#N/A,FALSE,"Summary Financials"}</definedName>
    <definedName name="______wrn3" localSheetId="14" hidden="1">{"holdco",#N/A,FALSE,"Summary Financials";"holdco",#N/A,FALSE,"Summary Financials"}</definedName>
    <definedName name="______wrn3" localSheetId="15" hidden="1">{"holdco",#N/A,FALSE,"Summary Financials";"holdco",#N/A,FALSE,"Summary Financials"}</definedName>
    <definedName name="______wrn3" localSheetId="16" hidden="1">{"holdco",#N/A,FALSE,"Summary Financials";"holdco",#N/A,FALSE,"Summary Financials"}</definedName>
    <definedName name="______wrn3" localSheetId="17" hidden="1">{"holdco",#N/A,FALSE,"Summary Financials";"holdco",#N/A,FALSE,"Summary Financials"}</definedName>
    <definedName name="______wrn3" localSheetId="18" hidden="1">{"holdco",#N/A,FALSE,"Summary Financials";"holdco",#N/A,FALSE,"Summary Financials"}</definedName>
    <definedName name="______wrn3" localSheetId="19" hidden="1">{"holdco",#N/A,FALSE,"Summary Financials";"holdco",#N/A,FALSE,"Summary Financials"}</definedName>
    <definedName name="______wrn3" localSheetId="20" hidden="1">{"holdco",#N/A,FALSE,"Summary Financials";"holdco",#N/A,FALSE,"Summary Financials"}</definedName>
    <definedName name="______wrn3" localSheetId="21" hidden="1">{"holdco",#N/A,FALSE,"Summary Financials";"holdco",#N/A,FALSE,"Summary Financials"}</definedName>
    <definedName name="______wrn3" localSheetId="39" hidden="1">{"holdco",#N/A,FALSE,"Summary Financials";"holdco",#N/A,FALSE,"Summary Financials"}</definedName>
    <definedName name="______wrn3" localSheetId="40" hidden="1">{"holdco",#N/A,FALSE,"Summary Financials";"holdco",#N/A,FALSE,"Summary Financials"}</definedName>
    <definedName name="______wrn3" localSheetId="41" hidden="1">{"holdco",#N/A,FALSE,"Summary Financials";"holdco",#N/A,FALSE,"Summary Financials"}</definedName>
    <definedName name="______wrn3" localSheetId="43" hidden="1">{"holdco",#N/A,FALSE,"Summary Financials";"holdco",#N/A,FALSE,"Summary Financials"}</definedName>
    <definedName name="______wrn3" localSheetId="48" hidden="1">{"holdco",#N/A,FALSE,"Summary Financials";"holdco",#N/A,FALSE,"Summary Financials"}</definedName>
    <definedName name="______wrn3" hidden="1">{"holdco",#N/A,FALSE,"Summary Financials";"holdco",#N/A,FALSE,"Summary Financials"}</definedName>
    <definedName name="______wrn7" localSheetId="1" hidden="1">{"Model Summary",#N/A,FALSE,"Print Chart";"Holdco",#N/A,FALSE,"Print Chart";"Genco",#N/A,FALSE,"Print Chart";"Servco",#N/A,FALSE,"Print Chart";"Genco_Detail",#N/A,FALSE,"Summary Financials";"Servco_Detail",#N/A,FALSE,"Summary Financials"}</definedName>
    <definedName name="______wrn7" localSheetId="2" hidden="1">{"Model Summary",#N/A,FALSE,"Print Chart";"Holdco",#N/A,FALSE,"Print Chart";"Genco",#N/A,FALSE,"Print Chart";"Servco",#N/A,FALSE,"Print Chart";"Genco_Detail",#N/A,FALSE,"Summary Financials";"Servco_Detail",#N/A,FALSE,"Summary Financials"}</definedName>
    <definedName name="______wrn7" localSheetId="0" hidden="1">{"Model Summary",#N/A,FALSE,"Print Chart";"Holdco",#N/A,FALSE,"Print Chart";"Genco",#N/A,FALSE,"Print Chart";"Servco",#N/A,FALSE,"Print Chart";"Genco_Detail",#N/A,FALSE,"Summary Financials";"Servco_Detail",#N/A,FALSE,"Summary Financials"}</definedName>
    <definedName name="______wrn7" localSheetId="30" hidden="1">{"Model Summary",#N/A,FALSE,"Print Chart";"Holdco",#N/A,FALSE,"Print Chart";"Genco",#N/A,FALSE,"Print Chart";"Servco",#N/A,FALSE,"Print Chart";"Genco_Detail",#N/A,FALSE,"Summary Financials";"Servco_Detail",#N/A,FALSE,"Summary Financials"}</definedName>
    <definedName name="______wrn7" localSheetId="12" hidden="1">{"Model Summary",#N/A,FALSE,"Print Chart";"Holdco",#N/A,FALSE,"Print Chart";"Genco",#N/A,FALSE,"Print Chart";"Servco",#N/A,FALSE,"Print Chart";"Genco_Detail",#N/A,FALSE,"Summary Financials";"Servco_Detail",#N/A,FALSE,"Summary Financials"}</definedName>
    <definedName name="______wrn7" localSheetId="38" hidden="1">{"Model Summary",#N/A,FALSE,"Print Chart";"Holdco",#N/A,FALSE,"Print Chart";"Genco",#N/A,FALSE,"Print Chart";"Servco",#N/A,FALSE,"Print Chart";"Genco_Detail",#N/A,FALSE,"Summary Financials";"Servco_Detail",#N/A,FALSE,"Summary Financials"}</definedName>
    <definedName name="______wrn7" localSheetId="10" hidden="1">{"Model Summary",#N/A,FALSE,"Print Chart";"Holdco",#N/A,FALSE,"Print Chart";"Genco",#N/A,FALSE,"Print Chart";"Servco",#N/A,FALSE,"Print Chart";"Genco_Detail",#N/A,FALSE,"Summary Financials";"Servco_Detail",#N/A,FALSE,"Summary Financials"}</definedName>
    <definedName name="______wrn7" localSheetId="11" hidden="1">{"Model Summary",#N/A,FALSE,"Print Chart";"Holdco",#N/A,FALSE,"Print Chart";"Genco",#N/A,FALSE,"Print Chart";"Servco",#N/A,FALSE,"Print Chart";"Genco_Detail",#N/A,FALSE,"Summary Financials";"Servco_Detail",#N/A,FALSE,"Summary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localSheetId="4" hidden="1">{"Model Summary",#N/A,FALSE,"Print Chart";"Holdco",#N/A,FALSE,"Print Chart";"Genco",#N/A,FALSE,"Print Chart";"Servco",#N/A,FALSE,"Print Chart";"Genco_Detail",#N/A,FALSE,"Summary Financials";"Servco_Detail",#N/A,FALSE,"Summary Financials"}</definedName>
    <definedName name="______wrn7" localSheetId="6" hidden="1">{"Model Summary",#N/A,FALSE,"Print Chart";"Holdco",#N/A,FALSE,"Print Chart";"Genco",#N/A,FALSE,"Print Chart";"Servco",#N/A,FALSE,"Print Chart";"Genco_Detail",#N/A,FALSE,"Summary Financials";"Servco_Detail",#N/A,FALSE,"Summary Financials"}</definedName>
    <definedName name="______wrn7" localSheetId="7" hidden="1">{"Model Summary",#N/A,FALSE,"Print Chart";"Holdco",#N/A,FALSE,"Print Chart";"Genco",#N/A,FALSE,"Print Chart";"Servco",#N/A,FALSE,"Print Chart";"Genco_Detail",#N/A,FALSE,"Summary Financials";"Servco_Detail",#N/A,FALSE,"Summary Financials"}</definedName>
    <definedName name="______wrn7" localSheetId="8" hidden="1">{"Model Summary",#N/A,FALSE,"Print Chart";"Holdco",#N/A,FALSE,"Print Chart";"Genco",#N/A,FALSE,"Print Chart";"Servco",#N/A,FALSE,"Print Chart";"Genco_Detail",#N/A,FALSE,"Summary Financials";"Servco_Detail",#N/A,FALSE,"Summary Financials"}</definedName>
    <definedName name="______wrn7" localSheetId="9" hidden="1">{"Model Summary",#N/A,FALSE,"Print Chart";"Holdco",#N/A,FALSE,"Print Chart";"Genco",#N/A,FALSE,"Print Chart";"Servco",#N/A,FALSE,"Print Chart";"Genco_Detail",#N/A,FALSE,"Summary Financials";"Servco_Detail",#N/A,FALSE,"Summary Financials"}</definedName>
    <definedName name="______wrn7" localSheetId="31" hidden="1">{"Model Summary",#N/A,FALSE,"Print Chart";"Holdco",#N/A,FALSE,"Print Chart";"Genco",#N/A,FALSE,"Print Chart";"Servco",#N/A,FALSE,"Print Chart";"Genco_Detail",#N/A,FALSE,"Summary Financials";"Servco_Detail",#N/A,FALSE,"Summary Financials"}</definedName>
    <definedName name="______wrn7" localSheetId="32" hidden="1">{"Model Summary",#N/A,FALSE,"Print Chart";"Holdco",#N/A,FALSE,"Print Chart";"Genco",#N/A,FALSE,"Print Chart";"Servco",#N/A,FALSE,"Print Chart";"Genco_Detail",#N/A,FALSE,"Summary Financials";"Servco_Detail",#N/A,FALSE,"Summary Financials"}</definedName>
    <definedName name="______wrn7" localSheetId="13" hidden="1">{"Model Summary",#N/A,FALSE,"Print Chart";"Holdco",#N/A,FALSE,"Print Chart";"Genco",#N/A,FALSE,"Print Chart";"Servco",#N/A,FALSE,"Print Chart";"Genco_Detail",#N/A,FALSE,"Summary Financials";"Servco_Detail",#N/A,FALSE,"Summary Financials"}</definedName>
    <definedName name="______wrn7" localSheetId="22" hidden="1">{"Model Summary",#N/A,FALSE,"Print Chart";"Holdco",#N/A,FALSE,"Print Chart";"Genco",#N/A,FALSE,"Print Chart";"Servco",#N/A,FALSE,"Print Chart";"Genco_Detail",#N/A,FALSE,"Summary Financials";"Servco_Detail",#N/A,FALSE,"Summary Financials"}</definedName>
    <definedName name="______wrn7" localSheetId="23" hidden="1">{"Model Summary",#N/A,FALSE,"Print Chart";"Holdco",#N/A,FALSE,"Print Chart";"Genco",#N/A,FALSE,"Print Chart";"Servco",#N/A,FALSE,"Print Chart";"Genco_Detail",#N/A,FALSE,"Summary Financials";"Servco_Detail",#N/A,FALSE,"Summary Financials"}</definedName>
    <definedName name="______wrn7" localSheetId="14" hidden="1">{"Model Summary",#N/A,FALSE,"Print Chart";"Holdco",#N/A,FALSE,"Print Chart";"Genco",#N/A,FALSE,"Print Chart";"Servco",#N/A,FALSE,"Print Chart";"Genco_Detail",#N/A,FALSE,"Summary Financials";"Servco_Detail",#N/A,FALSE,"Summary Financials"}</definedName>
    <definedName name="______wrn7" localSheetId="15" hidden="1">{"Model Summary",#N/A,FALSE,"Print Chart";"Holdco",#N/A,FALSE,"Print Chart";"Genco",#N/A,FALSE,"Print Chart";"Servco",#N/A,FALSE,"Print Chart";"Genco_Detail",#N/A,FALSE,"Summary Financials";"Servco_Detail",#N/A,FALSE,"Summary Financials"}</definedName>
    <definedName name="______wrn7" localSheetId="16" hidden="1">{"Model Summary",#N/A,FALSE,"Print Chart";"Holdco",#N/A,FALSE,"Print Chart";"Genco",#N/A,FALSE,"Print Chart";"Servco",#N/A,FALSE,"Print Chart";"Genco_Detail",#N/A,FALSE,"Summary Financials";"Servco_Detail",#N/A,FALSE,"Summary Financials"}</definedName>
    <definedName name="______wrn7" localSheetId="17" hidden="1">{"Model Summary",#N/A,FALSE,"Print Chart";"Holdco",#N/A,FALSE,"Print Chart";"Genco",#N/A,FALSE,"Print Chart";"Servco",#N/A,FALSE,"Print Chart";"Genco_Detail",#N/A,FALSE,"Summary Financials";"Servco_Detail",#N/A,FALSE,"Summary Financials"}</definedName>
    <definedName name="______wrn7" localSheetId="18" hidden="1">{"Model Summary",#N/A,FALSE,"Print Chart";"Holdco",#N/A,FALSE,"Print Chart";"Genco",#N/A,FALSE,"Print Chart";"Servco",#N/A,FALSE,"Print Chart";"Genco_Detail",#N/A,FALSE,"Summary Financials";"Servco_Detail",#N/A,FALSE,"Summary Financials"}</definedName>
    <definedName name="______wrn7" localSheetId="19" hidden="1">{"Model Summary",#N/A,FALSE,"Print Chart";"Holdco",#N/A,FALSE,"Print Chart";"Genco",#N/A,FALSE,"Print Chart";"Servco",#N/A,FALSE,"Print Chart";"Genco_Detail",#N/A,FALSE,"Summary Financials";"Servco_Detail",#N/A,FALSE,"Summary Financials"}</definedName>
    <definedName name="______wrn7" localSheetId="20" hidden="1">{"Model Summary",#N/A,FALSE,"Print Chart";"Holdco",#N/A,FALSE,"Print Chart";"Genco",#N/A,FALSE,"Print Chart";"Servco",#N/A,FALSE,"Print Chart";"Genco_Detail",#N/A,FALSE,"Summary Financials";"Servco_Detail",#N/A,FALSE,"Summary Financials"}</definedName>
    <definedName name="______wrn7" localSheetId="21" hidden="1">{"Model Summary",#N/A,FALSE,"Print Chart";"Holdco",#N/A,FALSE,"Print Chart";"Genco",#N/A,FALSE,"Print Chart";"Servco",#N/A,FALSE,"Print Chart";"Genco_Detail",#N/A,FALSE,"Summary Financials";"Servco_Detail",#N/A,FALSE,"Summary Financials"}</definedName>
    <definedName name="______wrn7" localSheetId="39" hidden="1">{"Model Summary",#N/A,FALSE,"Print Chart";"Holdco",#N/A,FALSE,"Print Chart";"Genco",#N/A,FALSE,"Print Chart";"Servco",#N/A,FALSE,"Print Chart";"Genco_Detail",#N/A,FALSE,"Summary Financials";"Servco_Detail",#N/A,FALSE,"Summary Financials"}</definedName>
    <definedName name="______wrn7" localSheetId="40" hidden="1">{"Model Summary",#N/A,FALSE,"Print Chart";"Holdco",#N/A,FALSE,"Print Chart";"Genco",#N/A,FALSE,"Print Chart";"Servco",#N/A,FALSE,"Print Chart";"Genco_Detail",#N/A,FALSE,"Summary Financials";"Servco_Detail",#N/A,FALSE,"Summary Financials"}</definedName>
    <definedName name="______wrn7" localSheetId="41" hidden="1">{"Model Summary",#N/A,FALSE,"Print Chart";"Holdco",#N/A,FALSE,"Print Chart";"Genco",#N/A,FALSE,"Print Chart";"Servco",#N/A,FALSE,"Print Chart";"Genco_Detail",#N/A,FALSE,"Summary Financials";"Servco_Detail",#N/A,FALSE,"Summary Financials"}</definedName>
    <definedName name="______wrn7" localSheetId="43" hidden="1">{"Model Summary",#N/A,FALSE,"Print Chart";"Holdco",#N/A,FALSE,"Print Chart";"Genco",#N/A,FALSE,"Print Chart";"Servco",#N/A,FALSE,"Print Chart";"Genco_Detail",#N/A,FALSE,"Summary Financials";"Servco_Detail",#N/A,FALSE,"Summary Financials"}</definedName>
    <definedName name="______wrn7" localSheetId="48"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 hidden="1">{"holdco",#N/A,FALSE,"Summary Financials";"holdco",#N/A,FALSE,"Summary Financials"}</definedName>
    <definedName name="______wrn8" localSheetId="2" hidden="1">{"holdco",#N/A,FALSE,"Summary Financials";"holdco",#N/A,FALSE,"Summary Financials"}</definedName>
    <definedName name="______wrn8" localSheetId="0" hidden="1">{"holdco",#N/A,FALSE,"Summary Financials";"holdco",#N/A,FALSE,"Summary Financials"}</definedName>
    <definedName name="______wrn8" localSheetId="30" hidden="1">{"holdco",#N/A,FALSE,"Summary Financials";"holdco",#N/A,FALSE,"Summary Financials"}</definedName>
    <definedName name="______wrn8" localSheetId="12" hidden="1">{"holdco",#N/A,FALSE,"Summary Financials";"holdco",#N/A,FALSE,"Summary Financials"}</definedName>
    <definedName name="______wrn8" localSheetId="38" hidden="1">{"holdco",#N/A,FALSE,"Summary Financials";"holdco",#N/A,FALSE,"Summary Financials"}</definedName>
    <definedName name="______wrn8" localSheetId="10" hidden="1">{"holdco",#N/A,FALSE,"Summary Financials";"holdco",#N/A,FALSE,"Summary Financials"}</definedName>
    <definedName name="______wrn8" localSheetId="11" hidden="1">{"holdco",#N/A,FALSE,"Summary Financials";"holdco",#N/A,FALSE,"Summary Financials"}</definedName>
    <definedName name="______wrn8" localSheetId="3" hidden="1">{"holdco",#N/A,FALSE,"Summary Financials";"holdco",#N/A,FALSE,"Summary Financials"}</definedName>
    <definedName name="______wrn8" localSheetId="4" hidden="1">{"holdco",#N/A,FALSE,"Summary Financials";"holdco",#N/A,FALSE,"Summary Financials"}</definedName>
    <definedName name="______wrn8" localSheetId="6" hidden="1">{"holdco",#N/A,FALSE,"Summary Financials";"holdco",#N/A,FALSE,"Summary Financials"}</definedName>
    <definedName name="______wrn8" localSheetId="7" hidden="1">{"holdco",#N/A,FALSE,"Summary Financials";"holdco",#N/A,FALSE,"Summary Financials"}</definedName>
    <definedName name="______wrn8" localSheetId="8" hidden="1">{"holdco",#N/A,FALSE,"Summary Financials";"holdco",#N/A,FALSE,"Summary Financials"}</definedName>
    <definedName name="______wrn8" localSheetId="9" hidden="1">{"holdco",#N/A,FALSE,"Summary Financials";"holdco",#N/A,FALSE,"Summary Financials"}</definedName>
    <definedName name="______wrn8" localSheetId="31" hidden="1">{"holdco",#N/A,FALSE,"Summary Financials";"holdco",#N/A,FALSE,"Summary Financials"}</definedName>
    <definedName name="______wrn8" localSheetId="32" hidden="1">{"holdco",#N/A,FALSE,"Summary Financials";"holdco",#N/A,FALSE,"Summary Financials"}</definedName>
    <definedName name="______wrn8" localSheetId="13" hidden="1">{"holdco",#N/A,FALSE,"Summary Financials";"holdco",#N/A,FALSE,"Summary Financials"}</definedName>
    <definedName name="______wrn8" localSheetId="22" hidden="1">{"holdco",#N/A,FALSE,"Summary Financials";"holdco",#N/A,FALSE,"Summary Financials"}</definedName>
    <definedName name="______wrn8" localSheetId="23" hidden="1">{"holdco",#N/A,FALSE,"Summary Financials";"holdco",#N/A,FALSE,"Summary Financials"}</definedName>
    <definedName name="______wrn8" localSheetId="14" hidden="1">{"holdco",#N/A,FALSE,"Summary Financials";"holdco",#N/A,FALSE,"Summary Financials"}</definedName>
    <definedName name="______wrn8" localSheetId="15" hidden="1">{"holdco",#N/A,FALSE,"Summary Financials";"holdco",#N/A,FALSE,"Summary Financials"}</definedName>
    <definedName name="______wrn8" localSheetId="16" hidden="1">{"holdco",#N/A,FALSE,"Summary Financials";"holdco",#N/A,FALSE,"Summary Financials"}</definedName>
    <definedName name="______wrn8" localSheetId="17" hidden="1">{"holdco",#N/A,FALSE,"Summary Financials";"holdco",#N/A,FALSE,"Summary Financials"}</definedName>
    <definedName name="______wrn8" localSheetId="18" hidden="1">{"holdco",#N/A,FALSE,"Summary Financials";"holdco",#N/A,FALSE,"Summary Financials"}</definedName>
    <definedName name="______wrn8" localSheetId="19" hidden="1">{"holdco",#N/A,FALSE,"Summary Financials";"holdco",#N/A,FALSE,"Summary Financials"}</definedName>
    <definedName name="______wrn8" localSheetId="20" hidden="1">{"holdco",#N/A,FALSE,"Summary Financials";"holdco",#N/A,FALSE,"Summary Financials"}</definedName>
    <definedName name="______wrn8" localSheetId="21" hidden="1">{"holdco",#N/A,FALSE,"Summary Financials";"holdco",#N/A,FALSE,"Summary Financials"}</definedName>
    <definedName name="______wrn8" localSheetId="39" hidden="1">{"holdco",#N/A,FALSE,"Summary Financials";"holdco",#N/A,FALSE,"Summary Financials"}</definedName>
    <definedName name="______wrn8" localSheetId="40" hidden="1">{"holdco",#N/A,FALSE,"Summary Financials";"holdco",#N/A,FALSE,"Summary Financials"}</definedName>
    <definedName name="______wrn8" localSheetId="41" hidden="1">{"holdco",#N/A,FALSE,"Summary Financials";"holdco",#N/A,FALSE,"Summary Financials"}</definedName>
    <definedName name="______wrn8" localSheetId="43" hidden="1">{"holdco",#N/A,FALSE,"Summary Financials";"holdco",#N/A,FALSE,"Summary Financials"}</definedName>
    <definedName name="______wrn8" localSheetId="48" hidden="1">{"holdco",#N/A,FALSE,"Summary Financials";"holdco",#N/A,FALSE,"Summary Financials"}</definedName>
    <definedName name="______wrn8" hidden="1">{"holdco",#N/A,FALSE,"Summary Financials";"holdco",#N/A,FALSE,"Summary Financials"}</definedName>
    <definedName name="_____KKK1" localSheetId="1" hidden="1">{#N/A,#N/A,FALSE,"Assessment";#N/A,#N/A,FALSE,"Staffing";#N/A,#N/A,FALSE,"Hires";#N/A,#N/A,FALSE,"Assumptions"}</definedName>
    <definedName name="_____KKK1" localSheetId="2" hidden="1">{#N/A,#N/A,FALSE,"Assessment";#N/A,#N/A,FALSE,"Staffing";#N/A,#N/A,FALSE,"Hires";#N/A,#N/A,FALSE,"Assumptions"}</definedName>
    <definedName name="_____KKK1" localSheetId="0" hidden="1">{#N/A,#N/A,FALSE,"Assessment";#N/A,#N/A,FALSE,"Staffing";#N/A,#N/A,FALSE,"Hires";#N/A,#N/A,FALSE,"Assumptions"}</definedName>
    <definedName name="_____KKK1" localSheetId="30" hidden="1">{#N/A,#N/A,FALSE,"Assessment";#N/A,#N/A,FALSE,"Staffing";#N/A,#N/A,FALSE,"Hires";#N/A,#N/A,FALSE,"Assumptions"}</definedName>
    <definedName name="_____KKK1" localSheetId="12" hidden="1">{#N/A,#N/A,FALSE,"Assessment";#N/A,#N/A,FALSE,"Staffing";#N/A,#N/A,FALSE,"Hires";#N/A,#N/A,FALSE,"Assumptions"}</definedName>
    <definedName name="_____KKK1" localSheetId="38" hidden="1">{#N/A,#N/A,FALSE,"Assessment";#N/A,#N/A,FALSE,"Staffing";#N/A,#N/A,FALSE,"Hires";#N/A,#N/A,FALSE,"Assumptions"}</definedName>
    <definedName name="_____KKK1" localSheetId="10" hidden="1">{#N/A,#N/A,FALSE,"Assessment";#N/A,#N/A,FALSE,"Staffing";#N/A,#N/A,FALSE,"Hires";#N/A,#N/A,FALSE,"Assumptions"}</definedName>
    <definedName name="_____KKK1" localSheetId="11" hidden="1">{#N/A,#N/A,FALSE,"Assessment";#N/A,#N/A,FALSE,"Staffing";#N/A,#N/A,FALSE,"Hires";#N/A,#N/A,FALSE,"Assumptions"}</definedName>
    <definedName name="_____KKK1" localSheetId="3" hidden="1">{#N/A,#N/A,FALSE,"Assessment";#N/A,#N/A,FALSE,"Staffing";#N/A,#N/A,FALSE,"Hires";#N/A,#N/A,FALSE,"Assumptions"}</definedName>
    <definedName name="_____KKK1" localSheetId="4" hidden="1">{#N/A,#N/A,FALSE,"Assessment";#N/A,#N/A,FALSE,"Staffing";#N/A,#N/A,FALSE,"Hires";#N/A,#N/A,FALSE,"Assumptions"}</definedName>
    <definedName name="_____KKK1" localSheetId="6" hidden="1">{#N/A,#N/A,FALSE,"Assessment";#N/A,#N/A,FALSE,"Staffing";#N/A,#N/A,FALSE,"Hires";#N/A,#N/A,FALSE,"Assumptions"}</definedName>
    <definedName name="_____KKK1" localSheetId="7" hidden="1">{#N/A,#N/A,FALSE,"Assessment";#N/A,#N/A,FALSE,"Staffing";#N/A,#N/A,FALSE,"Hires";#N/A,#N/A,FALSE,"Assumptions"}</definedName>
    <definedName name="_____KKK1" localSheetId="8" hidden="1">{#N/A,#N/A,FALSE,"Assessment";#N/A,#N/A,FALSE,"Staffing";#N/A,#N/A,FALSE,"Hires";#N/A,#N/A,FALSE,"Assumptions"}</definedName>
    <definedName name="_____KKK1" localSheetId="9" hidden="1">{#N/A,#N/A,FALSE,"Assessment";#N/A,#N/A,FALSE,"Staffing";#N/A,#N/A,FALSE,"Hires";#N/A,#N/A,FALSE,"Assumptions"}</definedName>
    <definedName name="_____KKK1" localSheetId="31" hidden="1">{#N/A,#N/A,FALSE,"Assessment";#N/A,#N/A,FALSE,"Staffing";#N/A,#N/A,FALSE,"Hires";#N/A,#N/A,FALSE,"Assumptions"}</definedName>
    <definedName name="_____KKK1" localSheetId="32" hidden="1">{#N/A,#N/A,FALSE,"Assessment";#N/A,#N/A,FALSE,"Staffing";#N/A,#N/A,FALSE,"Hires";#N/A,#N/A,FALSE,"Assumptions"}</definedName>
    <definedName name="_____KKK1" localSheetId="13" hidden="1">{#N/A,#N/A,FALSE,"Assessment";#N/A,#N/A,FALSE,"Staffing";#N/A,#N/A,FALSE,"Hires";#N/A,#N/A,FALSE,"Assumptions"}</definedName>
    <definedName name="_____KKK1" localSheetId="22" hidden="1">{#N/A,#N/A,FALSE,"Assessment";#N/A,#N/A,FALSE,"Staffing";#N/A,#N/A,FALSE,"Hires";#N/A,#N/A,FALSE,"Assumptions"}</definedName>
    <definedName name="_____KKK1" localSheetId="23" hidden="1">{#N/A,#N/A,FALSE,"Assessment";#N/A,#N/A,FALSE,"Staffing";#N/A,#N/A,FALSE,"Hires";#N/A,#N/A,FALSE,"Assumptions"}</definedName>
    <definedName name="_____KKK1" localSheetId="14" hidden="1">{#N/A,#N/A,FALSE,"Assessment";#N/A,#N/A,FALSE,"Staffing";#N/A,#N/A,FALSE,"Hires";#N/A,#N/A,FALSE,"Assumptions"}</definedName>
    <definedName name="_____KKK1" localSheetId="15" hidden="1">{#N/A,#N/A,FALSE,"Assessment";#N/A,#N/A,FALSE,"Staffing";#N/A,#N/A,FALSE,"Hires";#N/A,#N/A,FALSE,"Assumptions"}</definedName>
    <definedName name="_____KKK1" localSheetId="16" hidden="1">{#N/A,#N/A,FALSE,"Assessment";#N/A,#N/A,FALSE,"Staffing";#N/A,#N/A,FALSE,"Hires";#N/A,#N/A,FALSE,"Assumptions"}</definedName>
    <definedName name="_____KKK1" localSheetId="17" hidden="1">{#N/A,#N/A,FALSE,"Assessment";#N/A,#N/A,FALSE,"Staffing";#N/A,#N/A,FALSE,"Hires";#N/A,#N/A,FALSE,"Assumptions"}</definedName>
    <definedName name="_____KKK1" localSheetId="18" hidden="1">{#N/A,#N/A,FALSE,"Assessment";#N/A,#N/A,FALSE,"Staffing";#N/A,#N/A,FALSE,"Hires";#N/A,#N/A,FALSE,"Assumptions"}</definedName>
    <definedName name="_____KKK1" localSheetId="19" hidden="1">{#N/A,#N/A,FALSE,"Assessment";#N/A,#N/A,FALSE,"Staffing";#N/A,#N/A,FALSE,"Hires";#N/A,#N/A,FALSE,"Assumptions"}</definedName>
    <definedName name="_____KKK1" localSheetId="20" hidden="1">{#N/A,#N/A,FALSE,"Assessment";#N/A,#N/A,FALSE,"Staffing";#N/A,#N/A,FALSE,"Hires";#N/A,#N/A,FALSE,"Assumptions"}</definedName>
    <definedName name="_____KKK1" localSheetId="21" hidden="1">{#N/A,#N/A,FALSE,"Assessment";#N/A,#N/A,FALSE,"Staffing";#N/A,#N/A,FALSE,"Hires";#N/A,#N/A,FALSE,"Assumptions"}</definedName>
    <definedName name="_____KKK1" localSheetId="39" hidden="1">{#N/A,#N/A,FALSE,"Assessment";#N/A,#N/A,FALSE,"Staffing";#N/A,#N/A,FALSE,"Hires";#N/A,#N/A,FALSE,"Assumptions"}</definedName>
    <definedName name="_____KKK1" localSheetId="40" hidden="1">{#N/A,#N/A,FALSE,"Assessment";#N/A,#N/A,FALSE,"Staffing";#N/A,#N/A,FALSE,"Hires";#N/A,#N/A,FALSE,"Assumptions"}</definedName>
    <definedName name="_____KKK1" localSheetId="41" hidden="1">{#N/A,#N/A,FALSE,"Assessment";#N/A,#N/A,FALSE,"Staffing";#N/A,#N/A,FALSE,"Hires";#N/A,#N/A,FALSE,"Assumptions"}</definedName>
    <definedName name="_____KKK1" localSheetId="43" hidden="1">{#N/A,#N/A,FALSE,"Assessment";#N/A,#N/A,FALSE,"Staffing";#N/A,#N/A,FALSE,"Hires";#N/A,#N/A,FALSE,"Assumptions"}</definedName>
    <definedName name="_____KKK1" localSheetId="48" hidden="1">{#N/A,#N/A,FALSE,"Assessment";#N/A,#N/A,FALSE,"Staffing";#N/A,#N/A,FALSE,"Hires";#N/A,#N/A,FALSE,"Assumptions"}</definedName>
    <definedName name="_____KKK1" hidden="1">{#N/A,#N/A,FALSE,"Assessment";#N/A,#N/A,FALSE,"Staffing";#N/A,#N/A,FALSE,"Hires";#N/A,#N/A,FALSE,"Assumptions"}</definedName>
    <definedName name="_____wrn1" localSheetId="1" hidden="1">{"holdco",#N/A,FALSE,"Summary Financials";"holdco",#N/A,FALSE,"Summary Financials"}</definedName>
    <definedName name="_____wrn1" localSheetId="2" hidden="1">{"holdco",#N/A,FALSE,"Summary Financials";"holdco",#N/A,FALSE,"Summary Financials"}</definedName>
    <definedName name="_____wrn1" localSheetId="0" hidden="1">{"holdco",#N/A,FALSE,"Summary Financials";"holdco",#N/A,FALSE,"Summary Financials"}</definedName>
    <definedName name="_____wrn1" localSheetId="30" hidden="1">{"holdco",#N/A,FALSE,"Summary Financials";"holdco",#N/A,FALSE,"Summary Financials"}</definedName>
    <definedName name="_____wrn1" localSheetId="12" hidden="1">{"holdco",#N/A,FALSE,"Summary Financials";"holdco",#N/A,FALSE,"Summary Financials"}</definedName>
    <definedName name="_____wrn1" localSheetId="38" hidden="1">{"holdco",#N/A,FALSE,"Summary Financials";"holdco",#N/A,FALSE,"Summary Financials"}</definedName>
    <definedName name="_____wrn1" localSheetId="10" hidden="1">{"holdco",#N/A,FALSE,"Summary Financials";"holdco",#N/A,FALSE,"Summary Financials"}</definedName>
    <definedName name="_____wrn1" localSheetId="11" hidden="1">{"holdco",#N/A,FALSE,"Summary Financials";"holdco",#N/A,FALSE,"Summary Financials"}</definedName>
    <definedName name="_____wrn1" localSheetId="3" hidden="1">{"holdco",#N/A,FALSE,"Summary Financials";"holdco",#N/A,FALSE,"Summary Financials"}</definedName>
    <definedName name="_____wrn1" localSheetId="4" hidden="1">{"holdco",#N/A,FALSE,"Summary Financials";"holdco",#N/A,FALSE,"Summary Financials"}</definedName>
    <definedName name="_____wrn1" localSheetId="6" hidden="1">{"holdco",#N/A,FALSE,"Summary Financials";"holdco",#N/A,FALSE,"Summary Financials"}</definedName>
    <definedName name="_____wrn1" localSheetId="7" hidden="1">{"holdco",#N/A,FALSE,"Summary Financials";"holdco",#N/A,FALSE,"Summary Financials"}</definedName>
    <definedName name="_____wrn1" localSheetId="8" hidden="1">{"holdco",#N/A,FALSE,"Summary Financials";"holdco",#N/A,FALSE,"Summary Financials"}</definedName>
    <definedName name="_____wrn1" localSheetId="9" hidden="1">{"holdco",#N/A,FALSE,"Summary Financials";"holdco",#N/A,FALSE,"Summary Financials"}</definedName>
    <definedName name="_____wrn1" localSheetId="31" hidden="1">{"holdco",#N/A,FALSE,"Summary Financials";"holdco",#N/A,FALSE,"Summary Financials"}</definedName>
    <definedName name="_____wrn1" localSheetId="32" hidden="1">{"holdco",#N/A,FALSE,"Summary Financials";"holdco",#N/A,FALSE,"Summary Financials"}</definedName>
    <definedName name="_____wrn1" localSheetId="13" hidden="1">{"holdco",#N/A,FALSE,"Summary Financials";"holdco",#N/A,FALSE,"Summary Financials"}</definedName>
    <definedName name="_____wrn1" localSheetId="22" hidden="1">{"holdco",#N/A,FALSE,"Summary Financials";"holdco",#N/A,FALSE,"Summary Financials"}</definedName>
    <definedName name="_____wrn1" localSheetId="23" hidden="1">{"holdco",#N/A,FALSE,"Summary Financials";"holdco",#N/A,FALSE,"Summary Financials"}</definedName>
    <definedName name="_____wrn1" localSheetId="14" hidden="1">{"holdco",#N/A,FALSE,"Summary Financials";"holdco",#N/A,FALSE,"Summary Financials"}</definedName>
    <definedName name="_____wrn1" localSheetId="15" hidden="1">{"holdco",#N/A,FALSE,"Summary Financials";"holdco",#N/A,FALSE,"Summary Financials"}</definedName>
    <definedName name="_____wrn1" localSheetId="16" hidden="1">{"holdco",#N/A,FALSE,"Summary Financials";"holdco",#N/A,FALSE,"Summary Financials"}</definedName>
    <definedName name="_____wrn1" localSheetId="17" hidden="1">{"holdco",#N/A,FALSE,"Summary Financials";"holdco",#N/A,FALSE,"Summary Financials"}</definedName>
    <definedName name="_____wrn1" localSheetId="18" hidden="1">{"holdco",#N/A,FALSE,"Summary Financials";"holdco",#N/A,FALSE,"Summary Financials"}</definedName>
    <definedName name="_____wrn1" localSheetId="19" hidden="1">{"holdco",#N/A,FALSE,"Summary Financials";"holdco",#N/A,FALSE,"Summary Financials"}</definedName>
    <definedName name="_____wrn1" localSheetId="20" hidden="1">{"holdco",#N/A,FALSE,"Summary Financials";"holdco",#N/A,FALSE,"Summary Financials"}</definedName>
    <definedName name="_____wrn1" localSheetId="21" hidden="1">{"holdco",#N/A,FALSE,"Summary Financials";"holdco",#N/A,FALSE,"Summary Financials"}</definedName>
    <definedName name="_____wrn1" localSheetId="39" hidden="1">{"holdco",#N/A,FALSE,"Summary Financials";"holdco",#N/A,FALSE,"Summary Financials"}</definedName>
    <definedName name="_____wrn1" localSheetId="40" hidden="1">{"holdco",#N/A,FALSE,"Summary Financials";"holdco",#N/A,FALSE,"Summary Financials"}</definedName>
    <definedName name="_____wrn1" localSheetId="41" hidden="1">{"holdco",#N/A,FALSE,"Summary Financials";"holdco",#N/A,FALSE,"Summary Financials"}</definedName>
    <definedName name="_____wrn1" localSheetId="43" hidden="1">{"holdco",#N/A,FALSE,"Summary Financials";"holdco",#N/A,FALSE,"Summary Financials"}</definedName>
    <definedName name="_____wrn1" localSheetId="48" hidden="1">{"holdco",#N/A,FALSE,"Summary Financials";"holdco",#N/A,FALSE,"Summary Financials"}</definedName>
    <definedName name="_____wrn1" hidden="1">{"holdco",#N/A,FALSE,"Summary Financials";"holdco",#N/A,FALSE,"Summary Financials"}</definedName>
    <definedName name="_____wrn2" localSheetId="1" hidden="1">{"holdco",#N/A,FALSE,"Summary Financials";"holdco",#N/A,FALSE,"Summary Financials"}</definedName>
    <definedName name="_____wrn2" localSheetId="2" hidden="1">{"holdco",#N/A,FALSE,"Summary Financials";"holdco",#N/A,FALSE,"Summary Financials"}</definedName>
    <definedName name="_____wrn2" localSheetId="0" hidden="1">{"holdco",#N/A,FALSE,"Summary Financials";"holdco",#N/A,FALSE,"Summary Financials"}</definedName>
    <definedName name="_____wrn2" localSheetId="30" hidden="1">{"holdco",#N/A,FALSE,"Summary Financials";"holdco",#N/A,FALSE,"Summary Financials"}</definedName>
    <definedName name="_____wrn2" localSheetId="12" hidden="1">{"holdco",#N/A,FALSE,"Summary Financials";"holdco",#N/A,FALSE,"Summary Financials"}</definedName>
    <definedName name="_____wrn2" localSheetId="38" hidden="1">{"holdco",#N/A,FALSE,"Summary Financials";"holdco",#N/A,FALSE,"Summary Financials"}</definedName>
    <definedName name="_____wrn2" localSheetId="10" hidden="1">{"holdco",#N/A,FALSE,"Summary Financials";"holdco",#N/A,FALSE,"Summary Financials"}</definedName>
    <definedName name="_____wrn2" localSheetId="11" hidden="1">{"holdco",#N/A,FALSE,"Summary Financials";"holdco",#N/A,FALSE,"Summary Financials"}</definedName>
    <definedName name="_____wrn2" localSheetId="3" hidden="1">{"holdco",#N/A,FALSE,"Summary Financials";"holdco",#N/A,FALSE,"Summary Financials"}</definedName>
    <definedName name="_____wrn2" localSheetId="4" hidden="1">{"holdco",#N/A,FALSE,"Summary Financials";"holdco",#N/A,FALSE,"Summary Financials"}</definedName>
    <definedName name="_____wrn2" localSheetId="6" hidden="1">{"holdco",#N/A,FALSE,"Summary Financials";"holdco",#N/A,FALSE,"Summary Financials"}</definedName>
    <definedName name="_____wrn2" localSheetId="7" hidden="1">{"holdco",#N/A,FALSE,"Summary Financials";"holdco",#N/A,FALSE,"Summary Financials"}</definedName>
    <definedName name="_____wrn2" localSheetId="8" hidden="1">{"holdco",#N/A,FALSE,"Summary Financials";"holdco",#N/A,FALSE,"Summary Financials"}</definedName>
    <definedName name="_____wrn2" localSheetId="9" hidden="1">{"holdco",#N/A,FALSE,"Summary Financials";"holdco",#N/A,FALSE,"Summary Financials"}</definedName>
    <definedName name="_____wrn2" localSheetId="31" hidden="1">{"holdco",#N/A,FALSE,"Summary Financials";"holdco",#N/A,FALSE,"Summary Financials"}</definedName>
    <definedName name="_____wrn2" localSheetId="32" hidden="1">{"holdco",#N/A,FALSE,"Summary Financials";"holdco",#N/A,FALSE,"Summary Financials"}</definedName>
    <definedName name="_____wrn2" localSheetId="13" hidden="1">{"holdco",#N/A,FALSE,"Summary Financials";"holdco",#N/A,FALSE,"Summary Financials"}</definedName>
    <definedName name="_____wrn2" localSheetId="22" hidden="1">{"holdco",#N/A,FALSE,"Summary Financials";"holdco",#N/A,FALSE,"Summary Financials"}</definedName>
    <definedName name="_____wrn2" localSheetId="23" hidden="1">{"holdco",#N/A,FALSE,"Summary Financials";"holdco",#N/A,FALSE,"Summary Financials"}</definedName>
    <definedName name="_____wrn2" localSheetId="14" hidden="1">{"holdco",#N/A,FALSE,"Summary Financials";"holdco",#N/A,FALSE,"Summary Financials"}</definedName>
    <definedName name="_____wrn2" localSheetId="15" hidden="1">{"holdco",#N/A,FALSE,"Summary Financials";"holdco",#N/A,FALSE,"Summary Financials"}</definedName>
    <definedName name="_____wrn2" localSheetId="16" hidden="1">{"holdco",#N/A,FALSE,"Summary Financials";"holdco",#N/A,FALSE,"Summary Financials"}</definedName>
    <definedName name="_____wrn2" localSheetId="17" hidden="1">{"holdco",#N/A,FALSE,"Summary Financials";"holdco",#N/A,FALSE,"Summary Financials"}</definedName>
    <definedName name="_____wrn2" localSheetId="18" hidden="1">{"holdco",#N/A,FALSE,"Summary Financials";"holdco",#N/A,FALSE,"Summary Financials"}</definedName>
    <definedName name="_____wrn2" localSheetId="19" hidden="1">{"holdco",#N/A,FALSE,"Summary Financials";"holdco",#N/A,FALSE,"Summary Financials"}</definedName>
    <definedName name="_____wrn2" localSheetId="20" hidden="1">{"holdco",#N/A,FALSE,"Summary Financials";"holdco",#N/A,FALSE,"Summary Financials"}</definedName>
    <definedName name="_____wrn2" localSheetId="21" hidden="1">{"holdco",#N/A,FALSE,"Summary Financials";"holdco",#N/A,FALSE,"Summary Financials"}</definedName>
    <definedName name="_____wrn2" localSheetId="39" hidden="1">{"holdco",#N/A,FALSE,"Summary Financials";"holdco",#N/A,FALSE,"Summary Financials"}</definedName>
    <definedName name="_____wrn2" localSheetId="40" hidden="1">{"holdco",#N/A,FALSE,"Summary Financials";"holdco",#N/A,FALSE,"Summary Financials"}</definedName>
    <definedName name="_____wrn2" localSheetId="41" hidden="1">{"holdco",#N/A,FALSE,"Summary Financials";"holdco",#N/A,FALSE,"Summary Financials"}</definedName>
    <definedName name="_____wrn2" localSheetId="43" hidden="1">{"holdco",#N/A,FALSE,"Summary Financials";"holdco",#N/A,FALSE,"Summary Financials"}</definedName>
    <definedName name="_____wrn2" localSheetId="48" hidden="1">{"holdco",#N/A,FALSE,"Summary Financials";"holdco",#N/A,FALSE,"Summary Financials"}</definedName>
    <definedName name="_____wrn2" hidden="1">{"holdco",#N/A,FALSE,"Summary Financials";"holdco",#N/A,FALSE,"Summary Financials"}</definedName>
    <definedName name="_____wrn3" localSheetId="1" hidden="1">{"holdco",#N/A,FALSE,"Summary Financials";"holdco",#N/A,FALSE,"Summary Financials"}</definedName>
    <definedName name="_____wrn3" localSheetId="2" hidden="1">{"holdco",#N/A,FALSE,"Summary Financials";"holdco",#N/A,FALSE,"Summary Financials"}</definedName>
    <definedName name="_____wrn3" localSheetId="0" hidden="1">{"holdco",#N/A,FALSE,"Summary Financials";"holdco",#N/A,FALSE,"Summary Financials"}</definedName>
    <definedName name="_____wrn3" localSheetId="30" hidden="1">{"holdco",#N/A,FALSE,"Summary Financials";"holdco",#N/A,FALSE,"Summary Financials"}</definedName>
    <definedName name="_____wrn3" localSheetId="12" hidden="1">{"holdco",#N/A,FALSE,"Summary Financials";"holdco",#N/A,FALSE,"Summary Financials"}</definedName>
    <definedName name="_____wrn3" localSheetId="38" hidden="1">{"holdco",#N/A,FALSE,"Summary Financials";"holdco",#N/A,FALSE,"Summary Financials"}</definedName>
    <definedName name="_____wrn3" localSheetId="10" hidden="1">{"holdco",#N/A,FALSE,"Summary Financials";"holdco",#N/A,FALSE,"Summary Financials"}</definedName>
    <definedName name="_____wrn3" localSheetId="11" hidden="1">{"holdco",#N/A,FALSE,"Summary Financials";"holdco",#N/A,FALSE,"Summary Financials"}</definedName>
    <definedName name="_____wrn3" localSheetId="3" hidden="1">{"holdco",#N/A,FALSE,"Summary Financials";"holdco",#N/A,FALSE,"Summary Financials"}</definedName>
    <definedName name="_____wrn3" localSheetId="4" hidden="1">{"holdco",#N/A,FALSE,"Summary Financials";"holdco",#N/A,FALSE,"Summary Financials"}</definedName>
    <definedName name="_____wrn3" localSheetId="6" hidden="1">{"holdco",#N/A,FALSE,"Summary Financials";"holdco",#N/A,FALSE,"Summary Financials"}</definedName>
    <definedName name="_____wrn3" localSheetId="7" hidden="1">{"holdco",#N/A,FALSE,"Summary Financials";"holdco",#N/A,FALSE,"Summary Financials"}</definedName>
    <definedName name="_____wrn3" localSheetId="8" hidden="1">{"holdco",#N/A,FALSE,"Summary Financials";"holdco",#N/A,FALSE,"Summary Financials"}</definedName>
    <definedName name="_____wrn3" localSheetId="9" hidden="1">{"holdco",#N/A,FALSE,"Summary Financials";"holdco",#N/A,FALSE,"Summary Financials"}</definedName>
    <definedName name="_____wrn3" localSheetId="31" hidden="1">{"holdco",#N/A,FALSE,"Summary Financials";"holdco",#N/A,FALSE,"Summary Financials"}</definedName>
    <definedName name="_____wrn3" localSheetId="32" hidden="1">{"holdco",#N/A,FALSE,"Summary Financials";"holdco",#N/A,FALSE,"Summary Financials"}</definedName>
    <definedName name="_____wrn3" localSheetId="13" hidden="1">{"holdco",#N/A,FALSE,"Summary Financials";"holdco",#N/A,FALSE,"Summary Financials"}</definedName>
    <definedName name="_____wrn3" localSheetId="22" hidden="1">{"holdco",#N/A,FALSE,"Summary Financials";"holdco",#N/A,FALSE,"Summary Financials"}</definedName>
    <definedName name="_____wrn3" localSheetId="23" hidden="1">{"holdco",#N/A,FALSE,"Summary Financials";"holdco",#N/A,FALSE,"Summary Financials"}</definedName>
    <definedName name="_____wrn3" localSheetId="14" hidden="1">{"holdco",#N/A,FALSE,"Summary Financials";"holdco",#N/A,FALSE,"Summary Financials"}</definedName>
    <definedName name="_____wrn3" localSheetId="15" hidden="1">{"holdco",#N/A,FALSE,"Summary Financials";"holdco",#N/A,FALSE,"Summary Financials"}</definedName>
    <definedName name="_____wrn3" localSheetId="16" hidden="1">{"holdco",#N/A,FALSE,"Summary Financials";"holdco",#N/A,FALSE,"Summary Financials"}</definedName>
    <definedName name="_____wrn3" localSheetId="17" hidden="1">{"holdco",#N/A,FALSE,"Summary Financials";"holdco",#N/A,FALSE,"Summary Financials"}</definedName>
    <definedName name="_____wrn3" localSheetId="18" hidden="1">{"holdco",#N/A,FALSE,"Summary Financials";"holdco",#N/A,FALSE,"Summary Financials"}</definedName>
    <definedName name="_____wrn3" localSheetId="19" hidden="1">{"holdco",#N/A,FALSE,"Summary Financials";"holdco",#N/A,FALSE,"Summary Financials"}</definedName>
    <definedName name="_____wrn3" localSheetId="20" hidden="1">{"holdco",#N/A,FALSE,"Summary Financials";"holdco",#N/A,FALSE,"Summary Financials"}</definedName>
    <definedName name="_____wrn3" localSheetId="21" hidden="1">{"holdco",#N/A,FALSE,"Summary Financials";"holdco",#N/A,FALSE,"Summary Financials"}</definedName>
    <definedName name="_____wrn3" localSheetId="39" hidden="1">{"holdco",#N/A,FALSE,"Summary Financials";"holdco",#N/A,FALSE,"Summary Financials"}</definedName>
    <definedName name="_____wrn3" localSheetId="40" hidden="1">{"holdco",#N/A,FALSE,"Summary Financials";"holdco",#N/A,FALSE,"Summary Financials"}</definedName>
    <definedName name="_____wrn3" localSheetId="41" hidden="1">{"holdco",#N/A,FALSE,"Summary Financials";"holdco",#N/A,FALSE,"Summary Financials"}</definedName>
    <definedName name="_____wrn3" localSheetId="43" hidden="1">{"holdco",#N/A,FALSE,"Summary Financials";"holdco",#N/A,FALSE,"Summary Financials"}</definedName>
    <definedName name="_____wrn3" localSheetId="48" hidden="1">{"holdco",#N/A,FALSE,"Summary Financials";"holdco",#N/A,FALSE,"Summary Financials"}</definedName>
    <definedName name="_____wrn3" hidden="1">{"holdco",#N/A,FALSE,"Summary Financials";"holdco",#N/A,FALSE,"Summary Financials"}</definedName>
    <definedName name="_____wrn7" localSheetId="1" hidden="1">{"Model Summary",#N/A,FALSE,"Print Chart";"Holdco",#N/A,FALSE,"Print Chart";"Genco",#N/A,FALSE,"Print Chart";"Servco",#N/A,FALSE,"Print Chart";"Genco_Detail",#N/A,FALSE,"Summary Financials";"Servco_Detail",#N/A,FALSE,"Summary Financials"}</definedName>
    <definedName name="_____wrn7" localSheetId="2" hidden="1">{"Model Summary",#N/A,FALSE,"Print Chart";"Holdco",#N/A,FALSE,"Print Chart";"Genco",#N/A,FALSE,"Print Chart";"Servco",#N/A,FALSE,"Print Chart";"Genco_Detail",#N/A,FALSE,"Summary Financials";"Servco_Detail",#N/A,FALSE,"Summary Financials"}</definedName>
    <definedName name="_____wrn7" localSheetId="0" hidden="1">{"Model Summary",#N/A,FALSE,"Print Chart";"Holdco",#N/A,FALSE,"Print Chart";"Genco",#N/A,FALSE,"Print Chart";"Servco",#N/A,FALSE,"Print Chart";"Genco_Detail",#N/A,FALSE,"Summary Financials";"Servco_Detail",#N/A,FALSE,"Summary Financials"}</definedName>
    <definedName name="_____wrn7" localSheetId="30" hidden="1">{"Model Summary",#N/A,FALSE,"Print Chart";"Holdco",#N/A,FALSE,"Print Chart";"Genco",#N/A,FALSE,"Print Chart";"Servco",#N/A,FALSE,"Print Chart";"Genco_Detail",#N/A,FALSE,"Summary Financials";"Servco_Detail",#N/A,FALSE,"Summary Financials"}</definedName>
    <definedName name="_____wrn7" localSheetId="12" hidden="1">{"Model Summary",#N/A,FALSE,"Print Chart";"Holdco",#N/A,FALSE,"Print Chart";"Genco",#N/A,FALSE,"Print Chart";"Servco",#N/A,FALSE,"Print Chart";"Genco_Detail",#N/A,FALSE,"Summary Financials";"Servco_Detail",#N/A,FALSE,"Summary Financials"}</definedName>
    <definedName name="_____wrn7" localSheetId="38" hidden="1">{"Model Summary",#N/A,FALSE,"Print Chart";"Holdco",#N/A,FALSE,"Print Chart";"Genco",#N/A,FALSE,"Print Chart";"Servco",#N/A,FALSE,"Print Chart";"Genco_Detail",#N/A,FALSE,"Summary Financials";"Servco_Detail",#N/A,FALSE,"Summary Financials"}</definedName>
    <definedName name="_____wrn7" localSheetId="10" hidden="1">{"Model Summary",#N/A,FALSE,"Print Chart";"Holdco",#N/A,FALSE,"Print Chart";"Genco",#N/A,FALSE,"Print Chart";"Servco",#N/A,FALSE,"Print Chart";"Genco_Detail",#N/A,FALSE,"Summary Financials";"Servco_Detail",#N/A,FALSE,"Summary Financials"}</definedName>
    <definedName name="_____wrn7" localSheetId="11" hidden="1">{"Model Summary",#N/A,FALSE,"Print Chart";"Holdco",#N/A,FALSE,"Print Chart";"Genco",#N/A,FALSE,"Print Chart";"Servco",#N/A,FALSE,"Print Chart";"Genco_Detail",#N/A,FALSE,"Summary Financials";"Servco_Detail",#N/A,FALSE,"Summary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localSheetId="4" hidden="1">{"Model Summary",#N/A,FALSE,"Print Chart";"Holdco",#N/A,FALSE,"Print Chart";"Genco",#N/A,FALSE,"Print Chart";"Servco",#N/A,FALSE,"Print Chart";"Genco_Detail",#N/A,FALSE,"Summary Financials";"Servco_Detail",#N/A,FALSE,"Summary Financials"}</definedName>
    <definedName name="_____wrn7" localSheetId="6" hidden="1">{"Model Summary",#N/A,FALSE,"Print Chart";"Holdco",#N/A,FALSE,"Print Chart";"Genco",#N/A,FALSE,"Print Chart";"Servco",#N/A,FALSE,"Print Chart";"Genco_Detail",#N/A,FALSE,"Summary Financials";"Servco_Detail",#N/A,FALSE,"Summary Financials"}</definedName>
    <definedName name="_____wrn7" localSheetId="7" hidden="1">{"Model Summary",#N/A,FALSE,"Print Chart";"Holdco",#N/A,FALSE,"Print Chart";"Genco",#N/A,FALSE,"Print Chart";"Servco",#N/A,FALSE,"Print Chart";"Genco_Detail",#N/A,FALSE,"Summary Financials";"Servco_Detail",#N/A,FALSE,"Summary Financials"}</definedName>
    <definedName name="_____wrn7" localSheetId="8" hidden="1">{"Model Summary",#N/A,FALSE,"Print Chart";"Holdco",#N/A,FALSE,"Print Chart";"Genco",#N/A,FALSE,"Print Chart";"Servco",#N/A,FALSE,"Print Chart";"Genco_Detail",#N/A,FALSE,"Summary Financials";"Servco_Detail",#N/A,FALSE,"Summary Financials"}</definedName>
    <definedName name="_____wrn7" localSheetId="9" hidden="1">{"Model Summary",#N/A,FALSE,"Print Chart";"Holdco",#N/A,FALSE,"Print Chart";"Genco",#N/A,FALSE,"Print Chart";"Servco",#N/A,FALSE,"Print Chart";"Genco_Detail",#N/A,FALSE,"Summary Financials";"Servco_Detail",#N/A,FALSE,"Summary Financials"}</definedName>
    <definedName name="_____wrn7" localSheetId="31" hidden="1">{"Model Summary",#N/A,FALSE,"Print Chart";"Holdco",#N/A,FALSE,"Print Chart";"Genco",#N/A,FALSE,"Print Chart";"Servco",#N/A,FALSE,"Print Chart";"Genco_Detail",#N/A,FALSE,"Summary Financials";"Servco_Detail",#N/A,FALSE,"Summary Financials"}</definedName>
    <definedName name="_____wrn7" localSheetId="32" hidden="1">{"Model Summary",#N/A,FALSE,"Print Chart";"Holdco",#N/A,FALSE,"Print Chart";"Genco",#N/A,FALSE,"Print Chart";"Servco",#N/A,FALSE,"Print Chart";"Genco_Detail",#N/A,FALSE,"Summary Financials";"Servco_Detail",#N/A,FALSE,"Summary Financials"}</definedName>
    <definedName name="_____wrn7" localSheetId="13" hidden="1">{"Model Summary",#N/A,FALSE,"Print Chart";"Holdco",#N/A,FALSE,"Print Chart";"Genco",#N/A,FALSE,"Print Chart";"Servco",#N/A,FALSE,"Print Chart";"Genco_Detail",#N/A,FALSE,"Summary Financials";"Servco_Detail",#N/A,FALSE,"Summary Financials"}</definedName>
    <definedName name="_____wrn7" localSheetId="22" hidden="1">{"Model Summary",#N/A,FALSE,"Print Chart";"Holdco",#N/A,FALSE,"Print Chart";"Genco",#N/A,FALSE,"Print Chart";"Servco",#N/A,FALSE,"Print Chart";"Genco_Detail",#N/A,FALSE,"Summary Financials";"Servco_Detail",#N/A,FALSE,"Summary Financials"}</definedName>
    <definedName name="_____wrn7" localSheetId="23" hidden="1">{"Model Summary",#N/A,FALSE,"Print Chart";"Holdco",#N/A,FALSE,"Print Chart";"Genco",#N/A,FALSE,"Print Chart";"Servco",#N/A,FALSE,"Print Chart";"Genco_Detail",#N/A,FALSE,"Summary Financials";"Servco_Detail",#N/A,FALSE,"Summary Financials"}</definedName>
    <definedName name="_____wrn7" localSheetId="14" hidden="1">{"Model Summary",#N/A,FALSE,"Print Chart";"Holdco",#N/A,FALSE,"Print Chart";"Genco",#N/A,FALSE,"Print Chart";"Servco",#N/A,FALSE,"Print Chart";"Genco_Detail",#N/A,FALSE,"Summary Financials";"Servco_Detail",#N/A,FALSE,"Summary Financials"}</definedName>
    <definedName name="_____wrn7" localSheetId="15" hidden="1">{"Model Summary",#N/A,FALSE,"Print Chart";"Holdco",#N/A,FALSE,"Print Chart";"Genco",#N/A,FALSE,"Print Chart";"Servco",#N/A,FALSE,"Print Chart";"Genco_Detail",#N/A,FALSE,"Summary Financials";"Servco_Detail",#N/A,FALSE,"Summary Financials"}</definedName>
    <definedName name="_____wrn7" localSheetId="16" hidden="1">{"Model Summary",#N/A,FALSE,"Print Chart";"Holdco",#N/A,FALSE,"Print Chart";"Genco",#N/A,FALSE,"Print Chart";"Servco",#N/A,FALSE,"Print Chart";"Genco_Detail",#N/A,FALSE,"Summary Financials";"Servco_Detail",#N/A,FALSE,"Summary Financials"}</definedName>
    <definedName name="_____wrn7" localSheetId="17" hidden="1">{"Model Summary",#N/A,FALSE,"Print Chart";"Holdco",#N/A,FALSE,"Print Chart";"Genco",#N/A,FALSE,"Print Chart";"Servco",#N/A,FALSE,"Print Chart";"Genco_Detail",#N/A,FALSE,"Summary Financials";"Servco_Detail",#N/A,FALSE,"Summary Financials"}</definedName>
    <definedName name="_____wrn7" localSheetId="18" hidden="1">{"Model Summary",#N/A,FALSE,"Print Chart";"Holdco",#N/A,FALSE,"Print Chart";"Genco",#N/A,FALSE,"Print Chart";"Servco",#N/A,FALSE,"Print Chart";"Genco_Detail",#N/A,FALSE,"Summary Financials";"Servco_Detail",#N/A,FALSE,"Summary Financials"}</definedName>
    <definedName name="_____wrn7" localSheetId="19" hidden="1">{"Model Summary",#N/A,FALSE,"Print Chart";"Holdco",#N/A,FALSE,"Print Chart";"Genco",#N/A,FALSE,"Print Chart";"Servco",#N/A,FALSE,"Print Chart";"Genco_Detail",#N/A,FALSE,"Summary Financials";"Servco_Detail",#N/A,FALSE,"Summary Financials"}</definedName>
    <definedName name="_____wrn7" localSheetId="20" hidden="1">{"Model Summary",#N/A,FALSE,"Print Chart";"Holdco",#N/A,FALSE,"Print Chart";"Genco",#N/A,FALSE,"Print Chart";"Servco",#N/A,FALSE,"Print Chart";"Genco_Detail",#N/A,FALSE,"Summary Financials";"Servco_Detail",#N/A,FALSE,"Summary Financials"}</definedName>
    <definedName name="_____wrn7" localSheetId="21" hidden="1">{"Model Summary",#N/A,FALSE,"Print Chart";"Holdco",#N/A,FALSE,"Print Chart";"Genco",#N/A,FALSE,"Print Chart";"Servco",#N/A,FALSE,"Print Chart";"Genco_Detail",#N/A,FALSE,"Summary Financials";"Servco_Detail",#N/A,FALSE,"Summary Financials"}</definedName>
    <definedName name="_____wrn7" localSheetId="39" hidden="1">{"Model Summary",#N/A,FALSE,"Print Chart";"Holdco",#N/A,FALSE,"Print Chart";"Genco",#N/A,FALSE,"Print Chart";"Servco",#N/A,FALSE,"Print Chart";"Genco_Detail",#N/A,FALSE,"Summary Financials";"Servco_Detail",#N/A,FALSE,"Summary Financials"}</definedName>
    <definedName name="_____wrn7" localSheetId="40" hidden="1">{"Model Summary",#N/A,FALSE,"Print Chart";"Holdco",#N/A,FALSE,"Print Chart";"Genco",#N/A,FALSE,"Print Chart";"Servco",#N/A,FALSE,"Print Chart";"Genco_Detail",#N/A,FALSE,"Summary Financials";"Servco_Detail",#N/A,FALSE,"Summary Financials"}</definedName>
    <definedName name="_____wrn7" localSheetId="41" hidden="1">{"Model Summary",#N/A,FALSE,"Print Chart";"Holdco",#N/A,FALSE,"Print Chart";"Genco",#N/A,FALSE,"Print Chart";"Servco",#N/A,FALSE,"Print Chart";"Genco_Detail",#N/A,FALSE,"Summary Financials";"Servco_Detail",#N/A,FALSE,"Summary Financials"}</definedName>
    <definedName name="_____wrn7" localSheetId="43" hidden="1">{"Model Summary",#N/A,FALSE,"Print Chart";"Holdco",#N/A,FALSE,"Print Chart";"Genco",#N/A,FALSE,"Print Chart";"Servco",#N/A,FALSE,"Print Chart";"Genco_Detail",#N/A,FALSE,"Summary Financials";"Servco_Detail",#N/A,FALSE,"Summary Financials"}</definedName>
    <definedName name="_____wrn7" localSheetId="48"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 hidden="1">{"holdco",#N/A,FALSE,"Summary Financials";"holdco",#N/A,FALSE,"Summary Financials"}</definedName>
    <definedName name="_____wrn8" localSheetId="2" hidden="1">{"holdco",#N/A,FALSE,"Summary Financials";"holdco",#N/A,FALSE,"Summary Financials"}</definedName>
    <definedName name="_____wrn8" localSheetId="0" hidden="1">{"holdco",#N/A,FALSE,"Summary Financials";"holdco",#N/A,FALSE,"Summary Financials"}</definedName>
    <definedName name="_____wrn8" localSheetId="30" hidden="1">{"holdco",#N/A,FALSE,"Summary Financials";"holdco",#N/A,FALSE,"Summary Financials"}</definedName>
    <definedName name="_____wrn8" localSheetId="12" hidden="1">{"holdco",#N/A,FALSE,"Summary Financials";"holdco",#N/A,FALSE,"Summary Financials"}</definedName>
    <definedName name="_____wrn8" localSheetId="38" hidden="1">{"holdco",#N/A,FALSE,"Summary Financials";"holdco",#N/A,FALSE,"Summary Financials"}</definedName>
    <definedName name="_____wrn8" localSheetId="10" hidden="1">{"holdco",#N/A,FALSE,"Summary Financials";"holdco",#N/A,FALSE,"Summary Financials"}</definedName>
    <definedName name="_____wrn8" localSheetId="11" hidden="1">{"holdco",#N/A,FALSE,"Summary Financials";"holdco",#N/A,FALSE,"Summary Financials"}</definedName>
    <definedName name="_____wrn8" localSheetId="3" hidden="1">{"holdco",#N/A,FALSE,"Summary Financials";"holdco",#N/A,FALSE,"Summary Financials"}</definedName>
    <definedName name="_____wrn8" localSheetId="4" hidden="1">{"holdco",#N/A,FALSE,"Summary Financials";"holdco",#N/A,FALSE,"Summary Financials"}</definedName>
    <definedName name="_____wrn8" localSheetId="6" hidden="1">{"holdco",#N/A,FALSE,"Summary Financials";"holdco",#N/A,FALSE,"Summary Financials"}</definedName>
    <definedName name="_____wrn8" localSheetId="7" hidden="1">{"holdco",#N/A,FALSE,"Summary Financials";"holdco",#N/A,FALSE,"Summary Financials"}</definedName>
    <definedName name="_____wrn8" localSheetId="8" hidden="1">{"holdco",#N/A,FALSE,"Summary Financials";"holdco",#N/A,FALSE,"Summary Financials"}</definedName>
    <definedName name="_____wrn8" localSheetId="9" hidden="1">{"holdco",#N/A,FALSE,"Summary Financials";"holdco",#N/A,FALSE,"Summary Financials"}</definedName>
    <definedName name="_____wrn8" localSheetId="31" hidden="1">{"holdco",#N/A,FALSE,"Summary Financials";"holdco",#N/A,FALSE,"Summary Financials"}</definedName>
    <definedName name="_____wrn8" localSheetId="32" hidden="1">{"holdco",#N/A,FALSE,"Summary Financials";"holdco",#N/A,FALSE,"Summary Financials"}</definedName>
    <definedName name="_____wrn8" localSheetId="13" hidden="1">{"holdco",#N/A,FALSE,"Summary Financials";"holdco",#N/A,FALSE,"Summary Financials"}</definedName>
    <definedName name="_____wrn8" localSheetId="22" hidden="1">{"holdco",#N/A,FALSE,"Summary Financials";"holdco",#N/A,FALSE,"Summary Financials"}</definedName>
    <definedName name="_____wrn8" localSheetId="23" hidden="1">{"holdco",#N/A,FALSE,"Summary Financials";"holdco",#N/A,FALSE,"Summary Financials"}</definedName>
    <definedName name="_____wrn8" localSheetId="14" hidden="1">{"holdco",#N/A,FALSE,"Summary Financials";"holdco",#N/A,FALSE,"Summary Financials"}</definedName>
    <definedName name="_____wrn8" localSheetId="15" hidden="1">{"holdco",#N/A,FALSE,"Summary Financials";"holdco",#N/A,FALSE,"Summary Financials"}</definedName>
    <definedName name="_____wrn8" localSheetId="16" hidden="1">{"holdco",#N/A,FALSE,"Summary Financials";"holdco",#N/A,FALSE,"Summary Financials"}</definedName>
    <definedName name="_____wrn8" localSheetId="17" hidden="1">{"holdco",#N/A,FALSE,"Summary Financials";"holdco",#N/A,FALSE,"Summary Financials"}</definedName>
    <definedName name="_____wrn8" localSheetId="18" hidden="1">{"holdco",#N/A,FALSE,"Summary Financials";"holdco",#N/A,FALSE,"Summary Financials"}</definedName>
    <definedName name="_____wrn8" localSheetId="19" hidden="1">{"holdco",#N/A,FALSE,"Summary Financials";"holdco",#N/A,FALSE,"Summary Financials"}</definedName>
    <definedName name="_____wrn8" localSheetId="20" hidden="1">{"holdco",#N/A,FALSE,"Summary Financials";"holdco",#N/A,FALSE,"Summary Financials"}</definedName>
    <definedName name="_____wrn8" localSheetId="21" hidden="1">{"holdco",#N/A,FALSE,"Summary Financials";"holdco",#N/A,FALSE,"Summary Financials"}</definedName>
    <definedName name="_____wrn8" localSheetId="39" hidden="1">{"holdco",#N/A,FALSE,"Summary Financials";"holdco",#N/A,FALSE,"Summary Financials"}</definedName>
    <definedName name="_____wrn8" localSheetId="40" hidden="1">{"holdco",#N/A,FALSE,"Summary Financials";"holdco",#N/A,FALSE,"Summary Financials"}</definedName>
    <definedName name="_____wrn8" localSheetId="41" hidden="1">{"holdco",#N/A,FALSE,"Summary Financials";"holdco",#N/A,FALSE,"Summary Financials"}</definedName>
    <definedName name="_____wrn8" localSheetId="43" hidden="1">{"holdco",#N/A,FALSE,"Summary Financials";"holdco",#N/A,FALSE,"Summary Financials"}</definedName>
    <definedName name="_____wrn8" localSheetId="48"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 hidden="1">{#N/A,#N/A,FALSE,"Assessment";#N/A,#N/A,FALSE,"Staffing";#N/A,#N/A,FALSE,"Hires";#N/A,#N/A,FALSE,"Assumptions"}</definedName>
    <definedName name="__hom1" localSheetId="2" hidden="1">{#N/A,#N/A,FALSE,"Assessment";#N/A,#N/A,FALSE,"Staffing";#N/A,#N/A,FALSE,"Hires";#N/A,#N/A,FALSE,"Assumptions"}</definedName>
    <definedName name="__hom1" localSheetId="0" hidden="1">{#N/A,#N/A,FALSE,"Assessment";#N/A,#N/A,FALSE,"Staffing";#N/A,#N/A,FALSE,"Hires";#N/A,#N/A,FALSE,"Assumptions"}</definedName>
    <definedName name="__hom1" localSheetId="30" hidden="1">{#N/A,#N/A,FALSE,"Assessment";#N/A,#N/A,FALSE,"Staffing";#N/A,#N/A,FALSE,"Hires";#N/A,#N/A,FALSE,"Assumptions"}</definedName>
    <definedName name="__hom1" localSheetId="12" hidden="1">{#N/A,#N/A,FALSE,"Assessment";#N/A,#N/A,FALSE,"Staffing";#N/A,#N/A,FALSE,"Hires";#N/A,#N/A,FALSE,"Assumptions"}</definedName>
    <definedName name="__hom1" localSheetId="38" hidden="1">{#N/A,#N/A,FALSE,"Assessment";#N/A,#N/A,FALSE,"Staffing";#N/A,#N/A,FALSE,"Hires";#N/A,#N/A,FALSE,"Assumptions"}</definedName>
    <definedName name="__hom1" localSheetId="10" hidden="1">{#N/A,#N/A,FALSE,"Assessment";#N/A,#N/A,FALSE,"Staffing";#N/A,#N/A,FALSE,"Hires";#N/A,#N/A,FALSE,"Assumptions"}</definedName>
    <definedName name="__hom1" localSheetId="11" hidden="1">{#N/A,#N/A,FALSE,"Assessment";#N/A,#N/A,FALSE,"Staffing";#N/A,#N/A,FALSE,"Hires";#N/A,#N/A,FALSE,"Assumptions"}</definedName>
    <definedName name="__hom1" localSheetId="3" hidden="1">{#N/A,#N/A,FALSE,"Assessment";#N/A,#N/A,FALSE,"Staffing";#N/A,#N/A,FALSE,"Hires";#N/A,#N/A,FALSE,"Assumptions"}</definedName>
    <definedName name="__hom1" localSheetId="4" hidden="1">{#N/A,#N/A,FALSE,"Assessment";#N/A,#N/A,FALSE,"Staffing";#N/A,#N/A,FALSE,"Hires";#N/A,#N/A,FALSE,"Assumptions"}</definedName>
    <definedName name="__hom1" localSheetId="6" hidden="1">{#N/A,#N/A,FALSE,"Assessment";#N/A,#N/A,FALSE,"Staffing";#N/A,#N/A,FALSE,"Hires";#N/A,#N/A,FALSE,"Assumptions"}</definedName>
    <definedName name="__hom1" localSheetId="7" hidden="1">{#N/A,#N/A,FALSE,"Assessment";#N/A,#N/A,FALSE,"Staffing";#N/A,#N/A,FALSE,"Hires";#N/A,#N/A,FALSE,"Assumptions"}</definedName>
    <definedName name="__hom1" localSheetId="8" hidden="1">{#N/A,#N/A,FALSE,"Assessment";#N/A,#N/A,FALSE,"Staffing";#N/A,#N/A,FALSE,"Hires";#N/A,#N/A,FALSE,"Assumptions"}</definedName>
    <definedName name="__hom1" localSheetId="9" hidden="1">{#N/A,#N/A,FALSE,"Assessment";#N/A,#N/A,FALSE,"Staffing";#N/A,#N/A,FALSE,"Hires";#N/A,#N/A,FALSE,"Assumptions"}</definedName>
    <definedName name="__hom1" localSheetId="31" hidden="1">{#N/A,#N/A,FALSE,"Assessment";#N/A,#N/A,FALSE,"Staffing";#N/A,#N/A,FALSE,"Hires";#N/A,#N/A,FALSE,"Assumptions"}</definedName>
    <definedName name="__hom1" localSheetId="32" hidden="1">{#N/A,#N/A,FALSE,"Assessment";#N/A,#N/A,FALSE,"Staffing";#N/A,#N/A,FALSE,"Hires";#N/A,#N/A,FALSE,"Assumptions"}</definedName>
    <definedName name="__hom1" localSheetId="13" hidden="1">{#N/A,#N/A,FALSE,"Assessment";#N/A,#N/A,FALSE,"Staffing";#N/A,#N/A,FALSE,"Hires";#N/A,#N/A,FALSE,"Assumptions"}</definedName>
    <definedName name="__hom1" localSheetId="22" hidden="1">{#N/A,#N/A,FALSE,"Assessment";#N/A,#N/A,FALSE,"Staffing";#N/A,#N/A,FALSE,"Hires";#N/A,#N/A,FALSE,"Assumptions"}</definedName>
    <definedName name="__hom1" localSheetId="23" hidden="1">{#N/A,#N/A,FALSE,"Assessment";#N/A,#N/A,FALSE,"Staffing";#N/A,#N/A,FALSE,"Hires";#N/A,#N/A,FALSE,"Assumptions"}</definedName>
    <definedName name="__hom1" localSheetId="14" hidden="1">{#N/A,#N/A,FALSE,"Assessment";#N/A,#N/A,FALSE,"Staffing";#N/A,#N/A,FALSE,"Hires";#N/A,#N/A,FALSE,"Assumptions"}</definedName>
    <definedName name="__hom1" localSheetId="15" hidden="1">{#N/A,#N/A,FALSE,"Assessment";#N/A,#N/A,FALSE,"Staffing";#N/A,#N/A,FALSE,"Hires";#N/A,#N/A,FALSE,"Assumptions"}</definedName>
    <definedName name="__hom1" localSheetId="16" hidden="1">{#N/A,#N/A,FALSE,"Assessment";#N/A,#N/A,FALSE,"Staffing";#N/A,#N/A,FALSE,"Hires";#N/A,#N/A,FALSE,"Assumptions"}</definedName>
    <definedName name="__hom1" localSheetId="17" hidden="1">{#N/A,#N/A,FALSE,"Assessment";#N/A,#N/A,FALSE,"Staffing";#N/A,#N/A,FALSE,"Hires";#N/A,#N/A,FALSE,"Assumptions"}</definedName>
    <definedName name="__hom1" localSheetId="18" hidden="1">{#N/A,#N/A,FALSE,"Assessment";#N/A,#N/A,FALSE,"Staffing";#N/A,#N/A,FALSE,"Hires";#N/A,#N/A,FALSE,"Assumptions"}</definedName>
    <definedName name="__hom1" localSheetId="19" hidden="1">{#N/A,#N/A,FALSE,"Assessment";#N/A,#N/A,FALSE,"Staffing";#N/A,#N/A,FALSE,"Hires";#N/A,#N/A,FALSE,"Assumptions"}</definedName>
    <definedName name="__hom1" localSheetId="20" hidden="1">{#N/A,#N/A,FALSE,"Assessment";#N/A,#N/A,FALSE,"Staffing";#N/A,#N/A,FALSE,"Hires";#N/A,#N/A,FALSE,"Assumptions"}</definedName>
    <definedName name="__hom1" localSheetId="21" hidden="1">{#N/A,#N/A,FALSE,"Assessment";#N/A,#N/A,FALSE,"Staffing";#N/A,#N/A,FALSE,"Hires";#N/A,#N/A,FALSE,"Assumptions"}</definedName>
    <definedName name="__hom1" localSheetId="39" hidden="1">{#N/A,#N/A,FALSE,"Assessment";#N/A,#N/A,FALSE,"Staffing";#N/A,#N/A,FALSE,"Hires";#N/A,#N/A,FALSE,"Assumptions"}</definedName>
    <definedName name="__hom1" localSheetId="40" hidden="1">{#N/A,#N/A,FALSE,"Assessment";#N/A,#N/A,FALSE,"Staffing";#N/A,#N/A,FALSE,"Hires";#N/A,#N/A,FALSE,"Assumptions"}</definedName>
    <definedName name="__hom1" localSheetId="41" hidden="1">{#N/A,#N/A,FALSE,"Assessment";#N/A,#N/A,FALSE,"Staffing";#N/A,#N/A,FALSE,"Hires";#N/A,#N/A,FALSE,"Assumptions"}</definedName>
    <definedName name="__hom1" localSheetId="43" hidden="1">{#N/A,#N/A,FALSE,"Assessment";#N/A,#N/A,FALSE,"Staffing";#N/A,#N/A,FALSE,"Hires";#N/A,#N/A,FALSE,"Assumptions"}</definedName>
    <definedName name="__hom1" localSheetId="48"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 hidden="1">{#N/A,#N/A,FALSE,"Assessment";#N/A,#N/A,FALSE,"Staffing";#N/A,#N/A,FALSE,"Hires";#N/A,#N/A,FALSE,"Assumptions"}</definedName>
    <definedName name="__kk1" localSheetId="2" hidden="1">{#N/A,#N/A,FALSE,"Assessment";#N/A,#N/A,FALSE,"Staffing";#N/A,#N/A,FALSE,"Hires";#N/A,#N/A,FALSE,"Assumptions"}</definedName>
    <definedName name="__kk1" localSheetId="0" hidden="1">{#N/A,#N/A,FALSE,"Assessment";#N/A,#N/A,FALSE,"Staffing";#N/A,#N/A,FALSE,"Hires";#N/A,#N/A,FALSE,"Assumptions"}</definedName>
    <definedName name="__kk1" localSheetId="30" hidden="1">{#N/A,#N/A,FALSE,"Assessment";#N/A,#N/A,FALSE,"Staffing";#N/A,#N/A,FALSE,"Hires";#N/A,#N/A,FALSE,"Assumptions"}</definedName>
    <definedName name="__kk1" localSheetId="12" hidden="1">{#N/A,#N/A,FALSE,"Assessment";#N/A,#N/A,FALSE,"Staffing";#N/A,#N/A,FALSE,"Hires";#N/A,#N/A,FALSE,"Assumptions"}</definedName>
    <definedName name="__kk1" localSheetId="38" hidden="1">{#N/A,#N/A,FALSE,"Assessment";#N/A,#N/A,FALSE,"Staffing";#N/A,#N/A,FALSE,"Hires";#N/A,#N/A,FALSE,"Assumptions"}</definedName>
    <definedName name="__kk1" localSheetId="10" hidden="1">{#N/A,#N/A,FALSE,"Assessment";#N/A,#N/A,FALSE,"Staffing";#N/A,#N/A,FALSE,"Hires";#N/A,#N/A,FALSE,"Assumptions"}</definedName>
    <definedName name="__kk1" localSheetId="11" hidden="1">{#N/A,#N/A,FALSE,"Assessment";#N/A,#N/A,FALSE,"Staffing";#N/A,#N/A,FALSE,"Hires";#N/A,#N/A,FALSE,"Assumptions"}</definedName>
    <definedName name="__kk1" localSheetId="3" hidden="1">{#N/A,#N/A,FALSE,"Assessment";#N/A,#N/A,FALSE,"Staffing";#N/A,#N/A,FALSE,"Hires";#N/A,#N/A,FALSE,"Assumptions"}</definedName>
    <definedName name="__kk1" localSheetId="4" hidden="1">{#N/A,#N/A,FALSE,"Assessment";#N/A,#N/A,FALSE,"Staffing";#N/A,#N/A,FALSE,"Hires";#N/A,#N/A,FALSE,"Assumptions"}</definedName>
    <definedName name="__kk1" localSheetId="6" hidden="1">{#N/A,#N/A,FALSE,"Assessment";#N/A,#N/A,FALSE,"Staffing";#N/A,#N/A,FALSE,"Hires";#N/A,#N/A,FALSE,"Assumptions"}</definedName>
    <definedName name="__kk1" localSheetId="7" hidden="1">{#N/A,#N/A,FALSE,"Assessment";#N/A,#N/A,FALSE,"Staffing";#N/A,#N/A,FALSE,"Hires";#N/A,#N/A,FALSE,"Assumptions"}</definedName>
    <definedName name="__kk1" localSheetId="8" hidden="1">{#N/A,#N/A,FALSE,"Assessment";#N/A,#N/A,FALSE,"Staffing";#N/A,#N/A,FALSE,"Hires";#N/A,#N/A,FALSE,"Assumptions"}</definedName>
    <definedName name="__kk1" localSheetId="9" hidden="1">{#N/A,#N/A,FALSE,"Assessment";#N/A,#N/A,FALSE,"Staffing";#N/A,#N/A,FALSE,"Hires";#N/A,#N/A,FALSE,"Assumptions"}</definedName>
    <definedName name="__kk1" localSheetId="31" hidden="1">{#N/A,#N/A,FALSE,"Assessment";#N/A,#N/A,FALSE,"Staffing";#N/A,#N/A,FALSE,"Hires";#N/A,#N/A,FALSE,"Assumptions"}</definedName>
    <definedName name="__kk1" localSheetId="32" hidden="1">{#N/A,#N/A,FALSE,"Assessment";#N/A,#N/A,FALSE,"Staffing";#N/A,#N/A,FALSE,"Hires";#N/A,#N/A,FALSE,"Assumptions"}</definedName>
    <definedName name="__kk1" localSheetId="13" hidden="1">{#N/A,#N/A,FALSE,"Assessment";#N/A,#N/A,FALSE,"Staffing";#N/A,#N/A,FALSE,"Hires";#N/A,#N/A,FALSE,"Assumptions"}</definedName>
    <definedName name="__kk1" localSheetId="22" hidden="1">{#N/A,#N/A,FALSE,"Assessment";#N/A,#N/A,FALSE,"Staffing";#N/A,#N/A,FALSE,"Hires";#N/A,#N/A,FALSE,"Assumptions"}</definedName>
    <definedName name="__kk1" localSheetId="23" hidden="1">{#N/A,#N/A,FALSE,"Assessment";#N/A,#N/A,FALSE,"Staffing";#N/A,#N/A,FALSE,"Hires";#N/A,#N/A,FALSE,"Assumptions"}</definedName>
    <definedName name="__kk1" localSheetId="14" hidden="1">{#N/A,#N/A,FALSE,"Assessment";#N/A,#N/A,FALSE,"Staffing";#N/A,#N/A,FALSE,"Hires";#N/A,#N/A,FALSE,"Assumptions"}</definedName>
    <definedName name="__kk1" localSheetId="15" hidden="1">{#N/A,#N/A,FALSE,"Assessment";#N/A,#N/A,FALSE,"Staffing";#N/A,#N/A,FALSE,"Hires";#N/A,#N/A,FALSE,"Assumptions"}</definedName>
    <definedName name="__kk1" localSheetId="16" hidden="1">{#N/A,#N/A,FALSE,"Assessment";#N/A,#N/A,FALSE,"Staffing";#N/A,#N/A,FALSE,"Hires";#N/A,#N/A,FALSE,"Assumptions"}</definedName>
    <definedName name="__kk1" localSheetId="17" hidden="1">{#N/A,#N/A,FALSE,"Assessment";#N/A,#N/A,FALSE,"Staffing";#N/A,#N/A,FALSE,"Hires";#N/A,#N/A,FALSE,"Assumptions"}</definedName>
    <definedName name="__kk1" localSheetId="18" hidden="1">{#N/A,#N/A,FALSE,"Assessment";#N/A,#N/A,FALSE,"Staffing";#N/A,#N/A,FALSE,"Hires";#N/A,#N/A,FALSE,"Assumptions"}</definedName>
    <definedName name="__kk1" localSheetId="19" hidden="1">{#N/A,#N/A,FALSE,"Assessment";#N/A,#N/A,FALSE,"Staffing";#N/A,#N/A,FALSE,"Hires";#N/A,#N/A,FALSE,"Assumptions"}</definedName>
    <definedName name="__kk1" localSheetId="20" hidden="1">{#N/A,#N/A,FALSE,"Assessment";#N/A,#N/A,FALSE,"Staffing";#N/A,#N/A,FALSE,"Hires";#N/A,#N/A,FALSE,"Assumptions"}</definedName>
    <definedName name="__kk1" localSheetId="21" hidden="1">{#N/A,#N/A,FALSE,"Assessment";#N/A,#N/A,FALSE,"Staffing";#N/A,#N/A,FALSE,"Hires";#N/A,#N/A,FALSE,"Assumptions"}</definedName>
    <definedName name="__kk1" localSheetId="39" hidden="1">{#N/A,#N/A,FALSE,"Assessment";#N/A,#N/A,FALSE,"Staffing";#N/A,#N/A,FALSE,"Hires";#N/A,#N/A,FALSE,"Assumptions"}</definedName>
    <definedName name="__kk1" localSheetId="40" hidden="1">{#N/A,#N/A,FALSE,"Assessment";#N/A,#N/A,FALSE,"Staffing";#N/A,#N/A,FALSE,"Hires";#N/A,#N/A,FALSE,"Assumptions"}</definedName>
    <definedName name="__kk1" localSheetId="41" hidden="1">{#N/A,#N/A,FALSE,"Assessment";#N/A,#N/A,FALSE,"Staffing";#N/A,#N/A,FALSE,"Hires";#N/A,#N/A,FALSE,"Assumptions"}</definedName>
    <definedName name="__kk1" localSheetId="43" hidden="1">{#N/A,#N/A,FALSE,"Assessment";#N/A,#N/A,FALSE,"Staffing";#N/A,#N/A,FALSE,"Hires";#N/A,#N/A,FALSE,"Assumptions"}</definedName>
    <definedName name="__kk1" localSheetId="48" hidden="1">{#N/A,#N/A,FALSE,"Assessment";#N/A,#N/A,FALSE,"Staffing";#N/A,#N/A,FALSE,"Hires";#N/A,#N/A,FALSE,"Assumptions"}</definedName>
    <definedName name="__kk1" hidden="1">{#N/A,#N/A,FALSE,"Assessment";#N/A,#N/A,FALSE,"Staffing";#N/A,#N/A,FALSE,"Hires";#N/A,#N/A,FALSE,"Assumptions"}</definedName>
    <definedName name="__KKK1" localSheetId="1" hidden="1">{#N/A,#N/A,FALSE,"Assessment";#N/A,#N/A,FALSE,"Staffing";#N/A,#N/A,FALSE,"Hires";#N/A,#N/A,FALSE,"Assumptions"}</definedName>
    <definedName name="__KKK1" localSheetId="2" hidden="1">{#N/A,#N/A,FALSE,"Assessment";#N/A,#N/A,FALSE,"Staffing";#N/A,#N/A,FALSE,"Hires";#N/A,#N/A,FALSE,"Assumptions"}</definedName>
    <definedName name="__KKK1" localSheetId="0" hidden="1">{#N/A,#N/A,FALSE,"Assessment";#N/A,#N/A,FALSE,"Staffing";#N/A,#N/A,FALSE,"Hires";#N/A,#N/A,FALSE,"Assumptions"}</definedName>
    <definedName name="__KKK1" localSheetId="30" hidden="1">{#N/A,#N/A,FALSE,"Assessment";#N/A,#N/A,FALSE,"Staffing";#N/A,#N/A,FALSE,"Hires";#N/A,#N/A,FALSE,"Assumptions"}</definedName>
    <definedName name="__KKK1" localSheetId="12" hidden="1">{#N/A,#N/A,FALSE,"Assessment";#N/A,#N/A,FALSE,"Staffing";#N/A,#N/A,FALSE,"Hires";#N/A,#N/A,FALSE,"Assumptions"}</definedName>
    <definedName name="__KKK1" localSheetId="38" hidden="1">{#N/A,#N/A,FALSE,"Assessment";#N/A,#N/A,FALSE,"Staffing";#N/A,#N/A,FALSE,"Hires";#N/A,#N/A,FALSE,"Assumptions"}</definedName>
    <definedName name="__KKK1" localSheetId="10" hidden="1">{#N/A,#N/A,FALSE,"Assessment";#N/A,#N/A,FALSE,"Staffing";#N/A,#N/A,FALSE,"Hires";#N/A,#N/A,FALSE,"Assumptions"}</definedName>
    <definedName name="__KKK1" localSheetId="11" hidden="1">{#N/A,#N/A,FALSE,"Assessment";#N/A,#N/A,FALSE,"Staffing";#N/A,#N/A,FALSE,"Hires";#N/A,#N/A,FALSE,"Assumptions"}</definedName>
    <definedName name="__KKK1" localSheetId="3" hidden="1">{#N/A,#N/A,FALSE,"Assessment";#N/A,#N/A,FALSE,"Staffing";#N/A,#N/A,FALSE,"Hires";#N/A,#N/A,FALSE,"Assumptions"}</definedName>
    <definedName name="__KKK1" localSheetId="4" hidden="1">{#N/A,#N/A,FALSE,"Assessment";#N/A,#N/A,FALSE,"Staffing";#N/A,#N/A,FALSE,"Hires";#N/A,#N/A,FALSE,"Assumptions"}</definedName>
    <definedName name="__KKK1" localSheetId="6" hidden="1">{#N/A,#N/A,FALSE,"Assessment";#N/A,#N/A,FALSE,"Staffing";#N/A,#N/A,FALSE,"Hires";#N/A,#N/A,FALSE,"Assumptions"}</definedName>
    <definedName name="__KKK1" localSheetId="7" hidden="1">{#N/A,#N/A,FALSE,"Assessment";#N/A,#N/A,FALSE,"Staffing";#N/A,#N/A,FALSE,"Hires";#N/A,#N/A,FALSE,"Assumptions"}</definedName>
    <definedName name="__KKK1" localSheetId="8" hidden="1">{#N/A,#N/A,FALSE,"Assessment";#N/A,#N/A,FALSE,"Staffing";#N/A,#N/A,FALSE,"Hires";#N/A,#N/A,FALSE,"Assumptions"}</definedName>
    <definedName name="__KKK1" localSheetId="9" hidden="1">{#N/A,#N/A,FALSE,"Assessment";#N/A,#N/A,FALSE,"Staffing";#N/A,#N/A,FALSE,"Hires";#N/A,#N/A,FALSE,"Assumptions"}</definedName>
    <definedName name="__KKK1" localSheetId="31" hidden="1">{#N/A,#N/A,FALSE,"Assessment";#N/A,#N/A,FALSE,"Staffing";#N/A,#N/A,FALSE,"Hires";#N/A,#N/A,FALSE,"Assumptions"}</definedName>
    <definedName name="__KKK1" localSheetId="32" hidden="1">{#N/A,#N/A,FALSE,"Assessment";#N/A,#N/A,FALSE,"Staffing";#N/A,#N/A,FALSE,"Hires";#N/A,#N/A,FALSE,"Assumptions"}</definedName>
    <definedName name="__KKK1" localSheetId="13" hidden="1">{#N/A,#N/A,FALSE,"Assessment";#N/A,#N/A,FALSE,"Staffing";#N/A,#N/A,FALSE,"Hires";#N/A,#N/A,FALSE,"Assumptions"}</definedName>
    <definedName name="__KKK1" localSheetId="22" hidden="1">{#N/A,#N/A,FALSE,"Assessment";#N/A,#N/A,FALSE,"Staffing";#N/A,#N/A,FALSE,"Hires";#N/A,#N/A,FALSE,"Assumptions"}</definedName>
    <definedName name="__KKK1" localSheetId="23" hidden="1">{#N/A,#N/A,FALSE,"Assessment";#N/A,#N/A,FALSE,"Staffing";#N/A,#N/A,FALSE,"Hires";#N/A,#N/A,FALSE,"Assumptions"}</definedName>
    <definedName name="__KKK1" localSheetId="14" hidden="1">{#N/A,#N/A,FALSE,"Assessment";#N/A,#N/A,FALSE,"Staffing";#N/A,#N/A,FALSE,"Hires";#N/A,#N/A,FALSE,"Assumptions"}</definedName>
    <definedName name="__KKK1" localSheetId="15" hidden="1">{#N/A,#N/A,FALSE,"Assessment";#N/A,#N/A,FALSE,"Staffing";#N/A,#N/A,FALSE,"Hires";#N/A,#N/A,FALSE,"Assumptions"}</definedName>
    <definedName name="__KKK1" localSheetId="16" hidden="1">{#N/A,#N/A,FALSE,"Assessment";#N/A,#N/A,FALSE,"Staffing";#N/A,#N/A,FALSE,"Hires";#N/A,#N/A,FALSE,"Assumptions"}</definedName>
    <definedName name="__KKK1" localSheetId="17" hidden="1">{#N/A,#N/A,FALSE,"Assessment";#N/A,#N/A,FALSE,"Staffing";#N/A,#N/A,FALSE,"Hires";#N/A,#N/A,FALSE,"Assumptions"}</definedName>
    <definedName name="__KKK1" localSheetId="18" hidden="1">{#N/A,#N/A,FALSE,"Assessment";#N/A,#N/A,FALSE,"Staffing";#N/A,#N/A,FALSE,"Hires";#N/A,#N/A,FALSE,"Assumptions"}</definedName>
    <definedName name="__KKK1" localSheetId="19" hidden="1">{#N/A,#N/A,FALSE,"Assessment";#N/A,#N/A,FALSE,"Staffing";#N/A,#N/A,FALSE,"Hires";#N/A,#N/A,FALSE,"Assumptions"}</definedName>
    <definedName name="__KKK1" localSheetId="20" hidden="1">{#N/A,#N/A,FALSE,"Assessment";#N/A,#N/A,FALSE,"Staffing";#N/A,#N/A,FALSE,"Hires";#N/A,#N/A,FALSE,"Assumptions"}</definedName>
    <definedName name="__KKK1" localSheetId="21" hidden="1">{#N/A,#N/A,FALSE,"Assessment";#N/A,#N/A,FALSE,"Staffing";#N/A,#N/A,FALSE,"Hires";#N/A,#N/A,FALSE,"Assumptions"}</definedName>
    <definedName name="__KKK1" localSheetId="39" hidden="1">{#N/A,#N/A,FALSE,"Assessment";#N/A,#N/A,FALSE,"Staffing";#N/A,#N/A,FALSE,"Hires";#N/A,#N/A,FALSE,"Assumptions"}</definedName>
    <definedName name="__KKK1" localSheetId="40" hidden="1">{#N/A,#N/A,FALSE,"Assessment";#N/A,#N/A,FALSE,"Staffing";#N/A,#N/A,FALSE,"Hires";#N/A,#N/A,FALSE,"Assumptions"}</definedName>
    <definedName name="__KKK1" localSheetId="41" hidden="1">{#N/A,#N/A,FALSE,"Assessment";#N/A,#N/A,FALSE,"Staffing";#N/A,#N/A,FALSE,"Hires";#N/A,#N/A,FALSE,"Assumptions"}</definedName>
    <definedName name="__KKK1" localSheetId="43" hidden="1">{#N/A,#N/A,FALSE,"Assessment";#N/A,#N/A,FALSE,"Staffing";#N/A,#N/A,FALSE,"Hires";#N/A,#N/A,FALSE,"Assumptions"}</definedName>
    <definedName name="__KKK1" localSheetId="48" hidden="1">{#N/A,#N/A,FALSE,"Assessment";#N/A,#N/A,FALSE,"Staffing";#N/A,#N/A,FALSE,"Hires";#N/A,#N/A,FALSE,"Assumptions"}</definedName>
    <definedName name="__KKK1" hidden="1">{#N/A,#N/A,FALSE,"Assessment";#N/A,#N/A,FALSE,"Staffing";#N/A,#N/A,FALSE,"Hires";#N/A,#N/A,FALSE,"Assumptions"}</definedName>
    <definedName name="__wrn1" localSheetId="1" hidden="1">{"holdco",#N/A,FALSE,"Summary Financials";"holdco",#N/A,FALSE,"Summary Financials"}</definedName>
    <definedName name="__wrn1" localSheetId="2" hidden="1">{"holdco",#N/A,FALSE,"Summary Financials";"holdco",#N/A,FALSE,"Summary Financials"}</definedName>
    <definedName name="__wrn1" localSheetId="0" hidden="1">{"holdco",#N/A,FALSE,"Summary Financials";"holdco",#N/A,FALSE,"Summary Financials"}</definedName>
    <definedName name="__wrn1" localSheetId="30" hidden="1">{"holdco",#N/A,FALSE,"Summary Financials";"holdco",#N/A,FALSE,"Summary Financials"}</definedName>
    <definedName name="__wrn1" localSheetId="12" hidden="1">{"holdco",#N/A,FALSE,"Summary Financials";"holdco",#N/A,FALSE,"Summary Financials"}</definedName>
    <definedName name="__wrn1" localSheetId="38" hidden="1">{"holdco",#N/A,FALSE,"Summary Financials";"holdco",#N/A,FALSE,"Summary Financials"}</definedName>
    <definedName name="__wrn1" localSheetId="10" hidden="1">{"holdco",#N/A,FALSE,"Summary Financials";"holdco",#N/A,FALSE,"Summary Financials"}</definedName>
    <definedName name="__wrn1" localSheetId="11" hidden="1">{"holdco",#N/A,FALSE,"Summary Financials";"holdco",#N/A,FALSE,"Summary Financials"}</definedName>
    <definedName name="__wrn1" localSheetId="3" hidden="1">{"holdco",#N/A,FALSE,"Summary Financials";"holdco",#N/A,FALSE,"Summary Financials"}</definedName>
    <definedName name="__wrn1" localSheetId="4" hidden="1">{"holdco",#N/A,FALSE,"Summary Financials";"holdco",#N/A,FALSE,"Summary Financials"}</definedName>
    <definedName name="__wrn1" localSheetId="6" hidden="1">{"holdco",#N/A,FALSE,"Summary Financials";"holdco",#N/A,FALSE,"Summary Financials"}</definedName>
    <definedName name="__wrn1" localSheetId="7" hidden="1">{"holdco",#N/A,FALSE,"Summary Financials";"holdco",#N/A,FALSE,"Summary Financials"}</definedName>
    <definedName name="__wrn1" localSheetId="8" hidden="1">{"holdco",#N/A,FALSE,"Summary Financials";"holdco",#N/A,FALSE,"Summary Financials"}</definedName>
    <definedName name="__wrn1" localSheetId="9" hidden="1">{"holdco",#N/A,FALSE,"Summary Financials";"holdco",#N/A,FALSE,"Summary Financials"}</definedName>
    <definedName name="__wrn1" localSheetId="31" hidden="1">{"holdco",#N/A,FALSE,"Summary Financials";"holdco",#N/A,FALSE,"Summary Financials"}</definedName>
    <definedName name="__wrn1" localSheetId="32" hidden="1">{"holdco",#N/A,FALSE,"Summary Financials";"holdco",#N/A,FALSE,"Summary Financials"}</definedName>
    <definedName name="__wrn1" localSheetId="13" hidden="1">{"holdco",#N/A,FALSE,"Summary Financials";"holdco",#N/A,FALSE,"Summary Financials"}</definedName>
    <definedName name="__wrn1" localSheetId="22" hidden="1">{"holdco",#N/A,FALSE,"Summary Financials";"holdco",#N/A,FALSE,"Summary Financials"}</definedName>
    <definedName name="__wrn1" localSheetId="23" hidden="1">{"holdco",#N/A,FALSE,"Summary Financials";"holdco",#N/A,FALSE,"Summary Financials"}</definedName>
    <definedName name="__wrn1" localSheetId="14" hidden="1">{"holdco",#N/A,FALSE,"Summary Financials";"holdco",#N/A,FALSE,"Summary Financials"}</definedName>
    <definedName name="__wrn1" localSheetId="15" hidden="1">{"holdco",#N/A,FALSE,"Summary Financials";"holdco",#N/A,FALSE,"Summary Financials"}</definedName>
    <definedName name="__wrn1" localSheetId="16" hidden="1">{"holdco",#N/A,FALSE,"Summary Financials";"holdco",#N/A,FALSE,"Summary Financials"}</definedName>
    <definedName name="__wrn1" localSheetId="17" hidden="1">{"holdco",#N/A,FALSE,"Summary Financials";"holdco",#N/A,FALSE,"Summary Financials"}</definedName>
    <definedName name="__wrn1" localSheetId="18" hidden="1">{"holdco",#N/A,FALSE,"Summary Financials";"holdco",#N/A,FALSE,"Summary Financials"}</definedName>
    <definedName name="__wrn1" localSheetId="19" hidden="1">{"holdco",#N/A,FALSE,"Summary Financials";"holdco",#N/A,FALSE,"Summary Financials"}</definedName>
    <definedName name="__wrn1" localSheetId="20" hidden="1">{"holdco",#N/A,FALSE,"Summary Financials";"holdco",#N/A,FALSE,"Summary Financials"}</definedName>
    <definedName name="__wrn1" localSheetId="21" hidden="1">{"holdco",#N/A,FALSE,"Summary Financials";"holdco",#N/A,FALSE,"Summary Financials"}</definedName>
    <definedName name="__wrn1" localSheetId="39" hidden="1">{"holdco",#N/A,FALSE,"Summary Financials";"holdco",#N/A,FALSE,"Summary Financials"}</definedName>
    <definedName name="__wrn1" localSheetId="40" hidden="1">{"holdco",#N/A,FALSE,"Summary Financials";"holdco",#N/A,FALSE,"Summary Financials"}</definedName>
    <definedName name="__wrn1" localSheetId="41" hidden="1">{"holdco",#N/A,FALSE,"Summary Financials";"holdco",#N/A,FALSE,"Summary Financials"}</definedName>
    <definedName name="__wrn1" localSheetId="43" hidden="1">{"holdco",#N/A,FALSE,"Summary Financials";"holdco",#N/A,FALSE,"Summary Financials"}</definedName>
    <definedName name="__wrn1" localSheetId="48" hidden="1">{"holdco",#N/A,FALSE,"Summary Financials";"holdco",#N/A,FALSE,"Summary Financials"}</definedName>
    <definedName name="__wrn1" hidden="1">{"holdco",#N/A,FALSE,"Summary Financials";"holdco",#N/A,FALSE,"Summary Financials"}</definedName>
    <definedName name="__wrn2" localSheetId="1" hidden="1">{"holdco",#N/A,FALSE,"Summary Financials";"holdco",#N/A,FALSE,"Summary Financials"}</definedName>
    <definedName name="__wrn2" localSheetId="2" hidden="1">{"holdco",#N/A,FALSE,"Summary Financials";"holdco",#N/A,FALSE,"Summary Financials"}</definedName>
    <definedName name="__wrn2" localSheetId="0" hidden="1">{"holdco",#N/A,FALSE,"Summary Financials";"holdco",#N/A,FALSE,"Summary Financials"}</definedName>
    <definedName name="__wrn2" localSheetId="30" hidden="1">{"holdco",#N/A,FALSE,"Summary Financials";"holdco",#N/A,FALSE,"Summary Financials"}</definedName>
    <definedName name="__wrn2" localSheetId="12" hidden="1">{"holdco",#N/A,FALSE,"Summary Financials";"holdco",#N/A,FALSE,"Summary Financials"}</definedName>
    <definedName name="__wrn2" localSheetId="38" hidden="1">{"holdco",#N/A,FALSE,"Summary Financials";"holdco",#N/A,FALSE,"Summary Financials"}</definedName>
    <definedName name="__wrn2" localSheetId="10" hidden="1">{"holdco",#N/A,FALSE,"Summary Financials";"holdco",#N/A,FALSE,"Summary Financials"}</definedName>
    <definedName name="__wrn2" localSheetId="11" hidden="1">{"holdco",#N/A,FALSE,"Summary Financials";"holdco",#N/A,FALSE,"Summary Financials"}</definedName>
    <definedName name="__wrn2" localSheetId="3" hidden="1">{"holdco",#N/A,FALSE,"Summary Financials";"holdco",#N/A,FALSE,"Summary Financials"}</definedName>
    <definedName name="__wrn2" localSheetId="4" hidden="1">{"holdco",#N/A,FALSE,"Summary Financials";"holdco",#N/A,FALSE,"Summary Financials"}</definedName>
    <definedName name="__wrn2" localSheetId="6" hidden="1">{"holdco",#N/A,FALSE,"Summary Financials";"holdco",#N/A,FALSE,"Summary Financials"}</definedName>
    <definedName name="__wrn2" localSheetId="7" hidden="1">{"holdco",#N/A,FALSE,"Summary Financials";"holdco",#N/A,FALSE,"Summary Financials"}</definedName>
    <definedName name="__wrn2" localSheetId="8" hidden="1">{"holdco",#N/A,FALSE,"Summary Financials";"holdco",#N/A,FALSE,"Summary Financials"}</definedName>
    <definedName name="__wrn2" localSheetId="9" hidden="1">{"holdco",#N/A,FALSE,"Summary Financials";"holdco",#N/A,FALSE,"Summary Financials"}</definedName>
    <definedName name="__wrn2" localSheetId="31" hidden="1">{"holdco",#N/A,FALSE,"Summary Financials";"holdco",#N/A,FALSE,"Summary Financials"}</definedName>
    <definedName name="__wrn2" localSheetId="32" hidden="1">{"holdco",#N/A,FALSE,"Summary Financials";"holdco",#N/A,FALSE,"Summary Financials"}</definedName>
    <definedName name="__wrn2" localSheetId="13" hidden="1">{"holdco",#N/A,FALSE,"Summary Financials";"holdco",#N/A,FALSE,"Summary Financials"}</definedName>
    <definedName name="__wrn2" localSheetId="22" hidden="1">{"holdco",#N/A,FALSE,"Summary Financials";"holdco",#N/A,FALSE,"Summary Financials"}</definedName>
    <definedName name="__wrn2" localSheetId="23" hidden="1">{"holdco",#N/A,FALSE,"Summary Financials";"holdco",#N/A,FALSE,"Summary Financials"}</definedName>
    <definedName name="__wrn2" localSheetId="14" hidden="1">{"holdco",#N/A,FALSE,"Summary Financials";"holdco",#N/A,FALSE,"Summary Financials"}</definedName>
    <definedName name="__wrn2" localSheetId="15" hidden="1">{"holdco",#N/A,FALSE,"Summary Financials";"holdco",#N/A,FALSE,"Summary Financials"}</definedName>
    <definedName name="__wrn2" localSheetId="16" hidden="1">{"holdco",#N/A,FALSE,"Summary Financials";"holdco",#N/A,FALSE,"Summary Financials"}</definedName>
    <definedName name="__wrn2" localSheetId="17" hidden="1">{"holdco",#N/A,FALSE,"Summary Financials";"holdco",#N/A,FALSE,"Summary Financials"}</definedName>
    <definedName name="__wrn2" localSheetId="18" hidden="1">{"holdco",#N/A,FALSE,"Summary Financials";"holdco",#N/A,FALSE,"Summary Financials"}</definedName>
    <definedName name="__wrn2" localSheetId="19" hidden="1">{"holdco",#N/A,FALSE,"Summary Financials";"holdco",#N/A,FALSE,"Summary Financials"}</definedName>
    <definedName name="__wrn2" localSheetId="20" hidden="1">{"holdco",#N/A,FALSE,"Summary Financials";"holdco",#N/A,FALSE,"Summary Financials"}</definedName>
    <definedName name="__wrn2" localSheetId="21" hidden="1">{"holdco",#N/A,FALSE,"Summary Financials";"holdco",#N/A,FALSE,"Summary Financials"}</definedName>
    <definedName name="__wrn2" localSheetId="39" hidden="1">{"holdco",#N/A,FALSE,"Summary Financials";"holdco",#N/A,FALSE,"Summary Financials"}</definedName>
    <definedName name="__wrn2" localSheetId="40" hidden="1">{"holdco",#N/A,FALSE,"Summary Financials";"holdco",#N/A,FALSE,"Summary Financials"}</definedName>
    <definedName name="__wrn2" localSheetId="41" hidden="1">{"holdco",#N/A,FALSE,"Summary Financials";"holdco",#N/A,FALSE,"Summary Financials"}</definedName>
    <definedName name="__wrn2" localSheetId="43" hidden="1">{"holdco",#N/A,FALSE,"Summary Financials";"holdco",#N/A,FALSE,"Summary Financials"}</definedName>
    <definedName name="__wrn2" localSheetId="48" hidden="1">{"holdco",#N/A,FALSE,"Summary Financials";"holdco",#N/A,FALSE,"Summary Financials"}</definedName>
    <definedName name="__wrn2" hidden="1">{"holdco",#N/A,FALSE,"Summary Financials";"holdco",#N/A,FALSE,"Summary Financials"}</definedName>
    <definedName name="__wrn3" localSheetId="1" hidden="1">{"holdco",#N/A,FALSE,"Summary Financials";"holdco",#N/A,FALSE,"Summary Financials"}</definedName>
    <definedName name="__wrn3" localSheetId="2" hidden="1">{"holdco",#N/A,FALSE,"Summary Financials";"holdco",#N/A,FALSE,"Summary Financials"}</definedName>
    <definedName name="__wrn3" localSheetId="0" hidden="1">{"holdco",#N/A,FALSE,"Summary Financials";"holdco",#N/A,FALSE,"Summary Financials"}</definedName>
    <definedName name="__wrn3" localSheetId="30" hidden="1">{"holdco",#N/A,FALSE,"Summary Financials";"holdco",#N/A,FALSE,"Summary Financials"}</definedName>
    <definedName name="__wrn3" localSheetId="12" hidden="1">{"holdco",#N/A,FALSE,"Summary Financials";"holdco",#N/A,FALSE,"Summary Financials"}</definedName>
    <definedName name="__wrn3" localSheetId="38" hidden="1">{"holdco",#N/A,FALSE,"Summary Financials";"holdco",#N/A,FALSE,"Summary Financials"}</definedName>
    <definedName name="__wrn3" localSheetId="10" hidden="1">{"holdco",#N/A,FALSE,"Summary Financials";"holdco",#N/A,FALSE,"Summary Financials"}</definedName>
    <definedName name="__wrn3" localSheetId="11" hidden="1">{"holdco",#N/A,FALSE,"Summary Financials";"holdco",#N/A,FALSE,"Summary Financials"}</definedName>
    <definedName name="__wrn3" localSheetId="3" hidden="1">{"holdco",#N/A,FALSE,"Summary Financials";"holdco",#N/A,FALSE,"Summary Financials"}</definedName>
    <definedName name="__wrn3" localSheetId="4" hidden="1">{"holdco",#N/A,FALSE,"Summary Financials";"holdco",#N/A,FALSE,"Summary Financials"}</definedName>
    <definedName name="__wrn3" localSheetId="6" hidden="1">{"holdco",#N/A,FALSE,"Summary Financials";"holdco",#N/A,FALSE,"Summary Financials"}</definedName>
    <definedName name="__wrn3" localSheetId="7" hidden="1">{"holdco",#N/A,FALSE,"Summary Financials";"holdco",#N/A,FALSE,"Summary Financials"}</definedName>
    <definedName name="__wrn3" localSheetId="8" hidden="1">{"holdco",#N/A,FALSE,"Summary Financials";"holdco",#N/A,FALSE,"Summary Financials"}</definedName>
    <definedName name="__wrn3" localSheetId="9" hidden="1">{"holdco",#N/A,FALSE,"Summary Financials";"holdco",#N/A,FALSE,"Summary Financials"}</definedName>
    <definedName name="__wrn3" localSheetId="31" hidden="1">{"holdco",#N/A,FALSE,"Summary Financials";"holdco",#N/A,FALSE,"Summary Financials"}</definedName>
    <definedName name="__wrn3" localSheetId="32" hidden="1">{"holdco",#N/A,FALSE,"Summary Financials";"holdco",#N/A,FALSE,"Summary Financials"}</definedName>
    <definedName name="__wrn3" localSheetId="13" hidden="1">{"holdco",#N/A,FALSE,"Summary Financials";"holdco",#N/A,FALSE,"Summary Financials"}</definedName>
    <definedName name="__wrn3" localSheetId="22" hidden="1">{"holdco",#N/A,FALSE,"Summary Financials";"holdco",#N/A,FALSE,"Summary Financials"}</definedName>
    <definedName name="__wrn3" localSheetId="23" hidden="1">{"holdco",#N/A,FALSE,"Summary Financials";"holdco",#N/A,FALSE,"Summary Financials"}</definedName>
    <definedName name="__wrn3" localSheetId="14" hidden="1">{"holdco",#N/A,FALSE,"Summary Financials";"holdco",#N/A,FALSE,"Summary Financials"}</definedName>
    <definedName name="__wrn3" localSheetId="15" hidden="1">{"holdco",#N/A,FALSE,"Summary Financials";"holdco",#N/A,FALSE,"Summary Financials"}</definedName>
    <definedName name="__wrn3" localSheetId="16" hidden="1">{"holdco",#N/A,FALSE,"Summary Financials";"holdco",#N/A,FALSE,"Summary Financials"}</definedName>
    <definedName name="__wrn3" localSheetId="17" hidden="1">{"holdco",#N/A,FALSE,"Summary Financials";"holdco",#N/A,FALSE,"Summary Financials"}</definedName>
    <definedName name="__wrn3" localSheetId="18" hidden="1">{"holdco",#N/A,FALSE,"Summary Financials";"holdco",#N/A,FALSE,"Summary Financials"}</definedName>
    <definedName name="__wrn3" localSheetId="19" hidden="1">{"holdco",#N/A,FALSE,"Summary Financials";"holdco",#N/A,FALSE,"Summary Financials"}</definedName>
    <definedName name="__wrn3" localSheetId="20" hidden="1">{"holdco",#N/A,FALSE,"Summary Financials";"holdco",#N/A,FALSE,"Summary Financials"}</definedName>
    <definedName name="__wrn3" localSheetId="21" hidden="1">{"holdco",#N/A,FALSE,"Summary Financials";"holdco",#N/A,FALSE,"Summary Financials"}</definedName>
    <definedName name="__wrn3" localSheetId="39" hidden="1">{"holdco",#N/A,FALSE,"Summary Financials";"holdco",#N/A,FALSE,"Summary Financials"}</definedName>
    <definedName name="__wrn3" localSheetId="40" hidden="1">{"holdco",#N/A,FALSE,"Summary Financials";"holdco",#N/A,FALSE,"Summary Financials"}</definedName>
    <definedName name="__wrn3" localSheetId="41" hidden="1">{"holdco",#N/A,FALSE,"Summary Financials";"holdco",#N/A,FALSE,"Summary Financials"}</definedName>
    <definedName name="__wrn3" localSheetId="43" hidden="1">{"holdco",#N/A,FALSE,"Summary Financials";"holdco",#N/A,FALSE,"Summary Financials"}</definedName>
    <definedName name="__wrn3" localSheetId="48" hidden="1">{"holdco",#N/A,FALSE,"Summary Financials";"holdco",#N/A,FALSE,"Summary Financials"}</definedName>
    <definedName name="__wrn3" hidden="1">{"holdco",#N/A,FALSE,"Summary Financials";"holdco",#N/A,FALSE,"Summary Financials"}</definedName>
    <definedName name="__wrn7" localSheetId="1" hidden="1">{"Model Summary",#N/A,FALSE,"Print Chart";"Holdco",#N/A,FALSE,"Print Chart";"Genco",#N/A,FALSE,"Print Chart";"Servco",#N/A,FALSE,"Print Chart";"Genco_Detail",#N/A,FALSE,"Summary Financials";"Servco_Detail",#N/A,FALSE,"Summary Financials"}</definedName>
    <definedName name="__wrn7" localSheetId="2" hidden="1">{"Model Summary",#N/A,FALSE,"Print Chart";"Holdco",#N/A,FALSE,"Print Chart";"Genco",#N/A,FALSE,"Print Chart";"Servco",#N/A,FALSE,"Print Chart";"Genco_Detail",#N/A,FALSE,"Summary Financials";"Servco_Detail",#N/A,FALSE,"Summary Financials"}</definedName>
    <definedName name="__wrn7" localSheetId="0" hidden="1">{"Model Summary",#N/A,FALSE,"Print Chart";"Holdco",#N/A,FALSE,"Print Chart";"Genco",#N/A,FALSE,"Print Chart";"Servco",#N/A,FALSE,"Print Chart";"Genco_Detail",#N/A,FALSE,"Summary Financials";"Servco_Detail",#N/A,FALSE,"Summary Financials"}</definedName>
    <definedName name="__wrn7" localSheetId="30" hidden="1">{"Model Summary",#N/A,FALSE,"Print Chart";"Holdco",#N/A,FALSE,"Print Chart";"Genco",#N/A,FALSE,"Print Chart";"Servco",#N/A,FALSE,"Print Chart";"Genco_Detail",#N/A,FALSE,"Summary Financials";"Servco_Detail",#N/A,FALSE,"Summary Financials"}</definedName>
    <definedName name="__wrn7" localSheetId="12" hidden="1">{"Model Summary",#N/A,FALSE,"Print Chart";"Holdco",#N/A,FALSE,"Print Chart";"Genco",#N/A,FALSE,"Print Chart";"Servco",#N/A,FALSE,"Print Chart";"Genco_Detail",#N/A,FALSE,"Summary Financials";"Servco_Detail",#N/A,FALSE,"Summary Financials"}</definedName>
    <definedName name="__wrn7" localSheetId="38" hidden="1">{"Model Summary",#N/A,FALSE,"Print Chart";"Holdco",#N/A,FALSE,"Print Chart";"Genco",#N/A,FALSE,"Print Chart";"Servco",#N/A,FALSE,"Print Chart";"Genco_Detail",#N/A,FALSE,"Summary Financials";"Servco_Detail",#N/A,FALSE,"Summary Financials"}</definedName>
    <definedName name="__wrn7" localSheetId="10" hidden="1">{"Model Summary",#N/A,FALSE,"Print Chart";"Holdco",#N/A,FALSE,"Print Chart";"Genco",#N/A,FALSE,"Print Chart";"Servco",#N/A,FALSE,"Print Chart";"Genco_Detail",#N/A,FALSE,"Summary Financials";"Servco_Detail",#N/A,FALSE,"Summary Financials"}</definedName>
    <definedName name="__wrn7" localSheetId="11" hidden="1">{"Model Summary",#N/A,FALSE,"Print Chart";"Holdco",#N/A,FALSE,"Print Chart";"Genco",#N/A,FALSE,"Print Chart";"Servco",#N/A,FALSE,"Print Chart";"Genco_Detail",#N/A,FALSE,"Summary Financials";"Servco_Detail",#N/A,FALSE,"Summary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localSheetId="4" hidden="1">{"Model Summary",#N/A,FALSE,"Print Chart";"Holdco",#N/A,FALSE,"Print Chart";"Genco",#N/A,FALSE,"Print Chart";"Servco",#N/A,FALSE,"Print Chart";"Genco_Detail",#N/A,FALSE,"Summary Financials";"Servco_Detail",#N/A,FALSE,"Summary Financials"}</definedName>
    <definedName name="__wrn7" localSheetId="6" hidden="1">{"Model Summary",#N/A,FALSE,"Print Chart";"Holdco",#N/A,FALSE,"Print Chart";"Genco",#N/A,FALSE,"Print Chart";"Servco",#N/A,FALSE,"Print Chart";"Genco_Detail",#N/A,FALSE,"Summary Financials";"Servco_Detail",#N/A,FALSE,"Summary Financials"}</definedName>
    <definedName name="__wrn7" localSheetId="7" hidden="1">{"Model Summary",#N/A,FALSE,"Print Chart";"Holdco",#N/A,FALSE,"Print Chart";"Genco",#N/A,FALSE,"Print Chart";"Servco",#N/A,FALSE,"Print Chart";"Genco_Detail",#N/A,FALSE,"Summary Financials";"Servco_Detail",#N/A,FALSE,"Summary Financials"}</definedName>
    <definedName name="__wrn7" localSheetId="8" hidden="1">{"Model Summary",#N/A,FALSE,"Print Chart";"Holdco",#N/A,FALSE,"Print Chart";"Genco",#N/A,FALSE,"Print Chart";"Servco",#N/A,FALSE,"Print Chart";"Genco_Detail",#N/A,FALSE,"Summary Financials";"Servco_Detail",#N/A,FALSE,"Summary Financials"}</definedName>
    <definedName name="__wrn7" localSheetId="9" hidden="1">{"Model Summary",#N/A,FALSE,"Print Chart";"Holdco",#N/A,FALSE,"Print Chart";"Genco",#N/A,FALSE,"Print Chart";"Servco",#N/A,FALSE,"Print Chart";"Genco_Detail",#N/A,FALSE,"Summary Financials";"Servco_Detail",#N/A,FALSE,"Summary Financials"}</definedName>
    <definedName name="__wrn7" localSheetId="31" hidden="1">{"Model Summary",#N/A,FALSE,"Print Chart";"Holdco",#N/A,FALSE,"Print Chart";"Genco",#N/A,FALSE,"Print Chart";"Servco",#N/A,FALSE,"Print Chart";"Genco_Detail",#N/A,FALSE,"Summary Financials";"Servco_Detail",#N/A,FALSE,"Summary Financials"}</definedName>
    <definedName name="__wrn7" localSheetId="32" hidden="1">{"Model Summary",#N/A,FALSE,"Print Chart";"Holdco",#N/A,FALSE,"Print Chart";"Genco",#N/A,FALSE,"Print Chart";"Servco",#N/A,FALSE,"Print Chart";"Genco_Detail",#N/A,FALSE,"Summary Financials";"Servco_Detail",#N/A,FALSE,"Summary Financials"}</definedName>
    <definedName name="__wrn7" localSheetId="13" hidden="1">{"Model Summary",#N/A,FALSE,"Print Chart";"Holdco",#N/A,FALSE,"Print Chart";"Genco",#N/A,FALSE,"Print Chart";"Servco",#N/A,FALSE,"Print Chart";"Genco_Detail",#N/A,FALSE,"Summary Financials";"Servco_Detail",#N/A,FALSE,"Summary Financials"}</definedName>
    <definedName name="__wrn7" localSheetId="22" hidden="1">{"Model Summary",#N/A,FALSE,"Print Chart";"Holdco",#N/A,FALSE,"Print Chart";"Genco",#N/A,FALSE,"Print Chart";"Servco",#N/A,FALSE,"Print Chart";"Genco_Detail",#N/A,FALSE,"Summary Financials";"Servco_Detail",#N/A,FALSE,"Summary Financials"}</definedName>
    <definedName name="__wrn7" localSheetId="23" hidden="1">{"Model Summary",#N/A,FALSE,"Print Chart";"Holdco",#N/A,FALSE,"Print Chart";"Genco",#N/A,FALSE,"Print Chart";"Servco",#N/A,FALSE,"Print Chart";"Genco_Detail",#N/A,FALSE,"Summary Financials";"Servco_Detail",#N/A,FALSE,"Summary Financials"}</definedName>
    <definedName name="__wrn7" localSheetId="14" hidden="1">{"Model Summary",#N/A,FALSE,"Print Chart";"Holdco",#N/A,FALSE,"Print Chart";"Genco",#N/A,FALSE,"Print Chart";"Servco",#N/A,FALSE,"Print Chart";"Genco_Detail",#N/A,FALSE,"Summary Financials";"Servco_Detail",#N/A,FALSE,"Summary Financials"}</definedName>
    <definedName name="__wrn7" localSheetId="15" hidden="1">{"Model Summary",#N/A,FALSE,"Print Chart";"Holdco",#N/A,FALSE,"Print Chart";"Genco",#N/A,FALSE,"Print Chart";"Servco",#N/A,FALSE,"Print Chart";"Genco_Detail",#N/A,FALSE,"Summary Financials";"Servco_Detail",#N/A,FALSE,"Summary Financials"}</definedName>
    <definedName name="__wrn7" localSheetId="16" hidden="1">{"Model Summary",#N/A,FALSE,"Print Chart";"Holdco",#N/A,FALSE,"Print Chart";"Genco",#N/A,FALSE,"Print Chart";"Servco",#N/A,FALSE,"Print Chart";"Genco_Detail",#N/A,FALSE,"Summary Financials";"Servco_Detail",#N/A,FALSE,"Summary Financials"}</definedName>
    <definedName name="__wrn7" localSheetId="17" hidden="1">{"Model Summary",#N/A,FALSE,"Print Chart";"Holdco",#N/A,FALSE,"Print Chart";"Genco",#N/A,FALSE,"Print Chart";"Servco",#N/A,FALSE,"Print Chart";"Genco_Detail",#N/A,FALSE,"Summary Financials";"Servco_Detail",#N/A,FALSE,"Summary Financials"}</definedName>
    <definedName name="__wrn7" localSheetId="18" hidden="1">{"Model Summary",#N/A,FALSE,"Print Chart";"Holdco",#N/A,FALSE,"Print Chart";"Genco",#N/A,FALSE,"Print Chart";"Servco",#N/A,FALSE,"Print Chart";"Genco_Detail",#N/A,FALSE,"Summary Financials";"Servco_Detail",#N/A,FALSE,"Summary Financials"}</definedName>
    <definedName name="__wrn7" localSheetId="19" hidden="1">{"Model Summary",#N/A,FALSE,"Print Chart";"Holdco",#N/A,FALSE,"Print Chart";"Genco",#N/A,FALSE,"Print Chart";"Servco",#N/A,FALSE,"Print Chart";"Genco_Detail",#N/A,FALSE,"Summary Financials";"Servco_Detail",#N/A,FALSE,"Summary Financials"}</definedName>
    <definedName name="__wrn7" localSheetId="20" hidden="1">{"Model Summary",#N/A,FALSE,"Print Chart";"Holdco",#N/A,FALSE,"Print Chart";"Genco",#N/A,FALSE,"Print Chart";"Servco",#N/A,FALSE,"Print Chart";"Genco_Detail",#N/A,FALSE,"Summary Financials";"Servco_Detail",#N/A,FALSE,"Summary Financials"}</definedName>
    <definedName name="__wrn7" localSheetId="21" hidden="1">{"Model Summary",#N/A,FALSE,"Print Chart";"Holdco",#N/A,FALSE,"Print Chart";"Genco",#N/A,FALSE,"Print Chart";"Servco",#N/A,FALSE,"Print Chart";"Genco_Detail",#N/A,FALSE,"Summary Financials";"Servco_Detail",#N/A,FALSE,"Summary Financials"}</definedName>
    <definedName name="__wrn7" localSheetId="39" hidden="1">{"Model Summary",#N/A,FALSE,"Print Chart";"Holdco",#N/A,FALSE,"Print Chart";"Genco",#N/A,FALSE,"Print Chart";"Servco",#N/A,FALSE,"Print Chart";"Genco_Detail",#N/A,FALSE,"Summary Financials";"Servco_Detail",#N/A,FALSE,"Summary Financials"}</definedName>
    <definedName name="__wrn7" localSheetId="40" hidden="1">{"Model Summary",#N/A,FALSE,"Print Chart";"Holdco",#N/A,FALSE,"Print Chart";"Genco",#N/A,FALSE,"Print Chart";"Servco",#N/A,FALSE,"Print Chart";"Genco_Detail",#N/A,FALSE,"Summary Financials";"Servco_Detail",#N/A,FALSE,"Summary Financials"}</definedName>
    <definedName name="__wrn7" localSheetId="41" hidden="1">{"Model Summary",#N/A,FALSE,"Print Chart";"Holdco",#N/A,FALSE,"Print Chart";"Genco",#N/A,FALSE,"Print Chart";"Servco",#N/A,FALSE,"Print Chart";"Genco_Detail",#N/A,FALSE,"Summary Financials";"Servco_Detail",#N/A,FALSE,"Summary Financials"}</definedName>
    <definedName name="__wrn7" localSheetId="43" hidden="1">{"Model Summary",#N/A,FALSE,"Print Chart";"Holdco",#N/A,FALSE,"Print Chart";"Genco",#N/A,FALSE,"Print Chart";"Servco",#N/A,FALSE,"Print Chart";"Genco_Detail",#N/A,FALSE,"Summary Financials";"Servco_Detail",#N/A,FALSE,"Summary Financials"}</definedName>
    <definedName name="__wrn7" localSheetId="48"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 hidden="1">{"holdco",#N/A,FALSE,"Summary Financials";"holdco",#N/A,FALSE,"Summary Financials"}</definedName>
    <definedName name="__wrn8" localSheetId="2" hidden="1">{"holdco",#N/A,FALSE,"Summary Financials";"holdco",#N/A,FALSE,"Summary Financials"}</definedName>
    <definedName name="__wrn8" localSheetId="0" hidden="1">{"holdco",#N/A,FALSE,"Summary Financials";"holdco",#N/A,FALSE,"Summary Financials"}</definedName>
    <definedName name="__wrn8" localSheetId="30" hidden="1">{"holdco",#N/A,FALSE,"Summary Financials";"holdco",#N/A,FALSE,"Summary Financials"}</definedName>
    <definedName name="__wrn8" localSheetId="12" hidden="1">{"holdco",#N/A,FALSE,"Summary Financials";"holdco",#N/A,FALSE,"Summary Financials"}</definedName>
    <definedName name="__wrn8" localSheetId="38" hidden="1">{"holdco",#N/A,FALSE,"Summary Financials";"holdco",#N/A,FALSE,"Summary Financials"}</definedName>
    <definedName name="__wrn8" localSheetId="10" hidden="1">{"holdco",#N/A,FALSE,"Summary Financials";"holdco",#N/A,FALSE,"Summary Financials"}</definedName>
    <definedName name="__wrn8" localSheetId="11" hidden="1">{"holdco",#N/A,FALSE,"Summary Financials";"holdco",#N/A,FALSE,"Summary Financials"}</definedName>
    <definedName name="__wrn8" localSheetId="3" hidden="1">{"holdco",#N/A,FALSE,"Summary Financials";"holdco",#N/A,FALSE,"Summary Financials"}</definedName>
    <definedName name="__wrn8" localSheetId="4" hidden="1">{"holdco",#N/A,FALSE,"Summary Financials";"holdco",#N/A,FALSE,"Summary Financials"}</definedName>
    <definedName name="__wrn8" localSheetId="6" hidden="1">{"holdco",#N/A,FALSE,"Summary Financials";"holdco",#N/A,FALSE,"Summary Financials"}</definedName>
    <definedName name="__wrn8" localSheetId="7" hidden="1">{"holdco",#N/A,FALSE,"Summary Financials";"holdco",#N/A,FALSE,"Summary Financials"}</definedName>
    <definedName name="__wrn8" localSheetId="8" hidden="1">{"holdco",#N/A,FALSE,"Summary Financials";"holdco",#N/A,FALSE,"Summary Financials"}</definedName>
    <definedName name="__wrn8" localSheetId="9" hidden="1">{"holdco",#N/A,FALSE,"Summary Financials";"holdco",#N/A,FALSE,"Summary Financials"}</definedName>
    <definedName name="__wrn8" localSheetId="31" hidden="1">{"holdco",#N/A,FALSE,"Summary Financials";"holdco",#N/A,FALSE,"Summary Financials"}</definedName>
    <definedName name="__wrn8" localSheetId="32" hidden="1">{"holdco",#N/A,FALSE,"Summary Financials";"holdco",#N/A,FALSE,"Summary Financials"}</definedName>
    <definedName name="__wrn8" localSheetId="13" hidden="1">{"holdco",#N/A,FALSE,"Summary Financials";"holdco",#N/A,FALSE,"Summary Financials"}</definedName>
    <definedName name="__wrn8" localSheetId="22" hidden="1">{"holdco",#N/A,FALSE,"Summary Financials";"holdco",#N/A,FALSE,"Summary Financials"}</definedName>
    <definedName name="__wrn8" localSheetId="23" hidden="1">{"holdco",#N/A,FALSE,"Summary Financials";"holdco",#N/A,FALSE,"Summary Financials"}</definedName>
    <definedName name="__wrn8" localSheetId="14" hidden="1">{"holdco",#N/A,FALSE,"Summary Financials";"holdco",#N/A,FALSE,"Summary Financials"}</definedName>
    <definedName name="__wrn8" localSheetId="15" hidden="1">{"holdco",#N/A,FALSE,"Summary Financials";"holdco",#N/A,FALSE,"Summary Financials"}</definedName>
    <definedName name="__wrn8" localSheetId="16" hidden="1">{"holdco",#N/A,FALSE,"Summary Financials";"holdco",#N/A,FALSE,"Summary Financials"}</definedName>
    <definedName name="__wrn8" localSheetId="17" hidden="1">{"holdco",#N/A,FALSE,"Summary Financials";"holdco",#N/A,FALSE,"Summary Financials"}</definedName>
    <definedName name="__wrn8" localSheetId="18" hidden="1">{"holdco",#N/A,FALSE,"Summary Financials";"holdco",#N/A,FALSE,"Summary Financials"}</definedName>
    <definedName name="__wrn8" localSheetId="19" hidden="1">{"holdco",#N/A,FALSE,"Summary Financials";"holdco",#N/A,FALSE,"Summary Financials"}</definedName>
    <definedName name="__wrn8" localSheetId="20" hidden="1">{"holdco",#N/A,FALSE,"Summary Financials";"holdco",#N/A,FALSE,"Summary Financials"}</definedName>
    <definedName name="__wrn8" localSheetId="21" hidden="1">{"holdco",#N/A,FALSE,"Summary Financials";"holdco",#N/A,FALSE,"Summary Financials"}</definedName>
    <definedName name="__wrn8" localSheetId="39" hidden="1">{"holdco",#N/A,FALSE,"Summary Financials";"holdco",#N/A,FALSE,"Summary Financials"}</definedName>
    <definedName name="__wrn8" localSheetId="40" hidden="1">{"holdco",#N/A,FALSE,"Summary Financials";"holdco",#N/A,FALSE,"Summary Financials"}</definedName>
    <definedName name="__wrn8" localSheetId="41" hidden="1">{"holdco",#N/A,FALSE,"Summary Financials";"holdco",#N/A,FALSE,"Summary Financials"}</definedName>
    <definedName name="__wrn8" localSheetId="43" hidden="1">{"holdco",#N/A,FALSE,"Summary Financials";"holdco",#N/A,FALSE,"Summary Financials"}</definedName>
    <definedName name="__wrn8" localSheetId="48"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Ref199319870" localSheetId="33">TableED3_ENWL_LRE_Request!$A$2</definedName>
    <definedName name="_Ref199331182" localSheetId="34">TableED4_LRE_EJP_Assessment!$A$2</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wvu.CapersView." hidden="1">#REF!</definedName>
    <definedName name="Cwvu.Japan_Capers_Ed_Pub." hidden="1">#REF!</definedName>
    <definedName name="ExternalData_1" localSheetId="58" hidden="1">Project_Data!$A$1:$P$68</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_All_AGroups" localSheetId="37">#REF!</definedName>
    <definedName name="list_All_AGroups" localSheetId="27">#REF!</definedName>
    <definedName name="list_All_AGroups" localSheetId="28">#REF!</definedName>
    <definedName name="list_All_AGroups" localSheetId="51">#REF!</definedName>
    <definedName name="list_All_AGroups" localSheetId="52">#REF!</definedName>
    <definedName name="list_All_AGroups" localSheetId="53">#REF!</definedName>
    <definedName name="list_All_AGroups" localSheetId="54">#REF!</definedName>
    <definedName name="list_All_AGroups" localSheetId="10">#REF!</definedName>
    <definedName name="list_All_AGroups" localSheetId="11">#REF!</definedName>
    <definedName name="list_All_AGroups" localSheetId="8">#REF!</definedName>
    <definedName name="list_All_AGroups" localSheetId="22">#REF!</definedName>
    <definedName name="list_All_AGroups" localSheetId="23">#REF!</definedName>
    <definedName name="list_All_AGroups" localSheetId="16">#REF!</definedName>
    <definedName name="list_All_AGroups" localSheetId="17">#REF!</definedName>
    <definedName name="list_All_AGroups" localSheetId="18">#REF!</definedName>
    <definedName name="list_All_AGroups" localSheetId="19">#REF!</definedName>
    <definedName name="list_All_AGroups" localSheetId="20">#REF!</definedName>
    <definedName name="list_All_AGroups" localSheetId="21">#REF!</definedName>
    <definedName name="list_All_AGroups" localSheetId="41">#REF!</definedName>
    <definedName name="list_All_AGroups" localSheetId="43">#REF!</definedName>
    <definedName name="list_All_AGroups" localSheetId="48">#REF!</definedName>
    <definedName name="list_All_AGroups">#REF!</definedName>
    <definedName name="list_Mechanisms" localSheetId="37">#REF!</definedName>
    <definedName name="list_Mechanisms" localSheetId="27">#REF!</definedName>
    <definedName name="list_Mechanisms" localSheetId="28">#REF!</definedName>
    <definedName name="list_Mechanisms" localSheetId="51">#REF!</definedName>
    <definedName name="list_Mechanisms" localSheetId="52">#REF!</definedName>
    <definedName name="list_Mechanisms" localSheetId="53">#REF!</definedName>
    <definedName name="list_Mechanisms" localSheetId="54">#REF!</definedName>
    <definedName name="list_Mechanisms" localSheetId="10">#REF!</definedName>
    <definedName name="list_Mechanisms" localSheetId="11">#REF!</definedName>
    <definedName name="list_Mechanisms" localSheetId="8">#REF!</definedName>
    <definedName name="list_Mechanisms" localSheetId="22">#REF!</definedName>
    <definedName name="list_Mechanisms" localSheetId="23">#REF!</definedName>
    <definedName name="list_Mechanisms" localSheetId="16">#REF!</definedName>
    <definedName name="list_Mechanisms" localSheetId="17">#REF!</definedName>
    <definedName name="list_Mechanisms" localSheetId="18">#REF!</definedName>
    <definedName name="list_Mechanisms" localSheetId="19">#REF!</definedName>
    <definedName name="list_Mechanisms" localSheetId="20">#REF!</definedName>
    <definedName name="list_Mechanisms" localSheetId="21">#REF!</definedName>
    <definedName name="list_Mechanisms" localSheetId="41">#REF!</definedName>
    <definedName name="list_Mechanisms" localSheetId="43">#REF!</definedName>
    <definedName name="list_Mechanisms" localSheetId="48">#REF!</definedName>
    <definedName name="list_Mechanisms">#REF!</definedName>
    <definedName name="list_Projects" localSheetId="37">Project_Data[Project_Name]</definedName>
    <definedName name="list_Projects" localSheetId="27">Project_Data[Project_Name]</definedName>
    <definedName name="list_Projects" localSheetId="28">Project_Data[Project_Name]</definedName>
    <definedName name="list_Projects" localSheetId="51">Project_Data[Project_Name]</definedName>
    <definedName name="list_Projects" localSheetId="52">Project_Data[Project_Name]</definedName>
    <definedName name="list_Projects" localSheetId="53">Project_Data[Project_Name]</definedName>
    <definedName name="list_Projects" localSheetId="54">Project_Data[Project_Name]</definedName>
    <definedName name="list_Projects" localSheetId="10">Project_Data[Project_Name]</definedName>
    <definedName name="list_Projects" localSheetId="11">Project_Data[Project_Name]</definedName>
    <definedName name="list_Projects" localSheetId="8">Project_Data[Project_Name]</definedName>
    <definedName name="list_Projects" localSheetId="22">Project_Data[Project_Name]</definedName>
    <definedName name="list_Projects" localSheetId="23">Project_Data[Project_Name]</definedName>
    <definedName name="list_Projects" localSheetId="16">Project_Data[Project_Name]</definedName>
    <definedName name="list_Projects" localSheetId="17">Project_Data[Project_Name]</definedName>
    <definedName name="list_Projects" localSheetId="18">Project_Data[Project_Name]</definedName>
    <definedName name="list_Projects" localSheetId="19">Project_Data[Project_Name]</definedName>
    <definedName name="list_Projects" localSheetId="20">Project_Data[Project_Name]</definedName>
    <definedName name="list_Projects" localSheetId="21">Project_Data[Project_Name]</definedName>
    <definedName name="list_Projects" localSheetId="41">Project_Data[Project_Name]</definedName>
    <definedName name="list_Projects" localSheetId="43">Project_Data[Project_Name]</definedName>
    <definedName name="list_Projects" localSheetId="48">Project_Data[Project_Name]</definedName>
    <definedName name="list_Projects">Project_Data[Project_Name]</definedName>
    <definedName name="ListOffset" hidden="1">1</definedName>
    <definedName name="Pal_Workbook_GUID" hidden="1">"LJ9YVKRJVQ1A1KNUG7XIT5A9"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wvu.CapersView." hidden="1">#REF!</definedName>
    <definedName name="Swvu.Japan_Capers_Ed_Pub." hidden="1">#REF!</definedName>
    <definedName name="Swvu.KJP_CC." hidden="1">#REF!</definedName>
    <definedName name="TableET5" localSheetId="37">#REF!</definedName>
    <definedName name="TableET5" localSheetId="27">#REF!</definedName>
    <definedName name="TableET5" localSheetId="28">#REF!</definedName>
    <definedName name="TableET5" localSheetId="51">#REF!</definedName>
    <definedName name="TableET5" localSheetId="52">#REF!</definedName>
    <definedName name="TableET5" localSheetId="53">#REF!</definedName>
    <definedName name="TableET5" localSheetId="54">#REF!</definedName>
    <definedName name="TableET5" localSheetId="10">#REF!</definedName>
    <definedName name="TableET5" localSheetId="11">#REF!</definedName>
    <definedName name="TableET5" localSheetId="8">#REF!</definedName>
    <definedName name="TableET5" localSheetId="22">#REF!</definedName>
    <definedName name="TableET5" localSheetId="23">#REF!</definedName>
    <definedName name="TableET5" localSheetId="16">#REF!</definedName>
    <definedName name="TableET5" localSheetId="17">#REF!</definedName>
    <definedName name="TableET5" localSheetId="18">#REF!</definedName>
    <definedName name="TableET5" localSheetId="19">#REF!</definedName>
    <definedName name="TableET5" localSheetId="20">#REF!</definedName>
    <definedName name="TableET5" localSheetId="21">#REF!</definedName>
    <definedName name="TableET5" localSheetId="41">#REF!</definedName>
    <definedName name="TableET5" localSheetId="43">#REF!</definedName>
    <definedName name="TableET5" localSheetId="48">#REF!</definedName>
    <definedName name="TableET5">#REF!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49" l="1"/>
  <c r="C6" i="149"/>
  <c r="C7" i="149"/>
  <c r="C8" i="149"/>
  <c r="C9" i="149"/>
  <c r="C10" i="149"/>
  <c r="C11" i="149"/>
  <c r="C4" i="149"/>
  <c r="J19" i="187"/>
  <c r="J18" i="187"/>
  <c r="J17" i="187"/>
  <c r="J16" i="187"/>
  <c r="J15" i="187"/>
  <c r="J14" i="187"/>
  <c r="J13" i="187"/>
  <c r="J12" i="187"/>
  <c r="J11" i="187"/>
  <c r="J10" i="187"/>
  <c r="J9" i="187"/>
  <c r="J8" i="187"/>
  <c r="J4" i="187"/>
  <c r="J3" i="187"/>
  <c r="J11" i="186"/>
  <c r="J10" i="186"/>
  <c r="J9" i="186"/>
  <c r="J8" i="186"/>
  <c r="J4" i="186"/>
  <c r="J3" i="186"/>
  <c r="J36" i="160"/>
  <c r="J35" i="160"/>
  <c r="J34" i="160"/>
  <c r="J33" i="160"/>
  <c r="J32" i="160"/>
  <c r="J31" i="160"/>
  <c r="J30" i="160"/>
  <c r="J29" i="160"/>
  <c r="J28" i="160"/>
  <c r="J27" i="160"/>
  <c r="J26" i="160"/>
  <c r="J25" i="160"/>
  <c r="J24" i="160"/>
  <c r="J23" i="160"/>
  <c r="J22" i="160"/>
  <c r="J21" i="160"/>
  <c r="J20" i="160"/>
  <c r="J19" i="160"/>
  <c r="J18" i="160"/>
  <c r="J17" i="160"/>
  <c r="J16" i="160"/>
  <c r="J15" i="160"/>
  <c r="J14" i="160"/>
  <c r="J13" i="160"/>
  <c r="J12" i="160"/>
  <c r="J11" i="160"/>
  <c r="J10" i="160"/>
  <c r="J9" i="160"/>
  <c r="J8" i="160"/>
  <c r="J4" i="160"/>
  <c r="J3" i="160"/>
  <c r="H15" i="165" l="1"/>
  <c r="D10" i="146" l="1"/>
  <c r="E53" i="128" l="1"/>
  <c r="E54" i="128"/>
  <c r="E55" i="128"/>
  <c r="E56" i="128"/>
  <c r="E57" i="128"/>
  <c r="E51" i="128"/>
  <c r="E52" i="128"/>
  <c r="E43" i="128"/>
  <c r="N9" i="172"/>
  <c r="K33" i="172"/>
  <c r="F4" i="189"/>
  <c r="F5" i="189"/>
  <c r="F6" i="189"/>
  <c r="F7" i="189"/>
  <c r="F8" i="189"/>
  <c r="F9" i="189"/>
  <c r="F10" i="189"/>
  <c r="C10" i="189" a="1"/>
  <c r="C10" i="189" s="1"/>
  <c r="C9" i="189" a="1"/>
  <c r="C9" i="189" s="1"/>
  <c r="C8" i="189" a="1"/>
  <c r="C8" i="189" s="1"/>
  <c r="C7" i="189" a="1"/>
  <c r="C7" i="189" s="1"/>
  <c r="C6" i="189" a="1"/>
  <c r="C6" i="189" s="1"/>
  <c r="C5" i="189" a="1"/>
  <c r="C5" i="189" s="1"/>
  <c r="C4" i="189" a="1"/>
  <c r="C4" i="189" s="1"/>
  <c r="D4" i="189"/>
  <c r="D5" i="189"/>
  <c r="D6" i="189"/>
  <c r="D7" i="189"/>
  <c r="D8" i="189"/>
  <c r="D9" i="189"/>
  <c r="D10" i="189"/>
  <c r="A4" i="189"/>
  <c r="A5" i="189"/>
  <c r="E5" i="189" s="1"/>
  <c r="A6" i="189"/>
  <c r="E6" i="189" s="1"/>
  <c r="A7" i="189"/>
  <c r="E7" i="189" s="1"/>
  <c r="A8" i="189"/>
  <c r="E8" i="189" s="1"/>
  <c r="A9" i="189"/>
  <c r="E9" i="189" s="1"/>
  <c r="A10" i="189"/>
  <c r="E10" i="189" s="1"/>
  <c r="E13" i="128"/>
  <c r="E12" i="128"/>
  <c r="E11" i="128"/>
  <c r="F16" i="189" l="1"/>
  <c r="D16" i="189"/>
  <c r="D14" i="189"/>
  <c r="D15" i="189"/>
  <c r="F14" i="189"/>
  <c r="F15" i="189"/>
  <c r="E4" i="189"/>
  <c r="F17" i="189" l="1"/>
  <c r="B9" i="146" l="1"/>
  <c r="C5" i="159"/>
  <c r="C6" i="159"/>
  <c r="C7" i="159"/>
  <c r="C8" i="159"/>
  <c r="C9" i="159"/>
  <c r="C10" i="159"/>
  <c r="C11" i="159"/>
  <c r="E31" i="128"/>
  <c r="C4" i="159"/>
  <c r="B14" i="158"/>
  <c r="B12" i="158"/>
  <c r="H3" i="187"/>
  <c r="G3" i="187"/>
  <c r="F3" i="187"/>
  <c r="E3" i="187"/>
  <c r="D3" i="187"/>
  <c r="J7" i="186"/>
  <c r="H3" i="186"/>
  <c r="G3" i="186"/>
  <c r="F3" i="186"/>
  <c r="E3" i="186"/>
  <c r="D3" i="186"/>
  <c r="E30" i="128" l="1"/>
  <c r="I3" i="187"/>
  <c r="J7" i="187"/>
  <c r="I3" i="186"/>
  <c r="C17" i="131" l="1"/>
  <c r="C18" i="131"/>
  <c r="C19" i="131"/>
  <c r="C20" i="131"/>
  <c r="C11" i="131"/>
  <c r="C12" i="131"/>
  <c r="C13" i="131"/>
  <c r="C14" i="131"/>
  <c r="C15" i="131"/>
  <c r="C8" i="131"/>
  <c r="C5" i="131"/>
  <c r="C6" i="131"/>
  <c r="C4" i="131"/>
  <c r="D4" i="139"/>
  <c r="J8" i="131"/>
  <c r="J9" i="131"/>
  <c r="J11" i="131"/>
  <c r="J12" i="131"/>
  <c r="J13" i="131"/>
  <c r="J15" i="131"/>
  <c r="K21" i="131"/>
  <c r="L21" i="131"/>
  <c r="M21" i="131"/>
  <c r="N21" i="131"/>
  <c r="M16" i="131"/>
  <c r="N16" i="131"/>
  <c r="O16" i="131"/>
  <c r="P16" i="131"/>
  <c r="Q16" i="131"/>
  <c r="K9" i="131"/>
  <c r="L9" i="131"/>
  <c r="M9" i="131"/>
  <c r="N9" i="131"/>
  <c r="O9" i="131"/>
  <c r="P9" i="131"/>
  <c r="Q9" i="131"/>
  <c r="K7" i="131"/>
  <c r="L7" i="131"/>
  <c r="O7" i="131"/>
  <c r="P7" i="131"/>
  <c r="Q7" i="131"/>
  <c r="K17" i="156" l="1"/>
  <c r="C17" i="156"/>
  <c r="C51" i="156" s="1"/>
  <c r="D17" i="156"/>
  <c r="E17" i="156"/>
  <c r="F17" i="156"/>
  <c r="F51" i="156" s="1"/>
  <c r="G17" i="156"/>
  <c r="H17" i="156"/>
  <c r="H51" i="156" s="1"/>
  <c r="C11" i="181"/>
  <c r="D11" i="181"/>
  <c r="E11" i="181"/>
  <c r="E33" i="181" s="1"/>
  <c r="F11" i="181"/>
  <c r="F33" i="181" s="1"/>
  <c r="G11" i="181"/>
  <c r="H11" i="181"/>
  <c r="C27" i="181"/>
  <c r="D27" i="181"/>
  <c r="E27" i="181"/>
  <c r="F27" i="181"/>
  <c r="G27" i="181"/>
  <c r="H27" i="181"/>
  <c r="C28" i="181"/>
  <c r="D28" i="181"/>
  <c r="E28" i="181"/>
  <c r="F28" i="181"/>
  <c r="G28" i="181"/>
  <c r="H28" i="181"/>
  <c r="C29" i="181"/>
  <c r="D29" i="181"/>
  <c r="E29" i="181"/>
  <c r="F29" i="181"/>
  <c r="G29" i="181"/>
  <c r="H29" i="181"/>
  <c r="C30" i="181"/>
  <c r="D30" i="181"/>
  <c r="E30" i="181"/>
  <c r="F30" i="181"/>
  <c r="G30" i="181"/>
  <c r="H30" i="181"/>
  <c r="C31" i="181"/>
  <c r="D31" i="181"/>
  <c r="E31" i="181"/>
  <c r="F31" i="181"/>
  <c r="G31" i="181"/>
  <c r="H31" i="181"/>
  <c r="C32" i="181"/>
  <c r="D32" i="181"/>
  <c r="E32" i="181"/>
  <c r="F32" i="181"/>
  <c r="G32" i="181"/>
  <c r="H32" i="181"/>
  <c r="C33" i="181"/>
  <c r="D33" i="181"/>
  <c r="G33" i="181"/>
  <c r="H33" i="181"/>
  <c r="C8" i="182"/>
  <c r="D8" i="182"/>
  <c r="E8" i="182"/>
  <c r="F8" i="182"/>
  <c r="G8" i="182"/>
  <c r="G24" i="182" s="1"/>
  <c r="H8" i="182"/>
  <c r="C21" i="182"/>
  <c r="D21" i="182"/>
  <c r="E21" i="182"/>
  <c r="F21" i="182"/>
  <c r="G21" i="182"/>
  <c r="H21" i="182"/>
  <c r="C22" i="182"/>
  <c r="D22" i="182"/>
  <c r="E22" i="182"/>
  <c r="F22" i="182"/>
  <c r="G22" i="182"/>
  <c r="H22" i="182"/>
  <c r="C23" i="182"/>
  <c r="D23" i="182"/>
  <c r="E23" i="182"/>
  <c r="F23" i="182"/>
  <c r="G23" i="182"/>
  <c r="H23" i="182"/>
  <c r="C24" i="182"/>
  <c r="D24" i="182"/>
  <c r="E24" i="182"/>
  <c r="F24" i="182"/>
  <c r="H24" i="182"/>
  <c r="C39" i="156"/>
  <c r="D39" i="156"/>
  <c r="E39" i="156"/>
  <c r="F39" i="156"/>
  <c r="G39" i="156"/>
  <c r="H39" i="156"/>
  <c r="C40" i="156"/>
  <c r="D40" i="156"/>
  <c r="E40" i="156"/>
  <c r="F40" i="156"/>
  <c r="G40" i="156"/>
  <c r="H40" i="156"/>
  <c r="C41" i="156"/>
  <c r="D41" i="156"/>
  <c r="E41" i="156"/>
  <c r="F41" i="156"/>
  <c r="G41" i="156"/>
  <c r="H41" i="156"/>
  <c r="C42" i="156"/>
  <c r="D42" i="156"/>
  <c r="E42" i="156"/>
  <c r="F42" i="156"/>
  <c r="G42" i="156"/>
  <c r="H42" i="156"/>
  <c r="C43" i="156"/>
  <c r="D43" i="156"/>
  <c r="E43" i="156"/>
  <c r="F43" i="156"/>
  <c r="G43" i="156"/>
  <c r="H43" i="156"/>
  <c r="C44" i="156"/>
  <c r="D44" i="156"/>
  <c r="E44" i="156"/>
  <c r="F44" i="156"/>
  <c r="G44" i="156"/>
  <c r="H44" i="156"/>
  <c r="C45" i="156"/>
  <c r="D45" i="156"/>
  <c r="E45" i="156"/>
  <c r="F45" i="156"/>
  <c r="G45" i="156"/>
  <c r="H45" i="156"/>
  <c r="C46" i="156"/>
  <c r="D46" i="156"/>
  <c r="E46" i="156"/>
  <c r="F46" i="156"/>
  <c r="G46" i="156"/>
  <c r="H46" i="156"/>
  <c r="C47" i="156"/>
  <c r="D47" i="156"/>
  <c r="E47" i="156"/>
  <c r="F47" i="156"/>
  <c r="G47" i="156"/>
  <c r="H47" i="156"/>
  <c r="C48" i="156"/>
  <c r="D48" i="156"/>
  <c r="E48" i="156"/>
  <c r="F48" i="156"/>
  <c r="G48" i="156"/>
  <c r="H48" i="156"/>
  <c r="C49" i="156"/>
  <c r="D49" i="156"/>
  <c r="E49" i="156"/>
  <c r="F49" i="156"/>
  <c r="G49" i="156"/>
  <c r="H49" i="156"/>
  <c r="C50" i="156"/>
  <c r="D50" i="156"/>
  <c r="E50" i="156"/>
  <c r="F50" i="156"/>
  <c r="G50" i="156"/>
  <c r="H50" i="156"/>
  <c r="D51" i="156"/>
  <c r="E51" i="156"/>
  <c r="G51" i="156"/>
  <c r="I51" i="156"/>
  <c r="A23" i="156"/>
  <c r="E21" i="128"/>
  <c r="A27" i="181" l="1"/>
  <c r="A28" i="181"/>
  <c r="A29" i="181"/>
  <c r="A30" i="181"/>
  <c r="A31" i="181"/>
  <c r="A32" i="181"/>
  <c r="A26" i="181"/>
  <c r="A16" i="181"/>
  <c r="A17" i="181"/>
  <c r="A18" i="181"/>
  <c r="A19" i="181"/>
  <c r="A20" i="181"/>
  <c r="A21" i="181"/>
  <c r="A15" i="181"/>
  <c r="A12" i="182"/>
  <c r="G20" i="182" s="1"/>
  <c r="D20" i="182"/>
  <c r="E20" i="182"/>
  <c r="F20" i="182"/>
  <c r="A13" i="182"/>
  <c r="A14" i="182"/>
  <c r="A15" i="182"/>
  <c r="A20" i="182"/>
  <c r="A21" i="182"/>
  <c r="A22" i="182"/>
  <c r="A23" i="182"/>
  <c r="A39" i="156"/>
  <c r="A40" i="156"/>
  <c r="A41" i="156"/>
  <c r="A42" i="156"/>
  <c r="A43" i="156"/>
  <c r="A44" i="156"/>
  <c r="A45" i="156"/>
  <c r="A46" i="156"/>
  <c r="A47" i="156"/>
  <c r="A48" i="156"/>
  <c r="A49" i="156"/>
  <c r="A50" i="156"/>
  <c r="A38" i="156"/>
  <c r="A22" i="156"/>
  <c r="A24" i="156"/>
  <c r="A25" i="156"/>
  <c r="A26" i="156"/>
  <c r="A27" i="156"/>
  <c r="A28" i="156"/>
  <c r="A29" i="156"/>
  <c r="A30" i="156"/>
  <c r="A31" i="156"/>
  <c r="A32" i="156"/>
  <c r="A33" i="156"/>
  <c r="A21" i="156"/>
  <c r="C20" i="182" l="1"/>
  <c r="H20" i="182"/>
  <c r="C8" i="178"/>
  <c r="E11" i="183" l="1"/>
  <c r="B11" i="183"/>
  <c r="D11" i="183"/>
  <c r="H11" i="183"/>
  <c r="F11" i="183"/>
  <c r="C11" i="183"/>
  <c r="I11" i="183"/>
  <c r="G11" i="183"/>
  <c r="I16" i="182"/>
  <c r="G16" i="182"/>
  <c r="H16" i="182"/>
  <c r="E16" i="182"/>
  <c r="B16" i="182"/>
  <c r="F16" i="182"/>
  <c r="C16" i="182"/>
  <c r="D16" i="182"/>
  <c r="I22" i="181" l="1"/>
  <c r="H22" i="181"/>
  <c r="G22" i="181"/>
  <c r="F22" i="181"/>
  <c r="E22" i="181"/>
  <c r="B22" i="181"/>
  <c r="H26" i="181"/>
  <c r="G26" i="181"/>
  <c r="F26" i="181"/>
  <c r="E26" i="181"/>
  <c r="I8" i="178"/>
  <c r="H8" i="178"/>
  <c r="F8" i="178"/>
  <c r="G8" i="178"/>
  <c r="D8" i="178"/>
  <c r="B8" i="178"/>
  <c r="C26" i="181" l="1"/>
  <c r="D26" i="181"/>
  <c r="E8" i="178"/>
  <c r="D22" i="181"/>
  <c r="C22" i="181"/>
  <c r="H17" i="177" l="1"/>
  <c r="G17" i="177"/>
  <c r="F17" i="177"/>
  <c r="E17" i="177"/>
  <c r="B17" i="177"/>
  <c r="I34" i="156"/>
  <c r="C34" i="156"/>
  <c r="D34" i="156"/>
  <c r="H34" i="156"/>
  <c r="E34" i="156" l="1"/>
  <c r="F34" i="156"/>
  <c r="G34" i="156"/>
  <c r="I17" i="177"/>
  <c r="C17" i="177"/>
  <c r="D17" i="177"/>
  <c r="N7" i="172" l="1"/>
  <c r="O7" i="172"/>
  <c r="N8" i="172"/>
  <c r="O8" i="172"/>
  <c r="O9" i="172"/>
  <c r="N10" i="172"/>
  <c r="O10" i="172"/>
  <c r="P10" i="172" s="1"/>
  <c r="R10" i="172" s="1"/>
  <c r="N11" i="172"/>
  <c r="O11" i="172"/>
  <c r="N12" i="172"/>
  <c r="O12" i="172"/>
  <c r="N13" i="172"/>
  <c r="O13" i="172"/>
  <c r="N14" i="172"/>
  <c r="P14" i="172" s="1"/>
  <c r="Q14" i="172" s="1"/>
  <c r="K15" i="172"/>
  <c r="K24" i="172"/>
  <c r="K42" i="172"/>
  <c r="K51" i="172"/>
  <c r="K60" i="172"/>
  <c r="K69" i="172"/>
  <c r="K78" i="172"/>
  <c r="I42" i="172" l="1"/>
  <c r="G42" i="172"/>
  <c r="F42" i="172"/>
  <c r="I33" i="172"/>
  <c r="E42" i="172"/>
  <c r="H33" i="172"/>
  <c r="H42" i="172"/>
  <c r="F33" i="172"/>
  <c r="G33" i="172"/>
  <c r="E33" i="172"/>
  <c r="P12" i="172"/>
  <c r="R12" i="172" s="1"/>
  <c r="E15" i="172"/>
  <c r="P8" i="172"/>
  <c r="R8" i="172" s="1"/>
  <c r="P13" i="172"/>
  <c r="R13" i="172" s="1"/>
  <c r="R14" i="172"/>
  <c r="F24" i="172"/>
  <c r="P11" i="172"/>
  <c r="R11" i="172" s="1"/>
  <c r="P9" i="172"/>
  <c r="R9" i="172" s="1"/>
  <c r="P7" i="172"/>
  <c r="R7" i="172" s="1"/>
  <c r="G24" i="172"/>
  <c r="H51" i="172"/>
  <c r="E51" i="172"/>
  <c r="H69" i="172"/>
  <c r="E69" i="172"/>
  <c r="F60" i="172"/>
  <c r="H60" i="172"/>
  <c r="G51" i="172"/>
  <c r="G78" i="172"/>
  <c r="F78" i="172"/>
  <c r="G60" i="172"/>
  <c r="G69" i="172"/>
  <c r="F69" i="172"/>
  <c r="I51" i="172"/>
  <c r="F51" i="172"/>
  <c r="I69" i="172"/>
  <c r="I15" i="172"/>
  <c r="E24" i="172"/>
  <c r="I24" i="172"/>
  <c r="H15" i="172"/>
  <c r="I78" i="172"/>
  <c r="H78" i="172"/>
  <c r="E78" i="172"/>
  <c r="E60" i="172"/>
  <c r="I60" i="172"/>
  <c r="H24" i="172"/>
  <c r="G15" i="172"/>
  <c r="F15" i="172"/>
  <c r="Q13" i="172" l="1"/>
  <c r="V9" i="172"/>
  <c r="U23" i="172" s="1"/>
  <c r="V13" i="172"/>
  <c r="U27" i="172" s="1"/>
  <c r="V11" i="172"/>
  <c r="U25" i="172" s="1"/>
  <c r="Q11" i="172"/>
  <c r="V10" i="172"/>
  <c r="U24" i="172" s="1"/>
  <c r="V7" i="172"/>
  <c r="U21" i="172" s="1"/>
  <c r="Q10" i="172"/>
  <c r="V8" i="172"/>
  <c r="U22" i="172" s="1"/>
  <c r="V12" i="172"/>
  <c r="U26" i="172" s="1"/>
  <c r="V14" i="172"/>
  <c r="W14" i="172" s="1"/>
  <c r="B6" i="195" l="1"/>
  <c r="B9" i="195"/>
  <c r="B7" i="195"/>
  <c r="B4" i="195"/>
  <c r="W13" i="172"/>
  <c r="B8" i="195"/>
  <c r="B10" i="195"/>
  <c r="B5" i="195"/>
  <c r="W11" i="172"/>
  <c r="W9" i="172"/>
  <c r="W10" i="172"/>
  <c r="W7" i="172"/>
  <c r="W8" i="172"/>
  <c r="U28" i="172"/>
  <c r="W12" i="172"/>
  <c r="B11" i="195" l="1"/>
  <c r="W16" i="172"/>
  <c r="V22" i="172" l="1"/>
  <c r="V23" i="172"/>
  <c r="V24" i="172"/>
  <c r="V25" i="172"/>
  <c r="V26" i="172"/>
  <c r="V27" i="172"/>
  <c r="V28" i="172"/>
  <c r="V21" i="172"/>
  <c r="C11" i="195" l="1"/>
  <c r="W28" i="172"/>
  <c r="D11" i="195" s="1"/>
  <c r="C10" i="195"/>
  <c r="W27" i="172"/>
  <c r="D10" i="195" s="1"/>
  <c r="C4" i="195"/>
  <c r="W21" i="172"/>
  <c r="D4" i="195" s="1"/>
  <c r="C9" i="195"/>
  <c r="W26" i="172"/>
  <c r="D9" i="195" s="1"/>
  <c r="C8" i="195"/>
  <c r="W25" i="172"/>
  <c r="D8" i="195" s="1"/>
  <c r="C7" i="195"/>
  <c r="W24" i="172"/>
  <c r="D7" i="195" s="1"/>
  <c r="C6" i="195"/>
  <c r="W23" i="172"/>
  <c r="D6" i="195" s="1"/>
  <c r="C5" i="195"/>
  <c r="W22" i="172"/>
  <c r="D5" i="195" s="1"/>
  <c r="X28" i="172"/>
  <c r="E11" i="195" s="1"/>
  <c r="X25" i="172"/>
  <c r="E8" i="195" s="1"/>
  <c r="X21" i="172" l="1"/>
  <c r="E4" i="195" s="1"/>
  <c r="X27" i="172"/>
  <c r="E10" i="195" s="1"/>
  <c r="X22" i="172"/>
  <c r="E5" i="195" s="1"/>
  <c r="X26" i="172"/>
  <c r="E9" i="195" s="1"/>
  <c r="X23" i="172"/>
  <c r="E6" i="195" s="1"/>
  <c r="X24" i="172"/>
  <c r="E7" i="195" s="1"/>
  <c r="U35" i="172"/>
  <c r="G7" i="167" s="1"/>
  <c r="U33" i="172"/>
  <c r="G5" i="167" s="1"/>
  <c r="U34" i="172" l="1"/>
  <c r="G6" i="167" s="1"/>
  <c r="U32" i="172"/>
  <c r="G4" i="167" s="1"/>
  <c r="B12" i="159" l="1"/>
  <c r="B14" i="159" s="1"/>
  <c r="C13" i="159"/>
  <c r="D12" i="159"/>
  <c r="D14" i="159" s="1"/>
  <c r="D9" i="139" l="1"/>
  <c r="C12" i="159" l="1"/>
  <c r="D7" i="171"/>
  <c r="B7" i="171"/>
  <c r="D6" i="171"/>
  <c r="B6" i="171"/>
  <c r="D5" i="171"/>
  <c r="B5" i="171"/>
  <c r="D4" i="171"/>
  <c r="B4" i="171"/>
  <c r="D7" i="170"/>
  <c r="B7" i="170"/>
  <c r="D6" i="170"/>
  <c r="B6" i="170"/>
  <c r="D5" i="170"/>
  <c r="B5" i="170"/>
  <c r="D4" i="170"/>
  <c r="B4" i="170"/>
  <c r="B5" i="167"/>
  <c r="D5" i="167"/>
  <c r="H5" i="167" s="1"/>
  <c r="B6" i="167"/>
  <c r="D6" i="167"/>
  <c r="H6" i="167" s="1"/>
  <c r="B7" i="167"/>
  <c r="D7" i="167"/>
  <c r="H7" i="167" s="1"/>
  <c r="D4" i="167"/>
  <c r="H4" i="167" s="1"/>
  <c r="B4" i="167"/>
  <c r="H11" i="149" a="1"/>
  <c r="H11" i="149" s="1"/>
  <c r="E11" i="149" a="1"/>
  <c r="E11" i="149" s="1"/>
  <c r="D11" i="149" a="1"/>
  <c r="D11" i="149" s="1"/>
  <c r="H10" i="149" a="1"/>
  <c r="H10" i="149" s="1"/>
  <c r="E10" i="149" a="1"/>
  <c r="E10" i="149" s="1"/>
  <c r="D10" i="149" a="1"/>
  <c r="D10" i="149" s="1"/>
  <c r="H9" i="149" a="1"/>
  <c r="H9" i="149" s="1"/>
  <c r="E9" i="149" a="1"/>
  <c r="E9" i="149" s="1"/>
  <c r="D9" i="149" a="1"/>
  <c r="D9" i="149" s="1"/>
  <c r="H8" i="149" a="1"/>
  <c r="H8" i="149" s="1"/>
  <c r="E8" i="149" a="1"/>
  <c r="E8" i="149" s="1"/>
  <c r="D8" i="149" a="1"/>
  <c r="D8" i="149" s="1"/>
  <c r="H7" i="149" a="1"/>
  <c r="H7" i="149" s="1"/>
  <c r="E7" i="149" a="1"/>
  <c r="E7" i="149" s="1"/>
  <c r="D7" i="149" a="1"/>
  <c r="D7" i="149" s="1"/>
  <c r="H6" i="149" a="1"/>
  <c r="H6" i="149" s="1"/>
  <c r="E6" i="149" a="1"/>
  <c r="E6" i="149" s="1"/>
  <c r="D6" i="149" a="1"/>
  <c r="D6" i="149" s="1"/>
  <c r="H5" i="149" a="1"/>
  <c r="H5" i="149" s="1"/>
  <c r="E5" i="149" a="1"/>
  <c r="E5" i="149" s="1"/>
  <c r="D5" i="149" a="1"/>
  <c r="D5" i="149" s="1"/>
  <c r="H4" i="149" a="1"/>
  <c r="H4" i="149" s="1"/>
  <c r="E4" i="149" a="1"/>
  <c r="E4" i="149" s="1"/>
  <c r="D4" i="149" a="1"/>
  <c r="D4" i="149" s="1"/>
  <c r="G15" i="165"/>
  <c r="J15" i="165" s="1"/>
  <c r="G5" i="164"/>
  <c r="G6" i="164"/>
  <c r="G7" i="164"/>
  <c r="G8" i="164"/>
  <c r="G9" i="164"/>
  <c r="G10" i="164"/>
  <c r="G13" i="164"/>
  <c r="G14" i="164"/>
  <c r="G15" i="164"/>
  <c r="G16" i="164"/>
  <c r="G17" i="164"/>
  <c r="G4" i="164"/>
  <c r="D10" i="163"/>
  <c r="E10" i="163"/>
  <c r="I12" i="164" s="1"/>
  <c r="H12" i="164" s="1"/>
  <c r="C10" i="163"/>
  <c r="C10" i="161"/>
  <c r="B5" i="146"/>
  <c r="B6" i="146"/>
  <c r="B7" i="146"/>
  <c r="B8" i="146"/>
  <c r="B4" i="146"/>
  <c r="I4" i="160"/>
  <c r="I3" i="160"/>
  <c r="E3" i="160"/>
  <c r="F3" i="160"/>
  <c r="G3" i="160"/>
  <c r="H3" i="160"/>
  <c r="D3" i="160"/>
  <c r="J7" i="160"/>
  <c r="B22" i="158"/>
  <c r="D38" i="156"/>
  <c r="E38" i="156"/>
  <c r="F38" i="156"/>
  <c r="G38" i="156"/>
  <c r="H38" i="156"/>
  <c r="C38" i="156"/>
  <c r="E13" i="163" l="1"/>
  <c r="L10" i="131" s="1"/>
  <c r="B10" i="146"/>
  <c r="C10" i="146" s="1"/>
  <c r="I15" i="165"/>
  <c r="C14" i="159"/>
  <c r="M5" i="131"/>
  <c r="M7" i="131" s="1"/>
  <c r="C22" i="158"/>
  <c r="B8" i="170"/>
  <c r="C7" i="167"/>
  <c r="O20" i="131" s="1"/>
  <c r="C6" i="170"/>
  <c r="Q19" i="131" s="1"/>
  <c r="C7" i="171"/>
  <c r="D8" i="170"/>
  <c r="C5" i="170"/>
  <c r="Q18" i="131" s="1"/>
  <c r="C5" i="167"/>
  <c r="O18" i="131" s="1"/>
  <c r="C7" i="170"/>
  <c r="Q20" i="131" s="1"/>
  <c r="C6" i="171"/>
  <c r="C6" i="167"/>
  <c r="O19" i="131" s="1"/>
  <c r="C5" i="171"/>
  <c r="B8" i="171"/>
  <c r="D8" i="171"/>
  <c r="C4" i="171"/>
  <c r="C4" i="170"/>
  <c r="C12" i="149"/>
  <c r="F6" i="149"/>
  <c r="F9" i="149"/>
  <c r="E12" i="149"/>
  <c r="F7" i="149"/>
  <c r="D12" i="149"/>
  <c r="H12" i="149"/>
  <c r="C4" i="167"/>
  <c r="O17" i="131" s="1"/>
  <c r="D8" i="167"/>
  <c r="B8" i="167"/>
  <c r="F4" i="149"/>
  <c r="F5" i="149"/>
  <c r="F10" i="149"/>
  <c r="F11" i="149"/>
  <c r="F8" i="149"/>
  <c r="G8" i="149"/>
  <c r="G10" i="149"/>
  <c r="G5" i="149"/>
  <c r="G4" i="149"/>
  <c r="G9" i="149"/>
  <c r="G6" i="149"/>
  <c r="G7" i="149"/>
  <c r="G11" i="149"/>
  <c r="A5" i="139"/>
  <c r="B5" i="139"/>
  <c r="A6" i="139"/>
  <c r="B6" i="139"/>
  <c r="A7" i="139"/>
  <c r="B7" i="139"/>
  <c r="A8" i="139"/>
  <c r="B8" i="139"/>
  <c r="A9" i="139"/>
  <c r="B9" i="139"/>
  <c r="A10" i="139"/>
  <c r="B10" i="139"/>
  <c r="A11" i="139"/>
  <c r="B11" i="139"/>
  <c r="A12" i="139"/>
  <c r="B12" i="139"/>
  <c r="A13" i="139"/>
  <c r="B13" i="139"/>
  <c r="A14" i="139"/>
  <c r="B14" i="139"/>
  <c r="A15" i="139"/>
  <c r="B15" i="139"/>
  <c r="A16" i="139"/>
  <c r="B16" i="139"/>
  <c r="A17" i="139"/>
  <c r="B17" i="139"/>
  <c r="A18" i="139"/>
  <c r="B18" i="139"/>
  <c r="A19" i="139"/>
  <c r="B19" i="139"/>
  <c r="A20" i="139"/>
  <c r="B20" i="139"/>
  <c r="A21" i="139"/>
  <c r="B21" i="139"/>
  <c r="A22" i="139"/>
  <c r="B22" i="139"/>
  <c r="A23" i="139"/>
  <c r="B23" i="139"/>
  <c r="A24" i="139"/>
  <c r="B24" i="139"/>
  <c r="A25" i="139"/>
  <c r="B25" i="139"/>
  <c r="A26" i="139"/>
  <c r="B26" i="139"/>
  <c r="A27" i="139"/>
  <c r="B27" i="139"/>
  <c r="B4" i="139"/>
  <c r="D5" i="139"/>
  <c r="F5" i="139"/>
  <c r="D6" i="139"/>
  <c r="F6" i="139"/>
  <c r="D7" i="139"/>
  <c r="F7" i="139"/>
  <c r="D8" i="139"/>
  <c r="F8" i="139"/>
  <c r="F9" i="139"/>
  <c r="D10" i="139"/>
  <c r="F10" i="139"/>
  <c r="D11" i="139"/>
  <c r="F11" i="139"/>
  <c r="D12" i="139"/>
  <c r="F12" i="139"/>
  <c r="D13" i="139"/>
  <c r="F13" i="139"/>
  <c r="D14" i="139"/>
  <c r="F14" i="139"/>
  <c r="D15" i="139"/>
  <c r="F15" i="139"/>
  <c r="D16" i="139"/>
  <c r="F16" i="139"/>
  <c r="D17" i="139"/>
  <c r="F17" i="139"/>
  <c r="D18" i="139"/>
  <c r="F18" i="139"/>
  <c r="D19" i="139"/>
  <c r="F19" i="139"/>
  <c r="D20" i="139"/>
  <c r="F20" i="139"/>
  <c r="D21" i="139"/>
  <c r="F21" i="139"/>
  <c r="D22" i="139"/>
  <c r="F22" i="139"/>
  <c r="D23" i="139"/>
  <c r="F23" i="139"/>
  <c r="D24" i="139"/>
  <c r="F24" i="139"/>
  <c r="D25" i="139"/>
  <c r="F25" i="139"/>
  <c r="D26" i="139"/>
  <c r="F26" i="139"/>
  <c r="D27" i="139"/>
  <c r="F27" i="139"/>
  <c r="F4" i="139"/>
  <c r="A4" i="139"/>
  <c r="H4" i="131" a="1"/>
  <c r="H4" i="131" s="1"/>
  <c r="H5" i="131" a="1"/>
  <c r="H5" i="131" s="1"/>
  <c r="H6" i="131" a="1"/>
  <c r="H6" i="131" s="1"/>
  <c r="H8" i="131" a="1"/>
  <c r="H8" i="131" s="1"/>
  <c r="H10" i="131" a="1"/>
  <c r="H10" i="131" s="1"/>
  <c r="H11" i="131" a="1"/>
  <c r="H11" i="131" s="1"/>
  <c r="H12" i="131" a="1"/>
  <c r="H12" i="131" s="1"/>
  <c r="H13" i="131" a="1"/>
  <c r="H13" i="131" s="1"/>
  <c r="H14" i="131" a="1"/>
  <c r="H14" i="131" s="1"/>
  <c r="H15" i="131" a="1"/>
  <c r="H15" i="131" s="1"/>
  <c r="H17" i="131" a="1"/>
  <c r="H17" i="131" s="1"/>
  <c r="H18" i="131" a="1"/>
  <c r="H18" i="131" s="1"/>
  <c r="H19" i="131" a="1"/>
  <c r="H19" i="131" s="1"/>
  <c r="H20" i="131" a="1"/>
  <c r="H20" i="131" s="1"/>
  <c r="E5" i="131" a="1"/>
  <c r="E5" i="131" s="1"/>
  <c r="E5" i="138" s="1"/>
  <c r="E6" i="131" a="1"/>
  <c r="E6" i="131" s="1"/>
  <c r="E6" i="138" s="1"/>
  <c r="E8" i="131" a="1"/>
  <c r="E8" i="131" s="1"/>
  <c r="E10" i="131" a="1"/>
  <c r="E10" i="131" s="1"/>
  <c r="E4" i="144" s="1"/>
  <c r="E11" i="131" a="1"/>
  <c r="E11" i="131" s="1"/>
  <c r="E12" i="131" a="1"/>
  <c r="E12" i="131" s="1"/>
  <c r="E13" i="131" a="1"/>
  <c r="E13" i="131" s="1"/>
  <c r="E14" i="131" a="1"/>
  <c r="E14" i="131" s="1"/>
  <c r="E5" i="144" s="1"/>
  <c r="E15" i="131" a="1"/>
  <c r="E15" i="131" s="1"/>
  <c r="E17" i="131" a="1"/>
  <c r="E17" i="131" s="1"/>
  <c r="E18" i="131" a="1"/>
  <c r="E18" i="131" s="1"/>
  <c r="E19" i="131" a="1"/>
  <c r="E19" i="131" s="1"/>
  <c r="E20" i="131" a="1"/>
  <c r="E20" i="131" s="1"/>
  <c r="E4" i="131" a="1"/>
  <c r="E4" i="131" s="1"/>
  <c r="D4" i="131" a="1"/>
  <c r="D4" i="131" s="1"/>
  <c r="D4" i="138" s="1"/>
  <c r="D5" i="131"/>
  <c r="D5" i="138" s="1"/>
  <c r="D6" i="131"/>
  <c r="D6" i="138" s="1"/>
  <c r="D8" i="131"/>
  <c r="D9" i="131" s="1"/>
  <c r="D10" i="131"/>
  <c r="D4" i="144" s="1"/>
  <c r="D11" i="131"/>
  <c r="D12" i="131"/>
  <c r="D13" i="131"/>
  <c r="D14" i="131"/>
  <c r="D5" i="144" s="1"/>
  <c r="D15" i="131"/>
  <c r="D17" i="131"/>
  <c r="D18" i="131"/>
  <c r="D19" i="131"/>
  <c r="D20" i="131"/>
  <c r="C4" i="138"/>
  <c r="C5" i="138"/>
  <c r="C6" i="138"/>
  <c r="C9" i="131"/>
  <c r="C10" i="131"/>
  <c r="C4" i="144" s="1"/>
  <c r="C5" i="144"/>
  <c r="B3" i="128"/>
  <c r="E3" i="128"/>
  <c r="E4" i="128"/>
  <c r="E5" i="128"/>
  <c r="E7" i="128"/>
  <c r="E8" i="128"/>
  <c r="E9" i="128"/>
  <c r="E10" i="128"/>
  <c r="E14" i="128"/>
  <c r="E16" i="128"/>
  <c r="E17" i="128"/>
  <c r="E18" i="128"/>
  <c r="E19" i="128"/>
  <c r="E20" i="128"/>
  <c r="E22" i="128"/>
  <c r="E23" i="128"/>
  <c r="E24" i="128"/>
  <c r="E25" i="128"/>
  <c r="E26" i="128"/>
  <c r="E27" i="128"/>
  <c r="E28" i="128"/>
  <c r="E29" i="128"/>
  <c r="E32" i="128"/>
  <c r="E33" i="128"/>
  <c r="E34" i="128"/>
  <c r="E35" i="128"/>
  <c r="E36" i="128"/>
  <c r="E37" i="128"/>
  <c r="E38" i="128"/>
  <c r="E39" i="128"/>
  <c r="E40" i="128"/>
  <c r="E41" i="128"/>
  <c r="E42" i="128"/>
  <c r="E44" i="128"/>
  <c r="E45" i="128"/>
  <c r="E46" i="128"/>
  <c r="E47" i="128"/>
  <c r="E48" i="128"/>
  <c r="E49" i="128"/>
  <c r="E50" i="128"/>
  <c r="H4" i="144" l="1"/>
  <c r="H6" i="138"/>
  <c r="H5" i="138"/>
  <c r="H5" i="144"/>
  <c r="H4" i="138"/>
  <c r="J19" i="131"/>
  <c r="K14" i="131"/>
  <c r="J20" i="131"/>
  <c r="J10" i="131"/>
  <c r="L16" i="131"/>
  <c r="B4" i="128"/>
  <c r="J18" i="131"/>
  <c r="B8" i="181"/>
  <c r="B30" i="181" s="1"/>
  <c r="A4" i="179"/>
  <c r="O21" i="131"/>
  <c r="B7" i="156"/>
  <c r="B41" i="156" s="1"/>
  <c r="B6" i="182"/>
  <c r="B22" i="182" s="1"/>
  <c r="B4" i="182"/>
  <c r="B20" i="182" s="1"/>
  <c r="B4" i="181"/>
  <c r="B26" i="181" s="1"/>
  <c r="I7" i="181"/>
  <c r="I7" i="182"/>
  <c r="B7" i="181"/>
  <c r="B29" i="181" s="1"/>
  <c r="B7" i="182"/>
  <c r="B23" i="182" s="1"/>
  <c r="I10" i="181"/>
  <c r="I6" i="181"/>
  <c r="I6" i="182"/>
  <c r="B10" i="181"/>
  <c r="B32" i="181" s="1"/>
  <c r="B6" i="181"/>
  <c r="B28" i="181" s="1"/>
  <c r="I9" i="181"/>
  <c r="I5" i="181"/>
  <c r="I5" i="182"/>
  <c r="B9" i="181"/>
  <c r="B31" i="181" s="1"/>
  <c r="B5" i="181"/>
  <c r="B27" i="181" s="1"/>
  <c r="B5" i="182"/>
  <c r="B21" i="182" s="1"/>
  <c r="I8" i="181"/>
  <c r="I4" i="181"/>
  <c r="I4" i="182"/>
  <c r="B15" i="156"/>
  <c r="B49" i="156" s="1"/>
  <c r="B4" i="156"/>
  <c r="B38" i="156" s="1"/>
  <c r="I4" i="156"/>
  <c r="C8" i="171"/>
  <c r="P17" i="131" s="1"/>
  <c r="P21" i="131" s="1"/>
  <c r="E26" i="139"/>
  <c r="E22" i="139"/>
  <c r="E18" i="139"/>
  <c r="C8" i="170"/>
  <c r="Q17" i="131"/>
  <c r="Q21" i="131" s="1"/>
  <c r="E27" i="139"/>
  <c r="E23" i="139"/>
  <c r="E19" i="139"/>
  <c r="E10" i="139"/>
  <c r="I10" i="156"/>
  <c r="E25" i="139"/>
  <c r="E21" i="139"/>
  <c r="E17" i="139"/>
  <c r="E13" i="139"/>
  <c r="I13" i="156"/>
  <c r="E9" i="139"/>
  <c r="I9" i="156"/>
  <c r="E5" i="139"/>
  <c r="I5" i="156"/>
  <c r="B10" i="156"/>
  <c r="B44" i="156" s="1"/>
  <c r="B9" i="156"/>
  <c r="B43" i="156" s="1"/>
  <c r="B5" i="156"/>
  <c r="B39" i="156" s="1"/>
  <c r="B14" i="156"/>
  <c r="B48" i="156" s="1"/>
  <c r="B13" i="156"/>
  <c r="B47" i="156" s="1"/>
  <c r="E24" i="139"/>
  <c r="E20" i="139"/>
  <c r="E16" i="139"/>
  <c r="I16" i="156"/>
  <c r="E12" i="139"/>
  <c r="I12" i="156"/>
  <c r="E8" i="139"/>
  <c r="I8" i="156"/>
  <c r="E4" i="139"/>
  <c r="B16" i="156"/>
  <c r="B50" i="156" s="1"/>
  <c r="B12" i="156"/>
  <c r="B46" i="156" s="1"/>
  <c r="B8" i="156"/>
  <c r="B42" i="156" s="1"/>
  <c r="E6" i="139"/>
  <c r="I6" i="156"/>
  <c r="E15" i="139"/>
  <c r="I15" i="156"/>
  <c r="E11" i="139"/>
  <c r="I11" i="156"/>
  <c r="E7" i="139"/>
  <c r="I7" i="156"/>
  <c r="E14" i="139"/>
  <c r="I14" i="156"/>
  <c r="B6" i="156"/>
  <c r="B40" i="156" s="1"/>
  <c r="B11" i="156"/>
  <c r="B45" i="156" s="1"/>
  <c r="C8" i="167"/>
  <c r="G12" i="149"/>
  <c r="F12" i="149"/>
  <c r="D7" i="138"/>
  <c r="C7" i="138"/>
  <c r="F4" i="131"/>
  <c r="F4" i="138" s="1"/>
  <c r="E4" i="138"/>
  <c r="G20" i="131"/>
  <c r="D16" i="131"/>
  <c r="E15" i="189" s="1"/>
  <c r="C16" i="131"/>
  <c r="C15" i="189" s="1"/>
  <c r="D21" i="131"/>
  <c r="F5" i="131"/>
  <c r="F5" i="138" s="1"/>
  <c r="C21" i="131"/>
  <c r="D7" i="131"/>
  <c r="E14" i="189" s="1"/>
  <c r="F13" i="131"/>
  <c r="F14" i="131"/>
  <c r="F5" i="144" s="1"/>
  <c r="G12" i="131"/>
  <c r="I12" i="131" s="1"/>
  <c r="F12" i="131"/>
  <c r="G19" i="131"/>
  <c r="G10" i="131"/>
  <c r="G11" i="131"/>
  <c r="I11" i="131" s="1"/>
  <c r="F20" i="131"/>
  <c r="F11" i="131"/>
  <c r="G18" i="131"/>
  <c r="G8" i="131"/>
  <c r="F19" i="131"/>
  <c r="F10" i="131"/>
  <c r="F4" i="144" s="1"/>
  <c r="G17" i="131"/>
  <c r="G6" i="131"/>
  <c r="C7" i="131"/>
  <c r="C14" i="189" s="1"/>
  <c r="F18" i="131"/>
  <c r="F8" i="131"/>
  <c r="F9" i="131" s="1"/>
  <c r="G15" i="131"/>
  <c r="I15" i="131" s="1"/>
  <c r="G5" i="131"/>
  <c r="F17" i="131"/>
  <c r="F6" i="131"/>
  <c r="F6" i="138" s="1"/>
  <c r="G14" i="131"/>
  <c r="F15" i="131"/>
  <c r="G13" i="131"/>
  <c r="I13" i="131" s="1"/>
  <c r="E21" i="131"/>
  <c r="E15" i="149" s="1"/>
  <c r="E16" i="149" s="1"/>
  <c r="H21" i="131"/>
  <c r="H15" i="149" s="1"/>
  <c r="H16" i="149" s="1"/>
  <c r="H9" i="131"/>
  <c r="E16" i="131"/>
  <c r="H16" i="131"/>
  <c r="E9" i="131"/>
  <c r="G4" i="131"/>
  <c r="H7" i="131"/>
  <c r="E7" i="131"/>
  <c r="H7" i="138" l="1"/>
  <c r="C15" i="149"/>
  <c r="C16" i="149" s="1"/>
  <c r="C16" i="189"/>
  <c r="D15" i="149"/>
  <c r="D16" i="149" s="1"/>
  <c r="E16" i="189"/>
  <c r="B5" i="128"/>
  <c r="J21" i="131"/>
  <c r="K16" i="131"/>
  <c r="J16" i="131" s="1"/>
  <c r="J14" i="131"/>
  <c r="J17" i="131"/>
  <c r="I17" i="131" s="1"/>
  <c r="K12" i="156"/>
  <c r="J12" i="156" s="1"/>
  <c r="I46" i="156"/>
  <c r="K6" i="181"/>
  <c r="J6" i="181" s="1"/>
  <c r="I28" i="181"/>
  <c r="K4" i="156"/>
  <c r="J4" i="156" s="1"/>
  <c r="I38" i="156"/>
  <c r="K10" i="181"/>
  <c r="J10" i="181" s="1"/>
  <c r="I32" i="181"/>
  <c r="K6" i="156"/>
  <c r="J6" i="156" s="1"/>
  <c r="I40" i="156"/>
  <c r="K7" i="156"/>
  <c r="J7" i="156" s="1"/>
  <c r="I41" i="156"/>
  <c r="K16" i="156"/>
  <c r="J16" i="156" s="1"/>
  <c r="I50" i="156"/>
  <c r="K5" i="182"/>
  <c r="J5" i="182" s="1"/>
  <c r="I21" i="182"/>
  <c r="K15" i="156"/>
  <c r="J15" i="156" s="1"/>
  <c r="I49" i="156"/>
  <c r="K14" i="156"/>
  <c r="J14" i="156" s="1"/>
  <c r="I48" i="156"/>
  <c r="K5" i="156"/>
  <c r="J5" i="156" s="1"/>
  <c r="I39" i="156"/>
  <c r="K5" i="181"/>
  <c r="J5" i="181" s="1"/>
  <c r="I27" i="181"/>
  <c r="K8" i="156"/>
  <c r="J8" i="156" s="1"/>
  <c r="I42" i="156"/>
  <c r="K11" i="156"/>
  <c r="J11" i="156" s="1"/>
  <c r="I45" i="156"/>
  <c r="K10" i="156"/>
  <c r="J10" i="156" s="1"/>
  <c r="I44" i="156"/>
  <c r="K4" i="182"/>
  <c r="J4" i="182" s="1"/>
  <c r="I8" i="182"/>
  <c r="I4" i="186" s="1"/>
  <c r="I20" i="182"/>
  <c r="K9" i="181"/>
  <c r="I31" i="181"/>
  <c r="K7" i="182"/>
  <c r="J7" i="182" s="1"/>
  <c r="I23" i="182"/>
  <c r="K9" i="156"/>
  <c r="J9" i="156" s="1"/>
  <c r="I43" i="156"/>
  <c r="K7" i="181"/>
  <c r="J7" i="181" s="1"/>
  <c r="I29" i="181"/>
  <c r="K8" i="181"/>
  <c r="J8" i="181" s="1"/>
  <c r="I30" i="181"/>
  <c r="K4" i="181"/>
  <c r="J4" i="181" s="1"/>
  <c r="I11" i="181"/>
  <c r="I4" i="187" s="1"/>
  <c r="I26" i="181"/>
  <c r="K13" i="156"/>
  <c r="J13" i="156" s="1"/>
  <c r="I47" i="156"/>
  <c r="K6" i="182"/>
  <c r="J6" i="182" s="1"/>
  <c r="I22" i="182"/>
  <c r="I18" i="131"/>
  <c r="J9" i="181"/>
  <c r="B8" i="182"/>
  <c r="B11" i="181"/>
  <c r="I20" i="131"/>
  <c r="I19" i="131"/>
  <c r="N5" i="131"/>
  <c r="N6" i="131"/>
  <c r="N4" i="131"/>
  <c r="I14" i="131"/>
  <c r="G5" i="144"/>
  <c r="B17" i="156"/>
  <c r="I10" i="131"/>
  <c r="G4" i="144"/>
  <c r="B34" i="156"/>
  <c r="G6" i="138"/>
  <c r="E7" i="138"/>
  <c r="F7" i="138"/>
  <c r="G5" i="138"/>
  <c r="G9" i="131"/>
  <c r="I9" i="131" s="1"/>
  <c r="I8" i="131"/>
  <c r="G4" i="138"/>
  <c r="G21" i="131"/>
  <c r="F7" i="131"/>
  <c r="G16" i="131"/>
  <c r="F16" i="131"/>
  <c r="F21" i="131"/>
  <c r="F15" i="149" s="1"/>
  <c r="F16" i="149" s="1"/>
  <c r="G7" i="131"/>
  <c r="B7" i="128" l="1"/>
  <c r="I16" i="131"/>
  <c r="J5" i="131"/>
  <c r="I5" i="131" s="1"/>
  <c r="J4" i="131"/>
  <c r="I4" i="131" s="1"/>
  <c r="N7" i="131"/>
  <c r="J7" i="131" s="1"/>
  <c r="I7" i="131" s="1"/>
  <c r="J6" i="131"/>
  <c r="I6" i="131" s="1"/>
  <c r="K8" i="182"/>
  <c r="J8" i="182" s="1"/>
  <c r="I24" i="182"/>
  <c r="J17" i="156"/>
  <c r="B51" i="156"/>
  <c r="B33" i="181"/>
  <c r="I33" i="181"/>
  <c r="K11" i="181"/>
  <c r="J11" i="181" s="1"/>
  <c r="B24" i="182"/>
  <c r="I21" i="131"/>
  <c r="G15" i="149"/>
  <c r="G16" i="149" s="1"/>
  <c r="G7" i="138"/>
  <c r="B8" i="128" l="1"/>
  <c r="B9" i="128" l="1"/>
  <c r="B10" i="128"/>
  <c r="B11" i="128" s="1"/>
  <c r="B12" i="128" l="1"/>
  <c r="B13" i="128" s="1"/>
  <c r="B14" i="128" s="1"/>
  <c r="B16" i="128" l="1"/>
  <c r="B17" i="128" s="1"/>
  <c r="B18" i="128" s="1"/>
  <c r="B19" i="128" l="1"/>
  <c r="B20" i="128" l="1"/>
  <c r="B21" i="128" l="1"/>
  <c r="B22" i="128" s="1"/>
  <c r="B23" i="128" s="1"/>
  <c r="B24" i="128" s="1"/>
  <c r="B25" i="128" s="1"/>
  <c r="B26" i="128" s="1"/>
  <c r="B27" i="128" s="1"/>
  <c r="B28" i="128" s="1"/>
  <c r="B29" i="128" s="1"/>
  <c r="B30" i="128" l="1"/>
  <c r="B31" i="128" s="1"/>
  <c r="B32" i="128" s="1"/>
  <c r="B34" i="128" l="1"/>
  <c r="B35" i="128" s="1"/>
  <c r="B36" i="128" s="1"/>
  <c r="B37" i="128" s="1"/>
  <c r="B38" i="128" s="1"/>
  <c r="B39" i="128" s="1"/>
  <c r="B40" i="128" s="1"/>
  <c r="B42" i="128" s="1"/>
  <c r="B43" i="128" s="1"/>
  <c r="B44" i="128" s="1"/>
  <c r="B45" i="128" s="1"/>
  <c r="B46" i="128" s="1"/>
  <c r="B47" i="128" s="1"/>
  <c r="B48" i="128" s="1"/>
  <c r="B49" i="128" s="1"/>
  <c r="B50" i="128" s="1"/>
  <c r="B51" i="128" s="1"/>
  <c r="B52" i="128" l="1"/>
  <c r="B53" i="128" s="1"/>
  <c r="B54" i="128" s="1"/>
  <c r="B55" i="128" s="1"/>
  <c r="B56" i="128" s="1"/>
  <c r="B57" i="1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<sst xmlns="http://schemas.openxmlformats.org/spreadsheetml/2006/main" count="2594" uniqueCount="752">
  <si>
    <t>We have published this workbook in conjuction with the RIIO-2 Re-opener Applications 2025 Draft Determinations. It contains the tables used in the core document and annexes.</t>
  </si>
  <si>
    <t>Title</t>
  </si>
  <si>
    <t>Information</t>
  </si>
  <si>
    <t>Publisher</t>
  </si>
  <si>
    <t>Ofgem - Small and Medium Sized Projects</t>
  </si>
  <si>
    <t>Version</t>
  </si>
  <si>
    <t>Publication date</t>
  </si>
  <si>
    <t>Filename</t>
  </si>
  <si>
    <t>RIIO-2 Re-opener Applications 2025 Draft Determinations - Data File</t>
  </si>
  <si>
    <t>Price Base For Costs (ET/GT/GD)</t>
  </si>
  <si>
    <t>2018/19</t>
  </si>
  <si>
    <t>Price Base For Costs (ED)</t>
  </si>
  <si>
    <t>2020/21</t>
  </si>
  <si>
    <t>Cover table Licencees</t>
  </si>
  <si>
    <t>Sector_Group</t>
  </si>
  <si>
    <t>Network Name</t>
  </si>
  <si>
    <t>Sector Group Short</t>
  </si>
  <si>
    <t>Sector</t>
  </si>
  <si>
    <t>Network Short Name</t>
  </si>
  <si>
    <t>National Grid Electricity Transmission</t>
  </si>
  <si>
    <t>ET_NGrid</t>
  </si>
  <si>
    <t>ET</t>
  </si>
  <si>
    <t>NGET</t>
  </si>
  <si>
    <t>Scottish Hydro Electric Transmission</t>
  </si>
  <si>
    <t>ET_SSE</t>
  </si>
  <si>
    <t>SHET</t>
  </si>
  <si>
    <t>SP Transmission</t>
  </si>
  <si>
    <t>ET_SPEN</t>
  </si>
  <si>
    <t>SPT</t>
  </si>
  <si>
    <t>National Gas Transmission</t>
  </si>
  <si>
    <t>GT_NGas</t>
  </si>
  <si>
    <t>GT</t>
  </si>
  <si>
    <t>NGT</t>
  </si>
  <si>
    <t>Electricity North West</t>
  </si>
  <si>
    <t>ED_ENWL</t>
  </si>
  <si>
    <t>ED</t>
  </si>
  <si>
    <t>ENWL</t>
  </si>
  <si>
    <t>Northern Powergrid</t>
  </si>
  <si>
    <t>Northern Powergrid - Northern</t>
  </si>
  <si>
    <t>ED_NPG</t>
  </si>
  <si>
    <t>NPGN</t>
  </si>
  <si>
    <t>Northern Powergrid - Yorkshire</t>
  </si>
  <si>
    <t>NPGY</t>
  </si>
  <si>
    <t>National Grid Electricity Distribution</t>
  </si>
  <si>
    <t>National Grid Electricity Distribution - West Midlands</t>
  </si>
  <si>
    <t>ED_NGrid</t>
  </si>
  <si>
    <t>WMID</t>
  </si>
  <si>
    <t>National Grid Electricity Distribution - East Midlands</t>
  </si>
  <si>
    <t>EMID</t>
  </si>
  <si>
    <t>National Grid Electricity Distribution - South Wales</t>
  </si>
  <si>
    <t>SWALES</t>
  </si>
  <si>
    <t>National Grid Electricity Distribution - South West</t>
  </si>
  <si>
    <t>SWEST</t>
  </si>
  <si>
    <t>SP Energy Networks</t>
  </si>
  <si>
    <t>SP Energy Networks - Distribution</t>
  </si>
  <si>
    <t>ED_SPEN</t>
  </si>
  <si>
    <t>SPD</t>
  </si>
  <si>
    <t>SP Energy Networks - Manweb</t>
  </si>
  <si>
    <t>SPMW</t>
  </si>
  <si>
    <t>Scottish and Southern Energy</t>
  </si>
  <si>
    <t>SSEN Distribution - Hydro</t>
  </si>
  <si>
    <t>ED_SSE</t>
  </si>
  <si>
    <t>SSEH</t>
  </si>
  <si>
    <t>SSEN Distribution - Southern</t>
  </si>
  <si>
    <t>SSES</t>
  </si>
  <si>
    <t>UK Power Networks</t>
  </si>
  <si>
    <t>UK Power Networks - East</t>
  </si>
  <si>
    <t>ED_UKPN</t>
  </si>
  <si>
    <t>EPN</t>
  </si>
  <si>
    <t>UK Power Networks - London</t>
  </si>
  <si>
    <t>LPN</t>
  </si>
  <si>
    <t>UK Power Networks - South East</t>
  </si>
  <si>
    <t>SPN</t>
  </si>
  <si>
    <t>Cadent</t>
  </si>
  <si>
    <t>Cadent - East of England</t>
  </si>
  <si>
    <t>GD_Cad</t>
  </si>
  <si>
    <t>GD</t>
  </si>
  <si>
    <t>EoE</t>
  </si>
  <si>
    <t>Cadent - London</t>
  </si>
  <si>
    <t>Lon</t>
  </si>
  <si>
    <t>Cadent - North West</t>
  </si>
  <si>
    <t>NW</t>
  </si>
  <si>
    <t>Cadent - West Midlands</t>
  </si>
  <si>
    <t>WM</t>
  </si>
  <si>
    <t>Northern Gas Networks</t>
  </si>
  <si>
    <t>GD_NGN</t>
  </si>
  <si>
    <t>NGN</t>
  </si>
  <si>
    <t>Scotia Gas Networks</t>
  </si>
  <si>
    <t>Scotia Gas Networks - Scotland</t>
  </si>
  <si>
    <t>GD_SGN</t>
  </si>
  <si>
    <t>Sc</t>
  </si>
  <si>
    <t>Scotia Gas Networks - Southern</t>
  </si>
  <si>
    <t>So</t>
  </si>
  <si>
    <t>Wales &amp; West Utilities</t>
  </si>
  <si>
    <t>Wales and West Utilities</t>
  </si>
  <si>
    <t>GD_WWU</t>
  </si>
  <si>
    <t>WWU</t>
  </si>
  <si>
    <t>Opex Escalator/Indirect Scaler rates</t>
  </si>
  <si>
    <t>OE_IS_Rate</t>
  </si>
  <si>
    <t>Applications subject to this consultation/decision</t>
  </si>
  <si>
    <t>Mechanism</t>
  </si>
  <si>
    <t>Opex Escalator/Indirect Scaler</t>
  </si>
  <si>
    <t>NGET MSIP 2025</t>
  </si>
  <si>
    <t>ET Medium Sized Investment Projects (MSIP)</t>
  </si>
  <si>
    <t>Yes</t>
  </si>
  <si>
    <t>SPT MSIP 2025</t>
  </si>
  <si>
    <t>SHET MSIP 2025</t>
  </si>
  <si>
    <t>ENWL Load Related Expenditure Re-opener 2025</t>
  </si>
  <si>
    <t>ED Load Related Expenditure Re-opener</t>
  </si>
  <si>
    <t>SHET Gremista GSP 2024</t>
  </si>
  <si>
    <t>ET Large Onshore Transmission Investments (LOTI)</t>
  </si>
  <si>
    <t>No</t>
  </si>
  <si>
    <t>SSEN-D Orkney Whole System Uncertainty Mechanism (HOWSUM) 2025</t>
  </si>
  <si>
    <t xml:space="preserve">ED Hebrides and Orkney – (SSEN only) </t>
  </si>
  <si>
    <t>Cadent HSE Policy Re-opener 2023</t>
  </si>
  <si>
    <t>GD HSE policy Re-opener</t>
  </si>
  <si>
    <t>NGN HSE Policy Re-opener 2023</t>
  </si>
  <si>
    <t>SGN HSE policy Re-opener 2023</t>
  </si>
  <si>
    <t>WWU HSE policy Re-opener 2023</t>
  </si>
  <si>
    <t>Cadent Specified Streetworks Costs Re-opener 2023</t>
  </si>
  <si>
    <t>GD Specified Streetworks Costs Re-opener</t>
  </si>
  <si>
    <t>NGN Specified Streetworks Costs Re-opener 2023</t>
  </si>
  <si>
    <t>SGN Specified Streetworks Costs Re-opener 2023</t>
  </si>
  <si>
    <t>WWU Specified Streetworks Costs Re-opener 2023</t>
  </si>
  <si>
    <t>Cadent Net Zero Pre-construction Work and Small Net Zero Projects Reopener</t>
  </si>
  <si>
    <t>GD Net zero pre-construction works and small net zero projects re-opener</t>
  </si>
  <si>
    <t>Sheet</t>
  </si>
  <si>
    <t>Tab Name</t>
  </si>
  <si>
    <t>Worksheet Title</t>
  </si>
  <si>
    <t>Link</t>
  </si>
  <si>
    <t>Cover</t>
  </si>
  <si>
    <t>Cover Sheet</t>
  </si>
  <si>
    <t>Applications</t>
  </si>
  <si>
    <t>Contents</t>
  </si>
  <si>
    <t>Tables and Figures in Overview Document</t>
  </si>
  <si>
    <t>Table1_Licensees</t>
  </si>
  <si>
    <t>Table 1: Regulated network companies</t>
  </si>
  <si>
    <t>Table2_Reopener_Applications</t>
  </si>
  <si>
    <t>Table 2: Re-opener applications subject to this consultation</t>
  </si>
  <si>
    <t>Table3_DDs_Summary</t>
  </si>
  <si>
    <t>Table 3: Summary of Draft Determinations</t>
  </si>
  <si>
    <t>Table4_DD_Consumer_Cost</t>
  </si>
  <si>
    <t>Table 4: Estimated total amount to be paid by customers through their bills for these Draft Determinations</t>
  </si>
  <si>
    <t>Table5_Consultation_Stages</t>
  </si>
  <si>
    <t>Table 5: Consultation Stages</t>
  </si>
  <si>
    <t>Table6_DDReview</t>
  </si>
  <si>
    <t>Table 6: Decision implementation overview</t>
  </si>
  <si>
    <t>Overview_A2</t>
  </si>
  <si>
    <t>Appendix 2: Re-opener mechanisms overview</t>
  </si>
  <si>
    <t>Overview_A3</t>
  </si>
  <si>
    <t>Appendix 3: Network companies published re-opener applications</t>
  </si>
  <si>
    <t>Tables and Figures in ET Annex</t>
  </si>
  <si>
    <t>TableET1_DD_Summary</t>
  </si>
  <si>
    <t>Table ET1 Draft Determinations on the ET Re-opener submissions in 2025</t>
  </si>
  <si>
    <t>TableET2_MSIP_DD_Summary</t>
  </si>
  <si>
    <t>Table ET2 Draft Determinations on the MSIP Projects in 2025</t>
  </si>
  <si>
    <t>TableET3_NGET_Draft_Det</t>
  </si>
  <si>
    <t>Table ET3 Draft Determinations on Needs Case and Optioneering on NGET's 2025 MSIPs</t>
  </si>
  <si>
    <t>TableET4_NGET_ET2</t>
  </si>
  <si>
    <t>Table ET4 Summary of Proposed ET2 Adjustments on NGET's 2025 MSIPs</t>
  </si>
  <si>
    <t>TableET5_NGET_ET3</t>
  </si>
  <si>
    <t>Table ET5 Summary of Proposed ET3 Adjustments on NGET's 2025 MSIPs</t>
  </si>
  <si>
    <t>TableET6_SHET_Draft_Det</t>
  </si>
  <si>
    <t>Table ET6 Draft Determinations on Needs Case and Optioneering on SHET's 2025 MSIPs</t>
  </si>
  <si>
    <t>TableET7_SHET_ET2</t>
  </si>
  <si>
    <t>Table ET7 Summary of Proposed ET2 Adjustments on SHET's 2025 MSIPs</t>
  </si>
  <si>
    <t>TableET8_SHET_ET3</t>
  </si>
  <si>
    <t>Table ET8 Summary of Proposed ET3 Adjustments on SHET's 2025 MSIPs</t>
  </si>
  <si>
    <t>TableET9_SPT_Draft_Det</t>
  </si>
  <si>
    <t>Table ET9 Draft Determinations on Needs Case and Optioneering on SPT's 2025 MSIPs</t>
  </si>
  <si>
    <t>TableET10_SPT_ET2</t>
  </si>
  <si>
    <t>Table ET10 Summary of Proposed ET2 Adjustments on SPT's 2025 MSIPs</t>
  </si>
  <si>
    <t>TableET11_SPT_ET3</t>
  </si>
  <si>
    <t>Table ET11 Summary of Proposed ET3 Adjustments on SPT's 2025 MSIPs</t>
  </si>
  <si>
    <t>TableET12_LOTI_1</t>
  </si>
  <si>
    <t>Table ET12 Summary of SHET’s Gremista GSP Total Project Costs</t>
  </si>
  <si>
    <t>TableET13_LOTI_2</t>
  </si>
  <si>
    <t>Table ET13 Summary of Proposed ET2 Adjustments on SHET’s Gremista GSP</t>
  </si>
  <si>
    <t>ET_A5_MSIP_Direction_NGET</t>
  </si>
  <si>
    <t>Appendix 1 Medium Sized Investment Project Price Control Deliverable (£m)</t>
  </si>
  <si>
    <t>ET_A5_MSIP_Direction_SHET</t>
  </si>
  <si>
    <t>ET_A5_MSIP_Direction_SPT</t>
  </si>
  <si>
    <t>ET_A6_Appendix2</t>
  </si>
  <si>
    <t>Appendix 2 of Special Condition 3.13 Large onshore transmission investment Re-opener (LOTIAt and LOTIREt)</t>
  </si>
  <si>
    <t>Tables and Figures in ED Annex</t>
  </si>
  <si>
    <t>TableED1_DD_Summary</t>
  </si>
  <si>
    <t>Table ED1: Draft Determinations for the re-openers in ED</t>
  </si>
  <si>
    <t>TableED2_HOWSUM_Projects</t>
  </si>
  <si>
    <t>Table ED2: Draft Determinations on the Hebrides and Orkney Re-opener submissions in 2025 (£m, 2020/21)</t>
  </si>
  <si>
    <t>TableED3_ENWL_LRE_Request</t>
  </si>
  <si>
    <t>Table ED3: Funding request from ENWL</t>
  </si>
  <si>
    <t>TableED4_LRE_EJP_Assessment</t>
  </si>
  <si>
    <t>Table ED4: Draft Determinations on Needs Case on EJPs</t>
  </si>
  <si>
    <t>TableED5_LRE_DD_Summmary</t>
  </si>
  <si>
    <t>Table ED5: Model Costs and Ofgem’s Draft Determinations</t>
  </si>
  <si>
    <t>ED_A5_LRE_Direction</t>
  </si>
  <si>
    <t>Appendix 1: Uncertain Costs without Evaluative Price Control Deliverables allowances (£m)</t>
  </si>
  <si>
    <t>ED_A6_HOWSUM_Direction</t>
  </si>
  <si>
    <t>Tables and Figures in GD Annex</t>
  </si>
  <si>
    <t>TableGD1_GD_Reopeners</t>
  </si>
  <si>
    <t>Table GD1: GD re-opener mechanisms subject to this decision</t>
  </si>
  <si>
    <t>TableGD2_DDs_Summary</t>
  </si>
  <si>
    <t>Table GD2: Summary of our GD Draft Determinations</t>
  </si>
  <si>
    <t>TableGD3_HSE_DD_Summary</t>
  </si>
  <si>
    <t>Table GD3: applications received and summary of our DDs</t>
  </si>
  <si>
    <t>TableGD3a_HSE_Benchmarking</t>
  </si>
  <si>
    <t>Table GD3a: HSE Policy benchmarking</t>
  </si>
  <si>
    <t>TableGD4_Streetworks_DD_Summary</t>
  </si>
  <si>
    <t>Table GD4: applications received and summary of our DDs</t>
  </si>
  <si>
    <t>TableGD4a_Cadent_Costs</t>
  </si>
  <si>
    <t>Table GD4a: Summary of Cadent’s request under the Specified Streetworks Costs Re-opener and Ofgem’s DDs (£m, 2018/19 prices)</t>
  </si>
  <si>
    <t>TableGD4b_NGN_Costs</t>
  </si>
  <si>
    <t>Table GD4b: Summary of NGN’s request under the Specified Streetworks Costs Re-opener and Ofgem’s DDs (£m, 2018/19 prices)</t>
  </si>
  <si>
    <t>TableGD4c_SGN_Costs</t>
  </si>
  <si>
    <t>Table GD4c: Summary of SGN’s request under the Specified Streetworks Costs Re-opener and Ofgem’s DDs (£m, 2018/19 prices)</t>
  </si>
  <si>
    <t>TableGD4d_WWU_Costs</t>
  </si>
  <si>
    <t>Table GD4d: Summary of WWU’s request under the Specified Streetworks Costs Re-opener and Ofgem’s DDs (£m, 2018/19 prices)</t>
  </si>
  <si>
    <t>TableGD5_NetZero_DD_Summary</t>
  </si>
  <si>
    <t>Table GD5: applications received and summary of our DDs</t>
  </si>
  <si>
    <t>TableGD5a_NetZero_Cadent_Costs</t>
  </si>
  <si>
    <t>Table GD5a: Cost assessment for Cadent's NZASP project (£m, 2018/19 prices)</t>
  </si>
  <si>
    <t>TableGD5b_NetZero_Deliverables</t>
  </si>
  <si>
    <t>Table GD5b: Cadent's proposed project deliverables</t>
  </si>
  <si>
    <t>GD_A1_Annex1</t>
  </si>
  <si>
    <t>Annex 1: SpC 3.17 HSE Policy Re-opener REPt</t>
  </si>
  <si>
    <t>GD_A1_Annex2</t>
  </si>
  <si>
    <t>Annex 2: SpC 3.24 Specified Streetworks Costs Re-opener STWt</t>
  </si>
  <si>
    <t>GD_A2_Annex1</t>
  </si>
  <si>
    <t>Annex 1: SpC 3.9 Net Zero Pre-construction Work and Small Net Zero Projects (£m, 2018/19 prices)</t>
  </si>
  <si>
    <t>GD_A2_Annex2</t>
  </si>
  <si>
    <t>Annex 2: Project deliverables</t>
  </si>
  <si>
    <t>Company Group</t>
  </si>
  <si>
    <t>Sector Group</t>
  </si>
  <si>
    <t>Network</t>
  </si>
  <si>
    <t>Network
Short Name</t>
  </si>
  <si>
    <t>National Grid</t>
  </si>
  <si>
    <t>National Gas</t>
  </si>
  <si>
    <t>NGGT</t>
  </si>
  <si>
    <t>Scotia Gas Network</t>
  </si>
  <si>
    <t>Scotland Gas Network</t>
  </si>
  <si>
    <t>Southern Gas Network</t>
  </si>
  <si>
    <t>Re-opener Mechanism</t>
  </si>
  <si>
    <t>No. of companies</t>
  </si>
  <si>
    <t>No. of projects</t>
  </si>
  <si>
    <t>Price Base*</t>
  </si>
  <si>
    <t>Company forecast cost
£m</t>
  </si>
  <si>
    <t>Check: no. of projects</t>
  </si>
  <si>
    <t>Check: company forecast</t>
  </si>
  <si>
    <t>Table 3: Summary of our Draft Determinations</t>
  </si>
  <si>
    <t>Reconciliation against Mechanism Tables: Cost Adjustments</t>
  </si>
  <si>
    <t>Company Requested Number of Projects</t>
  </si>
  <si>
    <t>Company Requested Forecast costs £m</t>
  </si>
  <si>
    <t>Ofgem’s DD - Projects Approved*</t>
  </si>
  <si>
    <t>Ofgem’s DD - Projects Not Approved</t>
  </si>
  <si>
    <t>Ofgem’s DD - Cost adjustment £m</t>
  </si>
  <si>
    <t>Ofgem’s DD - Allowances £m</t>
  </si>
  <si>
    <t>Total</t>
  </si>
  <si>
    <t>N/A</t>
  </si>
  <si>
    <t>* or partially approved</t>
  </si>
  <si>
    <t>Company</t>
  </si>
  <si>
    <t>Price
Base</t>
  </si>
  <si>
    <t>Paid by Consumers: Reopener Allowances (£m)</t>
  </si>
  <si>
    <t>Paid by Consumers: Additional Allowances (£m)</t>
  </si>
  <si>
    <t xml:space="preserve">Paid by Consumers: Company Debt Repayments </t>
  </si>
  <si>
    <t>Paid by Consumers: Company Shareholder Return</t>
  </si>
  <si>
    <t>Total Paid by Consumers</t>
  </si>
  <si>
    <t>Present Value of Total Paid by Consumers</t>
  </si>
  <si>
    <t>Sector Total</t>
  </si>
  <si>
    <t>All</t>
  </si>
  <si>
    <t>All Sectors Total</t>
  </si>
  <si>
    <t>2024/25</t>
  </si>
  <si>
    <t>Stage 1</t>
  </si>
  <si>
    <t>Stage 2</t>
  </si>
  <si>
    <t>Stage 3</t>
  </si>
  <si>
    <t>Stage 4</t>
  </si>
  <si>
    <t>Consultation open
(Draft Determinations)</t>
  </si>
  <si>
    <t>Consultation closes (awaiting decision). 
Deadline for responses</t>
  </si>
  <si>
    <t>Responses reviewed and published</t>
  </si>
  <si>
    <t xml:space="preserve">Final Determinations
</t>
  </si>
  <si>
    <t>Autumn 2025</t>
  </si>
  <si>
    <t>By the end of 2025</t>
  </si>
  <si>
    <t>Network company</t>
  </si>
  <si>
    <t>Licence condition/ Reopener applications subject to this decision</t>
  </si>
  <si>
    <t>Direction/ licence modification</t>
  </si>
  <si>
    <t>SpC: 3.14 Medium Sized Investment Projects Re-opener and Price Control Deliverable (MSIPREt)</t>
  </si>
  <si>
    <t>Licence modification</t>
  </si>
  <si>
    <t xml:space="preserve">SpC: 3.2 (Hebrides and Orkney Re-opener) Part O </t>
  </si>
  <si>
    <t>Direction</t>
  </si>
  <si>
    <t xml:space="preserve">SpC: 3.2 (Load Related Expenditure Re-opener (LREt)) Part J </t>
  </si>
  <si>
    <t>SpC:  3.17 (HSE policy Re-opener (REPt)) and SpC:  3.24 (Specified Streetworks Costs Re-opener)
(STWt)</t>
  </si>
  <si>
    <t xml:space="preserve">Direction </t>
  </si>
  <si>
    <t>SGN (Scotland Gas Network)</t>
  </si>
  <si>
    <t xml:space="preserve">Southern Gas Networks </t>
  </si>
  <si>
    <t>SpC: 3.9 (Net Zero Pre-construction work and Small Net Zero Projects Re-opener) Part C</t>
  </si>
  <si>
    <t>Purpose</t>
  </si>
  <si>
    <t>Benefits</t>
  </si>
  <si>
    <t>Licence Condition</t>
  </si>
  <si>
    <t>Chapter reference</t>
  </si>
  <si>
    <t>Link to the relevant FD document</t>
  </si>
  <si>
    <t>Medium Sized Investment Projects (MSIP)</t>
  </si>
  <si>
    <t>To ensure that ETOs are able to undertake necessary investments in the transmission network, funding for which has not been provided in RIIO baseline allowances.</t>
  </si>
  <si>
    <t>Allows Ofgem to scrutinise, on behalf of consumers, the need for and cost of projects with more unusual characteristics.</t>
  </si>
  <si>
    <t>Special condition 3.14</t>
  </si>
  <si>
    <t>4.49 - 4.58 of RIIO-2 Final Determinations Electricity Transmission System Annex (REVISED)</t>
  </si>
  <si>
    <t>RIIO-2 Final Determinations Electricity Transmission System Annex (REVISED) (ofgem.gov.uk)</t>
  </si>
  <si>
    <t>Large Onshore Transmission Investment (LOTI)</t>
  </si>
  <si>
    <t>To ensure that TOs are funded to undertake necessary large investments on the transmission network.</t>
  </si>
  <si>
    <t>Allows Ofgem to scrutinise, on behalf of consumers, large transmission investments at the point at which needs case and efficient costs can be scrutinised more effectively.</t>
  </si>
  <si>
    <t>Special Condition 3.13</t>
  </si>
  <si>
    <t>4.29 - 4.34 of RIIO-2 Final Determinations Electricity Transmission System Annex (REVISED)</t>
  </si>
  <si>
    <t>Hebrides and Orkney - (SSEN only)</t>
  </si>
  <si>
    <t>To allow for upward adjustment of ex ante allowances after identification of customer needs once third-party uncertainties have reduced.</t>
  </si>
  <si>
    <t>The consumer bears less risk of paying for over- or underinvestment in infrastructure needs for the islands.</t>
  </si>
  <si>
    <t>Special Condition 3.2</t>
  </si>
  <si>
    <t>4.6 - 4.9 of RIIO-ED2 Final Determinations SSEN Annex</t>
  </si>
  <si>
    <t>RIIO-ED2 Final Determinations SSEN Annex (ofgem.gov.uk)</t>
  </si>
  <si>
    <t xml:space="preserve">Load Related Expenditure Re-opener </t>
  </si>
  <si>
    <t>To enable additional investment in DNOs primary networks, if required.</t>
  </si>
  <si>
    <t>Ensure networks have sufficient funding to enable net zero and protect consumers from paying higher costs than necessary.</t>
  </si>
  <si>
    <t>3.21 - 3.32 of RIIO-ED2 Final Determinations Core Methodology</t>
  </si>
  <si>
    <t>RIIO-ED2 Final Determinations Core Methodology (ofgem.gov.hk)</t>
  </si>
  <si>
    <t>Health and Safety Executive (HSE) Policy Re-opener</t>
  </si>
  <si>
    <t>A common re-opener to account for changes in HSE-related policy areas that result in material changes to GDNs' costs during RIIO-GD2.</t>
  </si>
  <si>
    <t>Provides appropriate protection for consumers, and GDNs, by adjusting funding (upwards or downwards) to account for changes to safety requirements that result from changes in HSE policy or to GDNs' Approved Programmes during the course of RIIO-GD2.</t>
  </si>
  <si>
    <t>Special Condition 3.17</t>
  </si>
  <si>
    <t>4.15 - 4.18 of the  RIIO-2 Final Determinations - GD Sector Annex (REVISED)</t>
  </si>
  <si>
    <t>RIIO-2 Final Determinations - GD Sector Annex (REVISED)</t>
  </si>
  <si>
    <t>Net Zero Pre-Construction Work and Small Net Zero Projects (NZASP) Re-opener</t>
  </si>
  <si>
    <t>To allow GD and GT network companies to undertake design and pre-construction work that is too material for the UIOLI and also to progress Net Zero facilitation projects that aren't material enough for the Net Zero Re-opener.</t>
  </si>
  <si>
    <t>Enables companies to progress small value, but high impact, Net Zero work in an agile way.</t>
  </si>
  <si>
    <t>Special Condition 3.9</t>
  </si>
  <si>
    <t>8.27 - 8.32 of RIIO-2 Final Determinations - Core Document</t>
  </si>
  <si>
    <t>RIIO-2 Final Determinations - Core Document</t>
  </si>
  <si>
    <t>Specified Streetworks Costs Re-opener</t>
  </si>
  <si>
    <t>An ongoing re-opener from RIIO-GD1 to recover the efficient costs of complying with new permit and lane rental schemes or new requirements introduced by public bodies after the RIIO-GD2 price control is set.</t>
  </si>
  <si>
    <t>The mechanism protects customers and GDNs by avoiding the inclusion of uncertain streetworks spend in baseline allowances and providing an opportunity for GDNs to request funding for potential additional efficient costs within period, if they arise</t>
  </si>
  <si>
    <t>Special Condition 3.24</t>
  </si>
  <si>
    <t>4.52 - 4.55 of RIIO-2 Final Determinations - GD Sector Annex (REVISED)</t>
  </si>
  <si>
    <t xml:space="preserve">Company </t>
  </si>
  <si>
    <t xml:space="preserve">Re-opener Mechanism </t>
  </si>
  <si>
    <t>Link to relevant publications</t>
  </si>
  <si>
    <t>Our RIIO-2 business plan | National Grid</t>
  </si>
  <si>
    <t>Medium Sized Investment Projects (MSIP) - SSEN Transmission</t>
  </si>
  <si>
    <t>MSIP Reopeners - SP Energy Networks</t>
  </si>
  <si>
    <t>Large Onshore Transmission Investment (LOTI) mechanism</t>
  </si>
  <si>
    <t>Gremista GSP (Grid Supply Point) and 132kV Connection - SSEN Transmission</t>
  </si>
  <si>
    <t>SSEN</t>
  </si>
  <si>
    <t>Hebrides and Orkney Whole System Uncertainty Mechanism (HOWSUM)</t>
  </si>
  <si>
    <t>Whole system energy solutions for the Scottish Islands - SSEN</t>
  </si>
  <si>
    <t>Load Related Expenditure Re-opener (LREt)</t>
  </si>
  <si>
    <t>Public information</t>
  </si>
  <si>
    <t>Fatigue-Re-opener-Submission-September-2024.pdf</t>
  </si>
  <si>
    <t>NGN-RIIO-GD2-HSE-Policy-Special-Condition-3.17-Re-opener-Submission-300924-redactedv2.0-2.pdf</t>
  </si>
  <si>
    <t>SGN</t>
  </si>
  <si>
    <t>SGN HSE Re-opener_30 September 2024_Redacted_0.pdf</t>
  </si>
  <si>
    <t>Microsoft Word - WWU re-opener - Fatigue Final_03.10.2024 redacted revised</t>
  </si>
  <si>
    <t>Net-Zero-Pre-construction-Work-and-Small-Net-Zero-Projects-Re-opener-Cadent-Vehicle-Based-Advanc.pdf</t>
  </si>
  <si>
    <t>Streetworks-Re-opener-Submission-September-2024.pdf</t>
  </si>
  <si>
    <t>NGN-RIIO-GD2-Specified-Streetworks-Special-Condition-3.24-Re-opener-Submission-300924-1.pdf</t>
  </si>
  <si>
    <t>SGN Streetworks Re-opener_30 September 2024_Redacted_0.pdf</t>
  </si>
  <si>
    <t>Microsoft Word - WWU Streetworks re-opener paper redacted revised</t>
  </si>
  <si>
    <t>* We refer to Draft Determinations as ‘Ofgem’s DD’. Projects approved also include partial approval.</t>
  </si>
  <si>
    <t>Company Requested Project</t>
  </si>
  <si>
    <t>Ofgem’s DD* - Cost adjustment £m</t>
  </si>
  <si>
    <t>NGET Central Reactive Voltage - Ironbridge</t>
  </si>
  <si>
    <t>NGET Central Reactive Voltage - Willington</t>
  </si>
  <si>
    <t>NGET Heysham OPS scheme for ENWL</t>
  </si>
  <si>
    <t>NGET Marston Vale (Millbrook)</t>
  </si>
  <si>
    <t>NGET Necton 400kV site strategy</t>
  </si>
  <si>
    <t>NGET Norwich 400kV site strategy</t>
  </si>
  <si>
    <t>NGET OTS - East Anglia</t>
  </si>
  <si>
    <t>NGET OTS - Lackenby</t>
  </si>
  <si>
    <t>NGET OTS Killingholme</t>
  </si>
  <si>
    <t>NGET Pathfinder - East Anglia OTS</t>
  </si>
  <si>
    <t>NGET Pathfinder - Yaxley</t>
  </si>
  <si>
    <t>NGET Penrhos 132kV site strategy</t>
  </si>
  <si>
    <t>NGET Wallend</t>
  </si>
  <si>
    <t>SHET Constraint Management Pathfinder (B6)</t>
  </si>
  <si>
    <t>SHET Lochluichart and Corriemollie</t>
  </si>
  <si>
    <t>SHET North of Beauly DLR (stage 2)</t>
  </si>
  <si>
    <t>SHET Tealing bypass</t>
  </si>
  <si>
    <t>SPT Branxton 400kV Substation</t>
  </si>
  <si>
    <t>SPT Extension of Sub-Synchronous Oscillation (SSO) Detection Capabilities</t>
  </si>
  <si>
    <t>SPT Inch Cape Offshore Wind Farm</t>
  </si>
  <si>
    <t>SPT SPT-RI-1742 Cockenzie Overload Protection Scheme</t>
  </si>
  <si>
    <t>SPT-RI 282 Mark Hill SGT4</t>
  </si>
  <si>
    <t>SPT-RI-302 Glenglass 132kV Substation</t>
  </si>
  <si>
    <t>SPT-TOCO 2201 Kilmarnock South H1</t>
  </si>
  <si>
    <t>*We refer to draft determinations as ‘Ofgem’s DD’.</t>
  </si>
  <si>
    <t>No. of Project assessed</t>
  </si>
  <si>
    <t>Needs Case approved</t>
  </si>
  <si>
    <t>Need case rejected or partially rejected</t>
  </si>
  <si>
    <t>Optioneering approved</t>
  </si>
  <si>
    <t>Optioneering rejected or partially rejected</t>
  </si>
  <si>
    <t>Project Name</t>
  </si>
  <si>
    <t>Funding Request £m</t>
  </si>
  <si>
    <t>Adjustment – OE £m</t>
  </si>
  <si>
    <t>Adjustment – RPE £m</t>
  </si>
  <si>
    <t>Adjustment – Risk £m</t>
  </si>
  <si>
    <t>Adjustment – Optioneering £m</t>
  </si>
  <si>
    <t>Adjustment – Low Cost Confidence items £m</t>
  </si>
  <si>
    <t>Adjustment – Eligibility £m</t>
  </si>
  <si>
    <t>Ofgem’s DD* £m</t>
  </si>
  <si>
    <t>Reconciliation</t>
  </si>
  <si>
    <t>RIIO-3</t>
  </si>
  <si>
    <t xml:space="preserve">SHET North of Beauly DLR (stage 2) </t>
  </si>
  <si>
    <t xml:space="preserve"> </t>
  </si>
  <si>
    <t>Categories Cost Breakdown</t>
  </si>
  <si>
    <t>Total Project Cost (£m)</t>
  </si>
  <si>
    <t>Project Management</t>
  </si>
  <si>
    <t>Regulatory and Consent</t>
  </si>
  <si>
    <t>Engineering</t>
  </si>
  <si>
    <t>Equipment Procurement</t>
  </si>
  <si>
    <t>Construction – Main and Ancillary Contracts</t>
  </si>
  <si>
    <t>Commissioning and Operations</t>
  </si>
  <si>
    <t>Risk and Contingency</t>
  </si>
  <si>
    <t>Other Direct Costs</t>
  </si>
  <si>
    <t>RIIO-ET2 Total</t>
  </si>
  <si>
    <t>RIIO-ET1 Costs</t>
  </si>
  <si>
    <t>Project Total</t>
  </si>
  <si>
    <t>Reclassified costs</t>
  </si>
  <si>
    <t>Cost Re-classification</t>
  </si>
  <si>
    <t>Pre-construction costs</t>
  </si>
  <si>
    <t>Direct costs</t>
  </si>
  <si>
    <t>Risk and contingency</t>
  </si>
  <si>
    <t>Indirect costs</t>
  </si>
  <si>
    <t>Cost Category</t>
  </si>
  <si>
    <t>Submitted Cost £m</t>
  </si>
  <si>
    <t>Proposed Adjustment £m</t>
  </si>
  <si>
    <t>Proposed DD* Allowance £m</t>
  </si>
  <si>
    <t>Project management</t>
  </si>
  <si>
    <t>Regulatory and consent</t>
  </si>
  <si>
    <t>COAE</t>
  </si>
  <si>
    <t>MSIP project</t>
  </si>
  <si>
    <t>Output</t>
  </si>
  <si>
    <t>Delivery date</t>
  </si>
  <si>
    <t>2021 /22</t>
  </si>
  <si>
    <t>2022 /23</t>
  </si>
  <si>
    <t>2023 /24</t>
  </si>
  <si>
    <t>2024 /25</t>
  </si>
  <si>
    <t>2025 /26</t>
  </si>
  <si>
    <t xml:space="preserve"> Total </t>
  </si>
  <si>
    <t>2025 MSIP Project Total</t>
  </si>
  <si>
    <t>Check against summary total:</t>
  </si>
  <si>
    <t>NGET Appendix 1</t>
  </si>
  <si>
    <t>Sulphur hexafluoride (SF6) Asset Intervention </t>
  </si>
  <si>
    <t>a) Refurbishment at Barking 400kV Substation </t>
  </si>
  <si>
    <t>By 31 March 2026 </t>
  </si>
  <si>
    <t>b) Refurbishment at Seabank 400kV Substation </t>
  </si>
  <si>
    <t>c) Refurbishment at Sellindge 400kV I Substation </t>
  </si>
  <si>
    <t>d) Refurbishment at West Ham 400kV Substation </t>
  </si>
  <si>
    <t>e) Replacement with HV cable at Monk Fryston 275kV GIB </t>
  </si>
  <si>
    <t>f)   Replacement of 427 SF6 filled current transformer listed in the NGET Redacted Information Document </t>
  </si>
  <si>
    <t>Extreme Weather Resilience </t>
  </si>
  <si>
    <t>Complete flood protections at 33 sites listed in the NGET Redacted Information Document  </t>
  </si>
  <si>
    <t>Cellarhead Customer Connection </t>
  </si>
  <si>
    <t>Complete Cellarhead Customer Connection </t>
  </si>
  <si>
    <t>By 31 March 2023 </t>
  </si>
  <si>
    <t>Frodsham Customer Connection  </t>
  </si>
  <si>
    <t>Complete Frodsham Customer Connection  </t>
  </si>
  <si>
    <t>Lister Drive Customer Connection </t>
  </si>
  <si>
    <t>Complete Lister Drive Customer Connection </t>
  </si>
  <si>
    <t>Melksham Operational Tripping Scheme Phase 2 Project </t>
  </si>
  <si>
    <t>Complete Melksham Operational Tripping Scheme Phase 2 Project </t>
  </si>
  <si>
    <t>By 31 March 2025 </t>
  </si>
  <si>
    <t>Pennine Pathfinders</t>
  </si>
  <si>
    <t>(a) complete 200MVAr shunt reactor project at Stalybridge 400kV substation</t>
  </si>
  <si>
    <t>(a) By 31 August 2024</t>
  </si>
  <si>
    <t>(b) complete 200MVAr shunt reactor project at Stocksbridge 400kV substation</t>
  </si>
  <si>
    <t>(b) By 31 August 2024</t>
  </si>
  <si>
    <t>(c) complete 100MVAr shunt reactor project at Bradford West 275kV substation</t>
  </si>
  <si>
    <t>(c) By 31 August 2024</t>
  </si>
  <si>
    <t>Leiston 132kV Substation Connection</t>
  </si>
  <si>
    <t>Complete demand connection for Sizewell C at Leiston 132kV Substation</t>
  </si>
  <si>
    <t>By 30 June  2026</t>
  </si>
  <si>
    <t>Elland 132kV Substation Connection</t>
  </si>
  <si>
    <t xml:space="preserve">Complete connection to Northern Powergrid at Elland 132kV Substation </t>
  </si>
  <si>
    <t>By 24 October 2023</t>
  </si>
  <si>
    <t>Willesden 66kV SEPD Connection</t>
  </si>
  <si>
    <t>Complete demand connection to SEPD at Willesden 66kV substation</t>
  </si>
  <si>
    <t>By 30 November 2024</t>
  </si>
  <si>
    <t>Willesden Microsoft Data Centre Connection</t>
  </si>
  <si>
    <t>Complete demand connection to Microsoft Data Centre at Kensal Green 400kV and Willesden 400kV and 66kV substations</t>
  </si>
  <si>
    <t>By 30 August 2027</t>
  </si>
  <si>
    <t>Central Pathfinders – Yaxley</t>
  </si>
  <si>
    <t>Installation of a substation bay and associated works at Yaxley to connect Conrad Energy’s NESO Pathfinder solutions</t>
  </si>
  <si>
    <t>By 30 November 2026</t>
  </si>
  <si>
    <t>Central Reactive Voltage Compliance – Ironbridge</t>
  </si>
  <si>
    <t>Installation of a new 200MVAr shunt reactor unit at Ironbridge</t>
  </si>
  <si>
    <t>By 31 July 2025</t>
  </si>
  <si>
    <t>Central Reactive Voltage Compliance – Willington</t>
  </si>
  <si>
    <t>Installation of a new 200MVAr shunt reactor unit at Willington</t>
  </si>
  <si>
    <t>By 28 February 2026</t>
  </si>
  <si>
    <t>Heysham Overload Protection Scheme</t>
  </si>
  <si>
    <t>Deliver upgrades at Heysham GSP to facilitate the connection of 130.5MW of embedded generation via ENWL’s network</t>
  </si>
  <si>
    <t>By 31 August 2026</t>
  </si>
  <si>
    <t>Necton 400kV Substation Connection</t>
  </si>
  <si>
    <t>Extend the existing 400kV Necton substation by 12 bays and amend the OHL from a double-tee to double turn-in arrangement to connect three offshore windfarms</t>
  </si>
  <si>
    <t>By 30 April 2027</t>
  </si>
  <si>
    <t>East Anglia Operational Tripping System</t>
  </si>
  <si>
    <t>Deliver upgrades to the East Anglia OTS to facilitate tripping of Viking Link interconnector</t>
  </si>
  <si>
    <t>By 31 December 2024</t>
  </si>
  <si>
    <t>Lackenby Operational Tripping System</t>
  </si>
  <si>
    <t>Deliver a new OTS in the area to facilitate tripping of Dogger Bank C and Sofia windfarms</t>
  </si>
  <si>
    <t>By 31 January 2026</t>
  </si>
  <si>
    <t>Killingholme Operational Tripping System</t>
  </si>
  <si>
    <t>Deliver upgrades to the Killingholme OTS to trip the Open Cycle Gas Turbine (OCGT) at VPI Immingham</t>
  </si>
  <si>
    <t>By 31 October 2025</t>
  </si>
  <si>
    <t>Pathfinder East Anglia Operational Tripping System</t>
  </si>
  <si>
    <t>Deliver upgrades to East Anglia OTS to trip/de-load generation customers at multiple sites as well as upgrade monitoring across the region</t>
  </si>
  <si>
    <t>By 31 June 2026</t>
  </si>
  <si>
    <t>Penrhos 132kV Substation Connection</t>
  </si>
  <si>
    <t>Construct a new 132kV 8-bay substation for installing at Penrhos for connecting both Eclipse Power Networks and Mentor Mon</t>
  </si>
  <si>
    <t>By 31 June 2028</t>
  </si>
  <si>
    <t>Wallend 400kV Substation Connection</t>
  </si>
  <si>
    <t>Construct a new 10-bay 400kV substation and a double circuit turn in off the 4TK OHL route via two new towers to connect two interconnector customers and one BESS facility</t>
  </si>
  <si>
    <t>By 21 November 2027</t>
  </si>
  <si>
    <t>SHET Appendix 1</t>
  </si>
  <si>
    <t>B6 constraint management pathfinder</t>
  </si>
  <si>
    <t>Connection of Corriemoillie, Griffin and Dorenell sites to the B6 Operational Tripping Scheme.</t>
  </si>
  <si>
    <t>Lochluichart and Corriemoillie Connection</t>
  </si>
  <si>
    <t>Completion of shared works required to connect Lochluichart Extension II Windfarm</t>
  </si>
  <si>
    <t>North of Beauly Dynamic Line Rating</t>
  </si>
  <si>
    <t>Completion of the DLR system on the 275kV overhead line circuits from Beauly to Loch Buidhe to Dounreay</t>
  </si>
  <si>
    <t>Tealing Phase Shifting Transformers Bypass</t>
  </si>
  <si>
    <t>Installation of a bypass around the Phase Shifting Transformers (PST) on the XT1 feeder and XT2 feeder at Tealing substation</t>
  </si>
  <si>
    <t>SPT Appendix 1</t>
  </si>
  <si>
    <t>Coalburn SGT4</t>
  </si>
  <si>
    <t>Installation of Coalburn SGT4 (360MVA) and associated works at Coalburn 400/132kV Substation</t>
  </si>
  <si>
    <t>Constraint Management Pathfinder – Line End Open (LEO) Modifications and Operational Tripping Scheme (OTS) Modifications</t>
  </si>
  <si>
    <t>Completion of the extension of the LEO and OTS systems.</t>
  </si>
  <si>
    <t>Wishaw-Eccles- Torness- Smeaton Operational Intertrip Scheme (WETSS Scheme)</t>
  </si>
  <si>
    <t>Completion of the WETSS Scheme, including the associated LEO Scheme extension.</t>
  </si>
  <si>
    <t xml:space="preserve">Constraint Management OTS </t>
  </si>
  <si>
    <t>Completion of the OTS  at Strathaven 400kV Substation, Middlemuir 132kV Substation, Linnmill 132kV Substation, Moffat 132kV Substation and Arecleoch 132kV Substation</t>
  </si>
  <si>
    <t>Enoch Hill Collector Substation and associated 132kV circuit</t>
  </si>
  <si>
    <t>Completion of the Enoch Hill 132/33kV Collector Substation and associated 132kV circuit</t>
  </si>
  <si>
    <t>Branxton 400kV Substation Connection</t>
  </si>
  <si>
    <t>Installation of Branxton 400kV Substation and provision of connection to Eastern HVDC Link</t>
  </si>
  <si>
    <t>Glenglass 132kV Substation Connection</t>
  </si>
  <si>
    <t>Delivery of the works required to facilitate the GIS Extension to the existing Glenglass 132/33kV Substation</t>
  </si>
  <si>
    <t>Inch Cape Offshore Wind Farm Connection</t>
  </si>
  <si>
    <t>Delivery of the works required to facilitate the Inch Cape Offshore Wind Farm connections</t>
  </si>
  <si>
    <t>Cockenzie Load Management Scheme</t>
  </si>
  <si>
    <t>Installation of Load Management Scheme to manage network conditions in the Cockenzie area</t>
  </si>
  <si>
    <t>Kilmarnock 400kV substation Connection</t>
  </si>
  <si>
    <t>Commissioning of Kilmarnock South GIS Bay to feed TOCO-2201 Kilmarnock BESS facility</t>
  </si>
  <si>
    <t>Mark Hill 275kV Substation Connection</t>
  </si>
  <si>
    <t>Installation of Mark Hill SGT4 (240MVA) and associated works at Mark Hill 275/132kV Substation</t>
  </si>
  <si>
    <t>Sub-Synchronous Oscillation Detection</t>
  </si>
  <si>
    <t>Completion of the extension of Sub-Synchronous Oscillation (SSO) detection facilities</t>
  </si>
  <si>
    <r>
      <t>Appendix 2 of Special Condition 3.13 Large onshore transmission investment Re-opener (LOTIA</t>
    </r>
    <r>
      <rPr>
        <vertAlign val="subscript"/>
        <sz val="10"/>
        <color theme="1"/>
        <rFont val="Verdana"/>
        <family val="2"/>
      </rPr>
      <t>t</t>
    </r>
    <r>
      <rPr>
        <sz val="10"/>
        <color theme="1"/>
        <rFont val="Verdana"/>
        <family val="2"/>
      </rPr>
      <t xml:space="preserve"> and LOTIRE</t>
    </r>
    <r>
      <rPr>
        <vertAlign val="subscript"/>
        <sz val="10"/>
        <color theme="1"/>
        <rFont val="Verdana"/>
        <family val="2"/>
      </rPr>
      <t>t</t>
    </r>
    <r>
      <rPr>
        <sz val="10"/>
        <color theme="1"/>
        <rFont val="Verdana"/>
        <family val="2"/>
      </rPr>
      <t>)</t>
    </r>
  </si>
  <si>
    <t>Regulatory Year</t>
  </si>
  <si>
    <t>LOTI Output</t>
  </si>
  <si>
    <t>2021/22</t>
  </si>
  <si>
    <t>2022/23</t>
  </si>
  <si>
    <t>2023/24</t>
  </si>
  <si>
    <t>2025/26</t>
  </si>
  <si>
    <t>Construct, energise and make freely and fully available to the ISOP the Shetland HVDC Link</t>
  </si>
  <si>
    <t>Delivery of a demand connection to Gremista GSP from Kergord. The connection will be capable of delivering 49.3MW of demand.</t>
  </si>
  <si>
    <t>Company Proposed Project</t>
  </si>
  <si>
    <t>Company requested - Forecast costs (£m)</t>
  </si>
  <si>
    <t>Ofgem’s DD - Cost adjustment (£m)</t>
  </si>
  <si>
    <t>Ofgem’s DD -Allowances (£m)</t>
  </si>
  <si>
    <t>SSEN Inner Hebridean Islands of Islay and Jura development costs</t>
  </si>
  <si>
    <t>SSEN Inner Hebridean Islands of Mull, Coll and Tiree development costs</t>
  </si>
  <si>
    <t>SSEN Orkney Islands development costs</t>
  </si>
  <si>
    <t>SSEN Outer Hebrides and Skye development costs</t>
  </si>
  <si>
    <t>SSEN Total whole system analysis development costs - HOWSUM</t>
  </si>
  <si>
    <t>SSEN CAI costs development costs - HOWSUM</t>
  </si>
  <si>
    <t>Application</t>
  </si>
  <si>
    <t>Template</t>
  </si>
  <si>
    <t>Funding Request (£m)</t>
  </si>
  <si>
    <t>CV1</t>
  </si>
  <si>
    <t>Primary reinforcement</t>
  </si>
  <si>
    <t>CV2</t>
  </si>
  <si>
    <t>Secondary reinforcement</t>
  </si>
  <si>
    <t>CV3</t>
  </si>
  <si>
    <t>Fault level reinforcement</t>
  </si>
  <si>
    <t>CV4</t>
  </si>
  <si>
    <t>New Transmission Capacity Charges</t>
  </si>
  <si>
    <t>-</t>
  </si>
  <si>
    <t>C2</t>
  </si>
  <si>
    <t>Connections</t>
  </si>
  <si>
    <t>Load Related Strategic Investment</t>
  </si>
  <si>
    <r>
      <t>No. of EJPs assessed</t>
    </r>
    <r>
      <rPr>
        <sz val="10"/>
        <color theme="1"/>
        <rFont val="Verdana"/>
        <family val="2"/>
      </rPr>
      <t> </t>
    </r>
  </si>
  <si>
    <r>
      <t>Needs Case approved</t>
    </r>
    <r>
      <rPr>
        <sz val="10"/>
        <color theme="1"/>
        <rFont val="Verdana"/>
        <family val="2"/>
      </rPr>
      <t> </t>
    </r>
  </si>
  <si>
    <r>
      <t>Needs case rejected or partially rejected</t>
    </r>
    <r>
      <rPr>
        <sz val="10"/>
        <color theme="1"/>
        <rFont val="Verdana"/>
        <family val="2"/>
      </rPr>
      <t> </t>
    </r>
  </si>
  <si>
    <r>
      <t>Optioneering approved</t>
    </r>
    <r>
      <rPr>
        <sz val="10"/>
        <color theme="1"/>
        <rFont val="Verdana"/>
        <family val="2"/>
      </rPr>
      <t> </t>
    </r>
  </si>
  <si>
    <r>
      <t>Optioneering rejected or partially rejected</t>
    </r>
    <r>
      <rPr>
        <sz val="10"/>
        <color theme="1"/>
        <rFont val="Verdana"/>
        <family val="2"/>
      </rPr>
      <t> </t>
    </r>
  </si>
  <si>
    <t>|</t>
  </si>
  <si>
    <t>Model Costs for ENWL LRE Plan (£m)</t>
  </si>
  <si>
    <t>Ex ante Funding in ED2 (£m)</t>
  </si>
  <si>
    <t>Ofgem’s DD (£m)</t>
  </si>
  <si>
    <t>DD Funding Adjustment</t>
  </si>
  <si>
    <t>Column1</t>
  </si>
  <si>
    <t>23/24</t>
  </si>
  <si>
    <t>24/25</t>
  </si>
  <si>
    <t>25/26</t>
  </si>
  <si>
    <t>26/27</t>
  </si>
  <si>
    <t>27/28</t>
  </si>
  <si>
    <t>Total allowance (all years)</t>
  </si>
  <si>
    <r>
      <t>PSUP</t>
    </r>
    <r>
      <rPr>
        <vertAlign val="subscript"/>
        <sz val="12"/>
        <color theme="1"/>
        <rFont val="Cambria"/>
        <family val="1"/>
      </rPr>
      <t>t</t>
    </r>
  </si>
  <si>
    <r>
      <t>REC</t>
    </r>
    <r>
      <rPr>
        <vertAlign val="subscript"/>
        <sz val="12"/>
        <color theme="1"/>
        <rFont val="Cambria"/>
        <family val="1"/>
      </rPr>
      <t>t</t>
    </r>
  </si>
  <si>
    <r>
      <t>ESR</t>
    </r>
    <r>
      <rPr>
        <vertAlign val="subscript"/>
        <sz val="12"/>
        <color theme="1"/>
        <rFont val="Cambria"/>
        <family val="1"/>
      </rPr>
      <t>t</t>
    </r>
  </si>
  <si>
    <r>
      <t>EVR</t>
    </r>
    <r>
      <rPr>
        <vertAlign val="subscript"/>
        <sz val="12"/>
        <color theme="1"/>
        <rFont val="Cambria"/>
        <family val="1"/>
      </rPr>
      <t>t</t>
    </r>
  </si>
  <si>
    <r>
      <t>SWR</t>
    </r>
    <r>
      <rPr>
        <vertAlign val="subscript"/>
        <sz val="12"/>
        <color theme="1"/>
        <rFont val="Cambria"/>
        <family val="1"/>
      </rPr>
      <t>t</t>
    </r>
  </si>
  <si>
    <r>
      <t>DIGI</t>
    </r>
    <r>
      <rPr>
        <vertAlign val="subscript"/>
        <sz val="12"/>
        <color theme="1"/>
        <rFont val="Cambria"/>
        <family val="1"/>
      </rPr>
      <t>t</t>
    </r>
  </si>
  <si>
    <r>
      <t>SAR</t>
    </r>
    <r>
      <rPr>
        <vertAlign val="subscript"/>
        <sz val="12"/>
        <color theme="1"/>
        <rFont val="Cambria"/>
        <family val="1"/>
      </rPr>
      <t>t</t>
    </r>
  </si>
  <si>
    <r>
      <t>LRE</t>
    </r>
    <r>
      <rPr>
        <vertAlign val="subscript"/>
        <sz val="12"/>
        <color theme="1"/>
        <rFont val="Cambria"/>
        <family val="1"/>
      </rPr>
      <t>t</t>
    </r>
  </si>
  <si>
    <t>Check</t>
  </si>
  <si>
    <r>
      <t>HVP</t>
    </r>
    <r>
      <rPr>
        <vertAlign val="subscript"/>
        <sz val="12"/>
        <color theme="1"/>
        <rFont val="Cambria"/>
        <family val="1"/>
      </rPr>
      <t>t</t>
    </r>
  </si>
  <si>
    <r>
      <t>WDV</t>
    </r>
    <r>
      <rPr>
        <vertAlign val="subscript"/>
        <sz val="12"/>
        <color theme="1"/>
        <rFont val="Cambria"/>
        <family val="1"/>
      </rPr>
      <t>t</t>
    </r>
  </si>
  <si>
    <r>
      <t>HO</t>
    </r>
    <r>
      <rPr>
        <vertAlign val="subscript"/>
        <sz val="12"/>
        <color theme="1"/>
        <rFont val="Cambria"/>
        <family val="1"/>
      </rPr>
      <t>t</t>
    </r>
  </si>
  <si>
    <r>
      <t>SES</t>
    </r>
    <r>
      <rPr>
        <vertAlign val="subscript"/>
        <sz val="12"/>
        <color theme="1"/>
        <rFont val="Cambria"/>
        <family val="1"/>
      </rPr>
      <t>t</t>
    </r>
  </si>
  <si>
    <r>
      <t>SEFEC</t>
    </r>
    <r>
      <rPr>
        <vertAlign val="subscript"/>
        <sz val="12"/>
        <color theme="1"/>
        <rFont val="Cambria"/>
        <family val="1"/>
      </rPr>
      <t>t</t>
    </r>
  </si>
  <si>
    <t>Reopener Mechanism</t>
  </si>
  <si>
    <t>Special Condition</t>
  </si>
  <si>
    <t>HSE Policy Re-opener</t>
  </si>
  <si>
    <t>Net Zero Pre-Construction Work and Small Net Zero Projects Re-opener</t>
  </si>
  <si>
    <t>GD Totals from DD Summary Sheet</t>
  </si>
  <si>
    <t>GDN submitted costs   (RIIO-2 only)</t>
  </si>
  <si>
    <t>Ofgem adjustments</t>
  </si>
  <si>
    <t>Ofgem DD allowance</t>
  </si>
  <si>
    <t>Modelled allowance</t>
  </si>
  <si>
    <t>Avg FTE</t>
  </si>
  <si>
    <t>Unit rate (75th percentile)</t>
  </si>
  <si>
    <t>Total efficient cost (£m)</t>
  </si>
  <si>
    <t>GD2 allowance (£m)</t>
  </si>
  <si>
    <t>Cadent submitted costs</t>
  </si>
  <si>
    <t>Schemes after 1 April 2021</t>
  </si>
  <si>
    <t>PBS</t>
  </si>
  <si>
    <t>Nil</t>
  </si>
  <si>
    <t>Traffic light management</t>
  </si>
  <si>
    <t>NGN submitted costs</t>
  </si>
  <si>
    <t>Permits</t>
  </si>
  <si>
    <t>2 out of 15</t>
  </si>
  <si>
    <t>Traffic management</t>
  </si>
  <si>
    <t>SGN submitted costs</t>
  </si>
  <si>
    <t>Lane rental</t>
  </si>
  <si>
    <t>5 out of 6</t>
  </si>
  <si>
    <t>ULEZ</t>
  </si>
  <si>
    <t>WWU submitted costs</t>
  </si>
  <si>
    <t>3 out of 14</t>
  </si>
  <si>
    <t>Road closure costs</t>
  </si>
  <si>
    <t>Cost category</t>
  </si>
  <si>
    <t>Draft allowances</t>
  </si>
  <si>
    <t>Efficient project costs</t>
  </si>
  <si>
    <t>Cadent NZASP contribution (10%)</t>
  </si>
  <si>
    <t>TIM impact adjustment</t>
  </si>
  <si>
    <t>Reference</t>
  </si>
  <si>
    <t>Proposed project deliverable</t>
  </si>
  <si>
    <t>Indicative deadline</t>
  </si>
  <si>
    <t>Evidence</t>
  </si>
  <si>
    <t>Interim vehicle-based ALD roll out report</t>
  </si>
  <si>
    <r>
      <t>31/11/2025 </t>
    </r>
    <r>
      <rPr>
        <sz val="8.5"/>
        <color theme="1"/>
        <rFont val="Verdana"/>
        <family val="2"/>
      </rPr>
      <t> </t>
    </r>
  </si>
  <si>
    <t>The report should set out:</t>
  </si>
  <si>
    <t>1. Current vehicle-based ALD capacity:</t>
  </si>
  <si>
    <r>
      <t>a)</t>
    </r>
    <r>
      <rPr>
        <sz val="8.5"/>
        <color theme="1"/>
        <rFont val="Times New Roman"/>
        <family val="1"/>
      </rPr>
      <t xml:space="preserve">   </t>
    </r>
    <r>
      <rPr>
        <sz val="8.5"/>
        <color theme="1"/>
        <rFont val="Verdana"/>
        <family val="2"/>
      </rPr>
      <t>Number of units purchased,</t>
    </r>
  </si>
  <si>
    <r>
      <t>b)</t>
    </r>
    <r>
      <rPr>
        <sz val="8.5"/>
        <color theme="1"/>
        <rFont val="Times New Roman"/>
        <family val="1"/>
      </rPr>
      <t xml:space="preserve">   </t>
    </r>
    <r>
      <rPr>
        <sz val="8.5"/>
        <color theme="1"/>
        <rFont val="Verdana"/>
        <family val="2"/>
      </rPr>
      <t>Number of units mobilised,</t>
    </r>
  </si>
  <si>
    <r>
      <t>c)</t>
    </r>
    <r>
      <rPr>
        <sz val="8.5"/>
        <color theme="1"/>
        <rFont val="Times New Roman"/>
        <family val="1"/>
      </rPr>
      <t xml:space="preserve">    </t>
    </r>
    <r>
      <rPr>
        <sz val="8.5"/>
        <color theme="1"/>
        <rFont val="Verdana"/>
        <family val="2"/>
      </rPr>
      <t>Length of network surveyed,</t>
    </r>
  </si>
  <si>
    <r>
      <t>d)</t>
    </r>
    <r>
      <rPr>
        <sz val="8.5"/>
        <color theme="1"/>
        <rFont val="Times New Roman"/>
        <family val="1"/>
      </rPr>
      <t xml:space="preserve">   </t>
    </r>
    <r>
      <rPr>
        <sz val="8.5"/>
        <color theme="1"/>
        <rFont val="Verdana"/>
        <family val="2"/>
      </rPr>
      <t>Follow on interventions commissioned.</t>
    </r>
  </si>
  <si>
    <r>
      <t>2.</t>
    </r>
    <r>
      <rPr>
        <sz val="8.5"/>
        <color theme="1"/>
        <rFont val="Times New Roman"/>
        <family val="1"/>
      </rPr>
      <t xml:space="preserve">   </t>
    </r>
    <r>
      <rPr>
        <sz val="8.5"/>
        <color theme="1"/>
        <rFont val="Verdana"/>
        <family val="2"/>
      </rPr>
      <t>Roadmap for the next 5 months of roll out.</t>
    </r>
  </si>
  <si>
    <t>Final vehicle-based ALD roll out report</t>
  </si>
  <si>
    <t>1. Vehicle-based ALD capacity vs re-opener targets:</t>
  </si>
  <si>
    <t>2. Progress update on emissions estimation method capability.</t>
  </si>
  <si>
    <t>Mobilisation of full LP/MP network coverage capacity</t>
  </si>
  <si>
    <t>Evidence showing survey capacity.</t>
  </si>
  <si>
    <t>Distribution Network/Regulatory Year</t>
  </si>
  <si>
    <t>Total  </t>
  </si>
  <si>
    <t>Northern Gas Networks plc</t>
  </si>
  <si>
    <t>Scotland Gas Networks plc</t>
  </si>
  <si>
    <t>Southern Gas Networks plc</t>
  </si>
  <si>
    <t>Wales and West Utilities plc</t>
  </si>
  <si>
    <t>HSE POLICY REOPENER BENCHMARKING</t>
  </si>
  <si>
    <t>Step 1: FTE data source: RIIO-3 BPDTs</t>
  </si>
  <si>
    <t>Step 2: GDN cost submissions</t>
  </si>
  <si>
    <t>Step 3: Benchmarking</t>
  </si>
  <si>
    <t>RIIO-GD2</t>
  </si>
  <si>
    <t>GD2</t>
  </si>
  <si>
    <t>GD3</t>
  </si>
  <si>
    <t>GD2 &amp; GD3</t>
  </si>
  <si>
    <t>GD2 re-opener request (£m)</t>
  </si>
  <si>
    <t>GD2 re-opener request (£)</t>
  </si>
  <si>
    <t>(18/19)</t>
  </si>
  <si>
    <t>re-opener</t>
  </si>
  <si>
    <t>baseline</t>
  </si>
  <si>
    <t>Total (£m)</t>
  </si>
  <si>
    <t>GDN total (£m)</t>
  </si>
  <si>
    <t>% in GD2</t>
  </si>
  <si>
    <t>GD2&amp;3 total/FTE</t>
  </si>
  <si>
    <t>employee FTE</t>
  </si>
  <si>
    <t>emergency</t>
  </si>
  <si>
    <t>repairs</t>
  </si>
  <si>
    <t>apprentices FTE</t>
  </si>
  <si>
    <t>contract FTE</t>
  </si>
  <si>
    <t>related FTE</t>
  </si>
  <si>
    <t>total</t>
  </si>
  <si>
    <t>Conversion:</t>
  </si>
  <si>
    <t>75th percentile:</t>
  </si>
  <si>
    <t>GDNs benchmarked to 75th percentile</t>
  </si>
  <si>
    <t>rate</t>
  </si>
  <si>
    <t>Allowances by Sector Group</t>
  </si>
  <si>
    <t>GDN GD2 allowance (£m)</t>
  </si>
  <si>
    <t>O</t>
  </si>
  <si>
    <t>Licensee</t>
  </si>
  <si>
    <t>Reopener_mechanism</t>
  </si>
  <si>
    <t>Assessment_Group</t>
  </si>
  <si>
    <t>Project_Name</t>
  </si>
  <si>
    <t>Date</t>
  </si>
  <si>
    <t>Status</t>
  </si>
  <si>
    <t>Price_base</t>
  </si>
  <si>
    <t>Units</t>
  </si>
  <si>
    <t>Submitted_Cost_Submission</t>
  </si>
  <si>
    <t>Allowance_Draft</t>
  </si>
  <si>
    <t>Approved_DD</t>
  </si>
  <si>
    <t>OE_IS_Allowances</t>
  </si>
  <si>
    <t>Current</t>
  </si>
  <si>
    <t>£m</t>
  </si>
  <si>
    <t>NGET Pathfinder - Walpole</t>
  </si>
  <si>
    <t>NGET Pitsmoor</t>
  </si>
  <si>
    <t>NGET SSEPD - Minety</t>
  </si>
  <si>
    <t>NGET Swansea North Greener Grid</t>
  </si>
  <si>
    <t>NGET Pathfinder - Upper Boat</t>
  </si>
  <si>
    <t>NGET Pathfinder - Sellindge</t>
  </si>
  <si>
    <t>NGET Willington rebuild (132kv - NGED)</t>
  </si>
  <si>
    <t>NGET Pathfinder - Landulph</t>
  </si>
  <si>
    <t>NGET - Amersham</t>
  </si>
  <si>
    <t>NGET Pathfinder - Richborough</t>
  </si>
  <si>
    <t>NGET OTS - Humber Refinery</t>
  </si>
  <si>
    <t>NGET Pathfinder - Cilfynydd</t>
  </si>
  <si>
    <t>NGET Pathfinder - Hartmoor</t>
  </si>
  <si>
    <t>NGET OTS - Anglo Scottish</t>
  </si>
  <si>
    <t>VSRE-Strathaven - Smeaton OHL Conductor Replacement</t>
  </si>
  <si>
    <t>EoE Cadent Specified Streetworks Costs Re-opener 2023</t>
  </si>
  <si>
    <t>Lon Cadent Specified Streetworks Costs Re-opener 2023</t>
  </si>
  <si>
    <t>NW Cadent Specified Streetworks Costs Re-opener 2023</t>
  </si>
  <si>
    <t>WM Cadent Specified Streetworks Costs Re-opener 2023</t>
  </si>
  <si>
    <t>SGN Sc Specified Streetworks Costs Re-opener 2023</t>
  </si>
  <si>
    <t>Cadent Lon Network Emissions Management</t>
  </si>
  <si>
    <t>Cadent WM Network Emissions Management</t>
  </si>
  <si>
    <t>Cadent NW Network Emissions Management</t>
  </si>
  <si>
    <t>WM Cadent HSE Policy Re-opener 2023</t>
  </si>
  <si>
    <t>NW Cadent HSE Policy Re-opener 2023</t>
  </si>
  <si>
    <t>Cadent EoE Network Emissions Management</t>
  </si>
  <si>
    <t>EoE Cadent HSE Policy Re-opener 2023</t>
  </si>
  <si>
    <t>Lon Cadent HSE Policy Re-opener 2023</t>
  </si>
  <si>
    <t>SGN So Specified Streetworks Costs Re-opener 2023</t>
  </si>
  <si>
    <t>SGN Sc HSE Policy Re-opener 2023</t>
  </si>
  <si>
    <t>NGN HSE Policy Re-opener</t>
  </si>
  <si>
    <t>SGN So HSE Policy Re-opener 2023</t>
  </si>
  <si>
    <t>WWU HSE Policy Re-opener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</si>
</sst>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409]#,##0.00"/>
    <numFmt numFmtId="165" formatCode="[$-F800]dddd\,\ mmmm\ dd\,\ yyyy"/>
    <numFmt numFmtId="166" formatCode="0.000"/>
    <numFmt numFmtId="167" formatCode="\+0.000;\-0.000;\-"/>
    <numFmt numFmtId="168" formatCode="0.000;\-0.000;\-"/>
    <numFmt numFmtId="169" formatCode="0;\-0;\-"/>
    <numFmt numFmtId="170" formatCode="#,##0.000"/>
    <numFmt numFmtId="171" formatCode="0.000000000000_ ;\-0.000000000000\ "/>
    <numFmt numFmtId="172" formatCode="0.000_ ;\-0.000\ "/>
  </numFmts>
  <fonts count="50">
    <font>
      <sz val="10"/>
      <color theme="1"/>
      <name val="Verdana"/>
      <family val="2"/>
    </font>
    <font>
      <sz val="10"/>
      <color rgb="FF595959"/>
      <name val="Verdana"/>
      <family val="2"/>
    </font>
    <font>
      <sz val="10"/>
      <color theme="1"/>
      <name val="Verdana"/>
      <family val="2"/>
    </font>
    <font>
      <b/>
      <sz val="10"/>
      <color theme="1"/>
      <name val="Verdana"/>
      <family val="2"/>
    </font>
    <font>
      <sz val="11"/>
      <name val="CG Omega"/>
      <family val="2"/>
    </font>
    <font>
      <u/>
      <sz val="11"/>
      <color indexed="12"/>
      <name val="CG Omega"/>
      <family val="2"/>
    </font>
    <font>
      <b/>
      <sz val="10"/>
      <color theme="0"/>
      <name val="Verdana"/>
      <family val="2"/>
    </font>
    <font>
      <b/>
      <sz val="16"/>
      <color theme="0"/>
      <name val="Verdana"/>
      <family val="2"/>
    </font>
    <font>
      <u/>
      <sz val="11"/>
      <color theme="10"/>
      <name val="Calibri"/>
      <family val="2"/>
      <scheme val="minor"/>
    </font>
    <font>
      <b/>
      <sz val="10"/>
      <name val="Verdana"/>
      <family val="2"/>
    </font>
    <font>
      <sz val="10"/>
      <name val="Verdana"/>
      <family val="2"/>
    </font>
    <font>
      <u/>
      <sz val="11"/>
      <name val="Calibri"/>
      <family val="2"/>
      <scheme val="minor"/>
    </font>
    <font>
      <sz val="8"/>
      <name val="Verdana"/>
      <family val="2"/>
    </font>
    <font>
      <b/>
      <sz val="11"/>
      <name val="Verdana"/>
      <family val="2"/>
    </font>
    <font>
      <b/>
      <sz val="8.5"/>
      <name val="Verdana"/>
      <family val="2"/>
    </font>
    <font>
      <sz val="8.5"/>
      <name val="Verdana"/>
      <family val="2"/>
    </font>
    <font>
      <sz val="8.5"/>
      <color theme="1"/>
      <name val="Verdana"/>
      <family val="2"/>
    </font>
    <font>
      <b/>
      <sz val="8.5"/>
      <color theme="1"/>
      <name val="Verdana"/>
      <family val="2"/>
    </font>
    <font>
      <sz val="8.5"/>
      <color theme="5"/>
      <name val="Verdana"/>
      <family val="2"/>
    </font>
    <font>
      <sz val="9"/>
      <name val="Verdana"/>
      <family val="2"/>
    </font>
    <font>
      <sz val="11"/>
      <color theme="1"/>
      <name val="Calibri"/>
      <family val="2"/>
      <scheme val="minor"/>
    </font>
    <font>
      <sz val="9"/>
      <name val="Calibri"/>
      <family val="2"/>
      <scheme val="minor"/>
    </font>
    <font>
      <sz val="8"/>
      <color theme="1"/>
      <name val="Verdana"/>
      <family val="2"/>
    </font>
    <font>
      <sz val="9"/>
      <color theme="1"/>
      <name val="Verdana"/>
      <family val="2"/>
    </font>
    <font>
      <sz val="10"/>
      <color rgb="FF000000"/>
      <name val="Verdana"/>
      <family val="2"/>
    </font>
    <font>
      <b/>
      <sz val="9"/>
      <color theme="1"/>
      <name val="Verdana"/>
      <family val="2"/>
    </font>
    <font>
      <sz val="8.5"/>
      <color rgb="FFEE0000"/>
      <name val="Verdana"/>
      <family val="2"/>
    </font>
    <font>
      <b/>
      <sz val="8"/>
      <color theme="1"/>
      <name val="Verdana"/>
      <family val="2"/>
    </font>
    <font>
      <sz val="8"/>
      <color rgb="FF595959"/>
      <name val="Verdana"/>
      <family val="2"/>
    </font>
    <font>
      <b/>
      <sz val="8"/>
      <color rgb="FF595959"/>
      <name val="Verdana"/>
      <family val="2"/>
    </font>
    <font>
      <i/>
      <sz val="8.5"/>
      <color theme="1"/>
      <name val="Verdana"/>
      <family val="2"/>
    </font>
    <font>
      <b/>
      <sz val="10"/>
      <color rgb="FFEE0000"/>
      <name val="Verdana"/>
      <family val="2"/>
    </font>
    <font>
      <b/>
      <sz val="8"/>
      <color rgb="FF000000"/>
      <name val="Verdana"/>
      <family val="2"/>
    </font>
    <font>
      <b/>
      <sz val="12"/>
      <color theme="1"/>
      <name val="Cambria"/>
      <family val="1"/>
    </font>
    <font>
      <sz val="12"/>
      <color theme="1"/>
      <name val="Cambria"/>
      <family val="1"/>
    </font>
    <font>
      <u/>
      <sz val="12"/>
      <color theme="1"/>
      <name val="Cambria"/>
      <family val="1"/>
    </font>
    <font>
      <u val="double"/>
      <sz val="12"/>
      <color theme="1"/>
      <name val="Cambria"/>
      <family val="1"/>
    </font>
    <font>
      <sz val="9"/>
      <color rgb="FF595959"/>
      <name val="Verdana"/>
      <family val="2"/>
    </font>
    <font>
      <sz val="9"/>
      <color rgb="FF747474"/>
      <name val="Verdana"/>
      <family val="2"/>
    </font>
    <font>
      <vertAlign val="subscript"/>
      <sz val="12"/>
      <color theme="1"/>
      <name val="Cambria"/>
      <family val="1"/>
    </font>
    <font>
      <strike/>
      <sz val="12"/>
      <color theme="1"/>
      <name val="Cambria"/>
      <family val="1"/>
    </font>
    <font>
      <sz val="10"/>
      <color theme="5"/>
      <name val="Verdana"/>
      <family val="2"/>
    </font>
    <font>
      <sz val="8.5"/>
      <color theme="1"/>
      <name val="Times New Roman"/>
      <family val="1"/>
    </font>
    <font>
      <u val="double"/>
      <sz val="8.5"/>
      <color theme="1"/>
      <name val="Verdana"/>
      <family val="2"/>
    </font>
    <font>
      <sz val="8.5"/>
      <color rgb="FFFF0000"/>
      <name val="Verdana"/>
      <family val="2"/>
    </font>
    <font>
      <sz val="8.5"/>
      <color rgb="FF595959"/>
      <name val="Verdana"/>
      <family val="2"/>
    </font>
    <font>
      <b/>
      <sz val="8.5"/>
      <color rgb="FF595959"/>
      <name val="Verdana"/>
      <family val="2"/>
    </font>
    <font>
      <vertAlign val="subscript"/>
      <sz val="10"/>
      <color theme="1"/>
      <name val="Verdana"/>
      <family val="2"/>
    </font>
    <font>
      <u val="double"/>
      <sz val="10"/>
      <color theme="1"/>
      <name val="Verdana"/>
      <family val="2"/>
    </font>
    <font>
      <i/>
      <sz val="8"/>
      <color theme="1"/>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medium">
        <color rgb="FF000000"/>
      </top>
      <bottom style="medium">
        <color rgb="FF000000"/>
      </bottom>
      <diagonal/>
    </border>
    <border>
      <left style="thin">
        <color indexed="64"/>
      </left>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bottom/>
      <diagonal/>
    </border>
    <border>
      <left style="thin">
        <color indexed="64"/>
      </left>
      <right/>
      <top/>
      <bottom/>
      <diagonal/>
    </border>
    <border>
      <left style="medium">
        <color rgb="FF404040"/>
      </left>
      <right/>
      <top/>
      <bottom/>
      <diagonal/>
    </border>
    <border>
      <left style="medium">
        <color rgb="FF404040"/>
      </left>
      <right/>
      <top style="thin">
        <color indexed="64"/>
      </top>
      <bottom style="thin">
        <color indexed="64"/>
      </bottom>
      <diagonal/>
    </border>
    <border>
      <left style="medium">
        <color rgb="FF404040"/>
      </left>
      <right/>
      <top style="thin">
        <color indexed="64"/>
      </top>
      <bottom/>
      <diagonal/>
    </border>
    <border>
      <left/>
      <right/>
      <top/>
      <bottom style="thin">
        <color indexed="64"/>
      </bottom>
      <diagonal/>
    </border>
    <border>
      <left/>
      <right/>
      <top style="thick">
        <color indexed="64"/>
      </top>
      <bottom style="medium">
        <color indexed="64"/>
      </bottom>
      <diagonal/>
    </border>
    <border>
      <left/>
      <right/>
      <top/>
      <bottom style="thick">
        <color indexed="64"/>
      </bottom>
      <diagonal/>
    </border>
    <border>
      <left/>
      <right/>
      <top style="medium">
        <color indexed="64"/>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right/>
      <top style="thin">
        <color indexed="64"/>
      </top>
      <bottom style="thin">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indexed="64"/>
      </right>
      <top style="medium">
        <color rgb="FF000000"/>
      </top>
      <bottom/>
      <diagonal/>
    </border>
  </borders>
  <cellStyleXfs count="9">
    <xf numFmtId="0" fontId="0" fillId="0" borderId="0"/>
    <xf numFmtId="0" fontId="2" fillId="0" borderId="0"/>
    <xf numFmtId="0" fontId="2" fillId="0" borderId="0"/>
    <xf numFmtId="164" fontId="4" fillId="0" borderId="0"/>
    <xf numFmtId="164" fontId="5" fillId="0" borderId="0" applyNumberFormat="0" applyFill="0" applyBorder="0" applyAlignment="0" applyProtection="0">
      <alignment vertical="top"/>
      <protection locked="0"/>
    </xf>
    <xf numFmtId="0" fontId="8" fillId="0" borderId="0" applyNumberFormat="0" applyFill="0" applyBorder="0" applyAlignment="0" applyProtection="0"/>
    <xf numFmtId="0" fontId="20" fillId="0" borderId="0"/>
    <xf numFmtId="0" fontId="2" fillId="0" borderId="0"/>
    <xf numFmtId="0" fontId="2" fillId="0" borderId="0"/>
  </cellStyleXfs>
  <cellXfs count="349">
    <xf numFmtId="0" fontId="0" fillId="0" borderId="0" xfId="0"/>
    <xf numFmtId="0" fontId="7" fillId="0" borderId="0" xfId="0" applyFont="1" applyAlignment="1">
      <alignment horizontal="left" indent="1"/>
    </xf>
    <xf numFmtId="0" fontId="0" fillId="0" borderId="0" xfId="0" applyAlignment="1">
      <alignment vertical="center"/>
    </xf>
    <xf numFmtId="0" fontId="6" fillId="0" borderId="0" xfId="0" applyFont="1" applyAlignment="1">
      <alignment horizontal="left" indent="1"/>
    </xf>
    <xf numFmtId="0" fontId="6" fillId="0" borderId="0" xfId="0" applyFont="1" applyAlignment="1">
      <alignment horizontal="left" vertical="center" indent="1"/>
    </xf>
    <xf numFmtId="0" fontId="3" fillId="0" borderId="0" xfId="0" applyFont="1" applyAlignment="1">
      <alignment horizontal="left" vertical="center"/>
    </xf>
    <xf numFmtId="0" fontId="0" fillId="0" borderId="0" xfId="0" applyAlignment="1">
      <alignment horizontal="left"/>
    </xf>
    <xf numFmtId="14" fontId="0" fillId="0" borderId="0" xfId="0" applyNumberFormat="1"/>
    <xf numFmtId="0" fontId="3" fillId="0" borderId="0" xfId="0" applyFont="1"/>
    <xf numFmtId="2" fontId="0" fillId="0" borderId="0" xfId="0" applyNumberFormat="1"/>
    <xf numFmtId="0" fontId="10" fillId="0" borderId="0" xfId="0" applyFont="1"/>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0" fillId="0" borderId="0" xfId="0" applyFont="1" applyAlignment="1">
      <alignment horizontal="left" vertical="top" wrapText="1"/>
    </xf>
    <xf numFmtId="0" fontId="10" fillId="0" borderId="7" xfId="0" applyFont="1" applyBorder="1"/>
    <xf numFmtId="0" fontId="9" fillId="0" borderId="9" xfId="0" applyFont="1" applyBorder="1"/>
    <xf numFmtId="0" fontId="10" fillId="0" borderId="0" xfId="0" applyFont="1" applyAlignment="1">
      <alignment vertical="top" wrapText="1"/>
    </xf>
    <xf numFmtId="0" fontId="10" fillId="0" borderId="10" xfId="0" applyFont="1" applyBorder="1" applyAlignment="1">
      <alignment vertical="top" wrapText="1"/>
    </xf>
    <xf numFmtId="0" fontId="13" fillId="0" borderId="0" xfId="0" applyFont="1" applyAlignment="1">
      <alignment vertical="top"/>
    </xf>
    <xf numFmtId="0" fontId="11" fillId="0" borderId="2" xfId="5" applyFont="1" applyFill="1" applyBorder="1" applyAlignment="1">
      <alignment horizontal="center" vertical="center" wrapText="1"/>
    </xf>
    <xf numFmtId="0" fontId="10" fillId="0" borderId="1" xfId="0" applyFont="1" applyBorder="1" applyAlignment="1">
      <alignment vertical="center"/>
    </xf>
    <xf numFmtId="0" fontId="10" fillId="0" borderId="6" xfId="0" applyFont="1" applyBorder="1" applyAlignment="1">
      <alignment vertical="center" wrapText="1"/>
    </xf>
    <xf numFmtId="0" fontId="9" fillId="0" borderId="1" xfId="0" applyFont="1" applyBorder="1" applyAlignment="1">
      <alignment horizontal="center" vertical="center"/>
    </xf>
    <xf numFmtId="0" fontId="0" fillId="0" borderId="1" xfId="0" applyBorder="1"/>
    <xf numFmtId="0" fontId="8" fillId="0" borderId="2" xfId="5" applyFill="1" applyBorder="1" applyAlignment="1">
      <alignment horizontal="center" vertical="center" wrapText="1"/>
    </xf>
    <xf numFmtId="0" fontId="10" fillId="0" borderId="1" xfId="0" applyFont="1" applyBorder="1" applyAlignment="1">
      <alignment vertical="center" wrapText="1"/>
    </xf>
    <xf numFmtId="0" fontId="0" fillId="0" borderId="6" xfId="0" applyBorder="1"/>
    <xf numFmtId="0" fontId="9" fillId="0" borderId="1" xfId="0" applyFont="1" applyBorder="1" applyAlignment="1">
      <alignmen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2" xfId="0" applyFont="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vertical="center" wrapText="1"/>
    </xf>
    <xf numFmtId="0" fontId="10" fillId="0" borderId="0" xfId="0" applyFont="1" applyAlignment="1">
      <alignment horizontal="left"/>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6" fillId="0" borderId="0" xfId="0" applyFont="1"/>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9" fillId="0" borderId="0" xfId="0" applyFont="1"/>
    <xf numFmtId="0" fontId="21" fillId="0" borderId="0" xfId="6" applyFont="1"/>
    <xf numFmtId="0" fontId="19" fillId="0" borderId="0" xfId="6" applyFont="1" applyAlignment="1">
      <alignment vertical="center" wrapText="1"/>
    </xf>
    <xf numFmtId="0" fontId="9" fillId="0" borderId="1" xfId="0" applyFont="1" applyBorder="1" applyAlignment="1">
      <alignment horizontal="center" vertical="center" wrapText="1"/>
    </xf>
    <xf numFmtId="0" fontId="22" fillId="0" borderId="0" xfId="0" applyFont="1" applyAlignment="1">
      <alignment vertical="center"/>
    </xf>
    <xf numFmtId="0" fontId="23" fillId="0" borderId="0" xfId="0" applyFont="1" applyAlignment="1">
      <alignment horizontal="left" vertical="center" indent="4"/>
    </xf>
    <xf numFmtId="0" fontId="0" fillId="0" borderId="0" xfId="0" quotePrefix="1"/>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10" fontId="1" fillId="2" borderId="2" xfId="0" applyNumberFormat="1" applyFont="1" applyFill="1" applyBorder="1" applyAlignment="1">
      <alignment horizontal="left" vertical="center" wrapText="1"/>
    </xf>
    <xf numFmtId="0" fontId="1" fillId="2" borderId="5" xfId="0" applyFont="1" applyFill="1" applyBorder="1" applyAlignment="1">
      <alignment horizontal="left" vertical="center" wrapText="1"/>
    </xf>
    <xf numFmtId="10" fontId="1" fillId="2" borderId="3" xfId="0" applyNumberFormat="1" applyFont="1" applyFill="1" applyBorder="1" applyAlignment="1">
      <alignment horizontal="left" vertical="center" wrapText="1"/>
    </xf>
    <xf numFmtId="0" fontId="14" fillId="0" borderId="6" xfId="0" applyFont="1" applyBorder="1" applyAlignment="1">
      <alignment vertical="center" wrapText="1"/>
    </xf>
    <xf numFmtId="0" fontId="14" fillId="0" borderId="6" xfId="0" applyFont="1" applyBorder="1" applyAlignment="1">
      <alignment horizontal="justify" vertical="center" wrapText="1"/>
    </xf>
    <xf numFmtId="0" fontId="14" fillId="0" borderId="9" xfId="0" applyFont="1" applyBorder="1" applyAlignment="1">
      <alignment vertical="center" wrapText="1"/>
    </xf>
    <xf numFmtId="0" fontId="14" fillId="0" borderId="8" xfId="0" applyFont="1" applyBorder="1" applyAlignment="1">
      <alignment vertical="center" wrapText="1"/>
    </xf>
    <xf numFmtId="0" fontId="14" fillId="0" borderId="8" xfId="0" applyFont="1" applyBorder="1" applyAlignment="1">
      <alignment horizontal="center" vertical="center" wrapText="1"/>
    </xf>
    <xf numFmtId="0" fontId="14" fillId="0" borderId="7" xfId="0" applyFont="1" applyBorder="1" applyAlignment="1">
      <alignment vertical="center" wrapText="1"/>
    </xf>
    <xf numFmtId="0" fontId="14" fillId="0" borderId="5" xfId="0" applyFont="1" applyBorder="1" applyAlignment="1">
      <alignment horizontal="justify" vertical="center" wrapText="1"/>
    </xf>
    <xf numFmtId="0" fontId="14" fillId="0" borderId="4" xfId="0" applyFont="1" applyBorder="1" applyAlignment="1">
      <alignment vertical="center" wrapText="1"/>
    </xf>
    <xf numFmtId="0" fontId="14" fillId="0" borderId="4" xfId="0" applyFont="1" applyBorder="1" applyAlignment="1">
      <alignment horizontal="center" vertical="center" wrapText="1"/>
    </xf>
    <xf numFmtId="0" fontId="26" fillId="0" borderId="0" xfId="0" applyFont="1"/>
    <xf numFmtId="0" fontId="8" fillId="0" borderId="0" xfId="5" applyAlignment="1">
      <alignment vertical="center"/>
    </xf>
    <xf numFmtId="0" fontId="28" fillId="0" borderId="1" xfId="0" applyFont="1" applyBorder="1" applyAlignment="1">
      <alignment vertical="center" wrapText="1"/>
    </xf>
    <xf numFmtId="0" fontId="30" fillId="0" borderId="0" xfId="0" applyFont="1"/>
    <xf numFmtId="0" fontId="27" fillId="0" borderId="6" xfId="0" applyFont="1" applyBorder="1" applyAlignment="1">
      <alignment vertical="center" wrapText="1"/>
    </xf>
    <xf numFmtId="0" fontId="28" fillId="0" borderId="6" xfId="0" applyFont="1" applyBorder="1" applyAlignment="1">
      <alignment vertical="center" wrapText="1"/>
    </xf>
    <xf numFmtId="0" fontId="27" fillId="0" borderId="9" xfId="0" applyFont="1" applyBorder="1" applyAlignment="1">
      <alignment vertical="center" wrapText="1"/>
    </xf>
    <xf numFmtId="0" fontId="27" fillId="0" borderId="8" xfId="0" applyFont="1" applyBorder="1" applyAlignment="1">
      <alignment vertical="center" wrapText="1"/>
    </xf>
    <xf numFmtId="0" fontId="27" fillId="0" borderId="8" xfId="0" applyFont="1" applyBorder="1" applyAlignment="1">
      <alignment horizontal="center" vertical="center" wrapText="1"/>
    </xf>
    <xf numFmtId="0" fontId="27" fillId="0" borderId="7" xfId="0" applyFont="1" applyBorder="1" applyAlignment="1">
      <alignment horizontal="center" vertical="center" wrapText="1"/>
    </xf>
    <xf numFmtId="0" fontId="29" fillId="0" borderId="5" xfId="0" applyFont="1" applyBorder="1" applyAlignment="1">
      <alignment vertical="center" wrapText="1"/>
    </xf>
    <xf numFmtId="0" fontId="29" fillId="0" borderId="4"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2" fillId="2" borderId="6" xfId="0" applyFont="1" applyFill="1" applyBorder="1" applyAlignment="1">
      <alignment vertical="center" wrapText="1"/>
    </xf>
    <xf numFmtId="0" fontId="29" fillId="2" borderId="5" xfId="0" applyFont="1" applyFill="1" applyBorder="1" applyAlignment="1">
      <alignment vertical="center" wrapText="1"/>
    </xf>
    <xf numFmtId="0" fontId="0" fillId="2" borderId="0" xfId="0" applyFill="1"/>
    <xf numFmtId="0" fontId="22" fillId="0" borderId="6" xfId="0" applyFont="1" applyBorder="1" applyAlignment="1">
      <alignment vertical="center" wrapText="1"/>
    </xf>
    <xf numFmtId="0" fontId="27" fillId="0" borderId="5" xfId="0" applyFont="1" applyBorder="1" applyAlignment="1">
      <alignment vertical="center" wrapText="1"/>
    </xf>
    <xf numFmtId="0" fontId="32" fillId="3" borderId="9" xfId="0" applyFont="1" applyFill="1" applyBorder="1" applyAlignment="1">
      <alignment vertical="center" wrapText="1"/>
    </xf>
    <xf numFmtId="0" fontId="22" fillId="0" borderId="5" xfId="0" applyFont="1" applyBorder="1" applyAlignment="1">
      <alignment vertical="center" wrapText="1"/>
    </xf>
    <xf numFmtId="0" fontId="33" fillId="0" borderId="1" xfId="0" applyFont="1" applyBorder="1" applyAlignment="1">
      <alignment vertical="center" wrapText="1"/>
    </xf>
    <xf numFmtId="0" fontId="33" fillId="0" borderId="1" xfId="0" applyFont="1" applyBorder="1" applyAlignment="1">
      <alignment horizontal="left" vertical="center" wrapText="1"/>
    </xf>
    <xf numFmtId="0" fontId="34" fillId="0" borderId="1" xfId="0" applyFont="1" applyBorder="1" applyAlignment="1">
      <alignment vertical="center" wrapText="1"/>
    </xf>
    <xf numFmtId="0" fontId="34" fillId="0" borderId="1" xfId="0" applyFont="1" applyBorder="1" applyAlignment="1">
      <alignment horizontal="left" vertical="center" wrapText="1"/>
    </xf>
    <xf numFmtId="0" fontId="36" fillId="0" borderId="1" xfId="0" applyFont="1" applyBorder="1" applyAlignment="1">
      <alignment vertical="center" wrapText="1"/>
    </xf>
    <xf numFmtId="0" fontId="36" fillId="0" borderId="1" xfId="0" applyFont="1" applyBorder="1" applyAlignment="1">
      <alignment horizontal="left" vertical="center" wrapText="1"/>
    </xf>
    <xf numFmtId="168" fontId="34" fillId="0" borderId="1" xfId="0" applyNumberFormat="1" applyFont="1" applyBorder="1" applyAlignment="1">
      <alignment vertical="center" wrapText="1"/>
    </xf>
    <xf numFmtId="168" fontId="35" fillId="0" borderId="1" xfId="0" applyNumberFormat="1" applyFont="1" applyBorder="1" applyAlignment="1">
      <alignment vertical="center" wrapText="1"/>
    </xf>
    <xf numFmtId="168" fontId="36" fillId="0" borderId="1" xfId="0" applyNumberFormat="1" applyFont="1" applyBorder="1" applyAlignment="1">
      <alignment vertical="center" wrapText="1"/>
    </xf>
    <xf numFmtId="0" fontId="31" fillId="0" borderId="0" xfId="0" applyFont="1" applyAlignment="1">
      <alignment horizontal="left"/>
    </xf>
    <xf numFmtId="0" fontId="0" fillId="0" borderId="0" xfId="0" applyAlignment="1">
      <alignment horizontal="right"/>
    </xf>
    <xf numFmtId="0" fontId="2" fillId="0" borderId="1" xfId="0" applyFont="1" applyBorder="1" applyAlignment="1">
      <alignment vertical="center" wrapText="1"/>
    </xf>
    <xf numFmtId="0" fontId="2" fillId="0" borderId="6" xfId="0" applyFont="1" applyBorder="1" applyAlignment="1">
      <alignment vertical="center" wrapText="1"/>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horizontal="center"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166" fontId="2" fillId="0" borderId="2"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0" fontId="40" fillId="0" borderId="1" xfId="0" applyFont="1" applyBorder="1" applyAlignment="1">
      <alignment vertical="center" wrapText="1"/>
    </xf>
    <xf numFmtId="0" fontId="34" fillId="0" borderId="6" xfId="0" applyFont="1" applyBorder="1" applyAlignment="1">
      <alignment vertical="center" wrapText="1"/>
    </xf>
    <xf numFmtId="0" fontId="34" fillId="0" borderId="2" xfId="0" applyFont="1" applyBorder="1" applyAlignment="1">
      <alignment vertical="center" wrapText="1"/>
    </xf>
    <xf numFmtId="0" fontId="40" fillId="0" borderId="2" xfId="0" applyFont="1" applyBorder="1" applyAlignment="1">
      <alignment vertical="center" wrapText="1"/>
    </xf>
    <xf numFmtId="0" fontId="36" fillId="0" borderId="2" xfId="0" applyFont="1" applyBorder="1" applyAlignment="1">
      <alignment vertical="center" wrapText="1"/>
    </xf>
    <xf numFmtId="0" fontId="33" fillId="0" borderId="8" xfId="0" applyFont="1" applyBorder="1" applyAlignment="1">
      <alignment vertical="center" wrapText="1"/>
    </xf>
    <xf numFmtId="0" fontId="33" fillId="0" borderId="7" xfId="0" applyFont="1" applyBorder="1" applyAlignment="1">
      <alignment vertical="center" wrapText="1"/>
    </xf>
    <xf numFmtId="0" fontId="34" fillId="0" borderId="5" xfId="0" applyFont="1" applyBorder="1" applyAlignment="1">
      <alignment vertical="center" wrapText="1"/>
    </xf>
    <xf numFmtId="0" fontId="34" fillId="0" borderId="4" xfId="0" applyFont="1" applyBorder="1" applyAlignment="1">
      <alignment vertical="center" wrapText="1"/>
    </xf>
    <xf numFmtId="0" fontId="34" fillId="0" borderId="3" xfId="0" applyFont="1" applyBorder="1" applyAlignment="1">
      <alignment vertical="center" wrapText="1"/>
    </xf>
    <xf numFmtId="0" fontId="26" fillId="0" borderId="0" xfId="0" applyFont="1" applyAlignment="1">
      <alignment horizontal="center"/>
    </xf>
    <xf numFmtId="0" fontId="24" fillId="0" borderId="1" xfId="0" applyFont="1" applyBorder="1" applyAlignment="1">
      <alignment horizontal="center" vertical="center"/>
    </xf>
    <xf numFmtId="2" fontId="24" fillId="0" borderId="1" xfId="0" applyNumberFormat="1" applyFont="1" applyBorder="1" applyAlignment="1">
      <alignment horizontal="center" vertical="center"/>
    </xf>
    <xf numFmtId="0" fontId="16" fillId="0" borderId="6" xfId="0" applyFont="1" applyBorder="1"/>
    <xf numFmtId="0" fontId="16" fillId="0" borderId="1" xfId="0" applyFont="1" applyBorder="1"/>
    <xf numFmtId="0" fontId="16" fillId="0" borderId="1" xfId="0" applyFont="1" applyBorder="1" applyAlignment="1">
      <alignment horizontal="center" vertical="center"/>
    </xf>
    <xf numFmtId="0" fontId="16" fillId="0" borderId="6" xfId="0" applyFont="1" applyBorder="1" applyAlignment="1">
      <alignment wrapText="1"/>
    </xf>
    <xf numFmtId="0" fontId="16" fillId="0" borderId="5" xfId="0" applyFont="1" applyBorder="1" applyAlignment="1">
      <alignment wrapText="1"/>
    </xf>
    <xf numFmtId="0" fontId="16" fillId="0" borderId="4" xfId="0" applyFont="1" applyBorder="1"/>
    <xf numFmtId="0" fontId="16" fillId="0" borderId="4" xfId="0" applyFont="1" applyBorder="1" applyAlignment="1">
      <alignment horizontal="center" vertical="center"/>
    </xf>
    <xf numFmtId="0" fontId="17" fillId="0" borderId="9" xfId="0" applyFont="1" applyBorder="1" applyAlignment="1">
      <alignment vertical="center" wrapText="1"/>
    </xf>
    <xf numFmtId="0" fontId="17" fillId="0" borderId="8" xfId="0" applyFont="1" applyBorder="1" applyAlignment="1">
      <alignment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wrapText="1"/>
    </xf>
    <xf numFmtId="0" fontId="17" fillId="0" borderId="4" xfId="0" applyFont="1" applyBorder="1"/>
    <xf numFmtId="0" fontId="17" fillId="0" borderId="4" xfId="0" applyFont="1" applyBorder="1" applyAlignment="1">
      <alignment horizontal="center" vertical="center"/>
    </xf>
    <xf numFmtId="166" fontId="16" fillId="0" borderId="1" xfId="0" applyNumberFormat="1" applyFont="1" applyBorder="1" applyAlignment="1">
      <alignment vertical="center" wrapText="1"/>
    </xf>
    <xf numFmtId="166" fontId="17" fillId="0" borderId="1" xfId="0" applyNumberFormat="1" applyFont="1" applyBorder="1" applyAlignment="1">
      <alignment vertical="center" wrapText="1"/>
    </xf>
    <xf numFmtId="168" fontId="15" fillId="0" borderId="1" xfId="0" applyNumberFormat="1" applyFont="1" applyBorder="1" applyAlignment="1">
      <alignment horizontal="center" vertical="center" wrapText="1"/>
    </xf>
    <xf numFmtId="168" fontId="15" fillId="0" borderId="2" xfId="0" applyNumberFormat="1" applyFont="1" applyBorder="1" applyAlignment="1">
      <alignment horizontal="center" vertical="center" wrapText="1"/>
    </xf>
    <xf numFmtId="168" fontId="14" fillId="0" borderId="1" xfId="0" applyNumberFormat="1" applyFont="1" applyBorder="1" applyAlignment="1">
      <alignment horizontal="center" vertical="center" wrapText="1"/>
    </xf>
    <xf numFmtId="168" fontId="14" fillId="0" borderId="4" xfId="0" applyNumberFormat="1" applyFont="1" applyBorder="1" applyAlignment="1">
      <alignment horizontal="center" vertical="center" wrapText="1"/>
    </xf>
    <xf numFmtId="169" fontId="15" fillId="0" borderId="1" xfId="0" applyNumberFormat="1" applyFont="1" applyBorder="1" applyAlignment="1">
      <alignment horizontal="center" vertical="center" wrapText="1"/>
    </xf>
    <xf numFmtId="169" fontId="14" fillId="0" borderId="1" xfId="0" applyNumberFormat="1" applyFont="1" applyBorder="1" applyAlignment="1">
      <alignment horizontal="center" vertical="center" wrapText="1"/>
    </xf>
    <xf numFmtId="169" fontId="14" fillId="0" borderId="4"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168" fontId="15" fillId="4" borderId="1" xfId="0" applyNumberFormat="1" applyFont="1" applyFill="1" applyBorder="1" applyAlignment="1">
      <alignment horizontal="center" vertical="center" wrapText="1"/>
    </xf>
    <xf numFmtId="0" fontId="17" fillId="0" borderId="1" xfId="0" applyFont="1" applyBorder="1" applyAlignment="1">
      <alignment wrapText="1"/>
    </xf>
    <xf numFmtId="0" fontId="16" fillId="0" borderId="1" xfId="0" applyFont="1" applyBorder="1" applyAlignment="1">
      <alignment wrapText="1"/>
    </xf>
    <xf numFmtId="0" fontId="17" fillId="0" borderId="1" xfId="0" applyFont="1" applyBorder="1"/>
    <xf numFmtId="0" fontId="41" fillId="0" borderId="0" xfId="0" applyFont="1"/>
    <xf numFmtId="168" fontId="15" fillId="0" borderId="0" xfId="0" applyNumberFormat="1" applyFont="1" applyAlignment="1">
      <alignment horizontal="left" vertical="center"/>
    </xf>
    <xf numFmtId="168" fontId="18" fillId="0" borderId="0" xfId="0" applyNumberFormat="1" applyFont="1" applyAlignment="1">
      <alignment horizontal="left" vertical="center"/>
    </xf>
    <xf numFmtId="0" fontId="17" fillId="0" borderId="18" xfId="0" applyFont="1" applyBorder="1" applyAlignment="1">
      <alignment vertical="center" wrapText="1"/>
    </xf>
    <xf numFmtId="0" fontId="16" fillId="0" borderId="18" xfId="0" applyFont="1" applyBorder="1" applyAlignment="1">
      <alignment vertical="center" wrapText="1"/>
    </xf>
    <xf numFmtId="0" fontId="17" fillId="0" borderId="2" xfId="0" applyFont="1" applyBorder="1" applyAlignment="1">
      <alignment vertical="center" wrapText="1"/>
    </xf>
    <xf numFmtId="0" fontId="16" fillId="0" borderId="2" xfId="0" applyFont="1" applyBorder="1" applyAlignment="1">
      <alignment vertical="center" wrapText="1"/>
    </xf>
    <xf numFmtId="14" fontId="16" fillId="0" borderId="2" xfId="0" applyNumberFormat="1" applyFont="1" applyBorder="1" applyAlignment="1">
      <alignment vertical="center" wrapText="1"/>
    </xf>
    <xf numFmtId="0" fontId="16" fillId="0" borderId="4" xfId="0" applyFont="1" applyBorder="1" applyAlignment="1">
      <alignment vertical="center" wrapText="1"/>
    </xf>
    <xf numFmtId="0" fontId="16" fillId="0" borderId="15" xfId="0" applyFont="1" applyBorder="1" applyAlignment="1">
      <alignment vertical="center" wrapText="1"/>
    </xf>
    <xf numFmtId="0" fontId="16" fillId="0" borderId="15" xfId="0" applyFont="1" applyBorder="1" applyAlignment="1">
      <alignment horizontal="left" vertical="center" wrapText="1" indent="3"/>
    </xf>
    <xf numFmtId="0" fontId="16" fillId="0" borderId="15" xfId="0" applyFont="1" applyBorder="1" applyAlignment="1">
      <alignment horizontal="left" vertical="center" wrapText="1" indent="1"/>
    </xf>
    <xf numFmtId="168" fontId="44" fillId="0" borderId="0" xfId="0" applyNumberFormat="1" applyFont="1" applyAlignment="1">
      <alignment horizontal="left" vertical="center"/>
    </xf>
    <xf numFmtId="166" fontId="22" fillId="0" borderId="1" xfId="0" applyNumberFormat="1" applyFont="1" applyBorder="1" applyAlignment="1">
      <alignment horizontal="center" vertical="center" wrapText="1"/>
    </xf>
    <xf numFmtId="166" fontId="22" fillId="0" borderId="2" xfId="0" applyNumberFormat="1" applyFont="1" applyBorder="1" applyAlignment="1">
      <alignment horizontal="center" vertical="center" wrapText="1"/>
    </xf>
    <xf numFmtId="168" fontId="14" fillId="4" borderId="1" xfId="0" applyNumberFormat="1" applyFont="1" applyFill="1" applyBorder="1" applyAlignment="1">
      <alignment horizontal="center" vertical="center" wrapText="1"/>
    </xf>
    <xf numFmtId="166" fontId="22" fillId="0" borderId="4" xfId="0" applyNumberFormat="1" applyFont="1" applyBorder="1" applyAlignment="1">
      <alignment horizontal="center" vertical="center" wrapText="1"/>
    </xf>
    <xf numFmtId="166" fontId="22" fillId="0" borderId="3" xfId="0" applyNumberFormat="1" applyFont="1" applyBorder="1" applyAlignment="1">
      <alignment horizontal="center" vertical="center" wrapText="1"/>
    </xf>
    <xf numFmtId="166" fontId="15" fillId="0" borderId="1" xfId="0" applyNumberFormat="1" applyFont="1" applyBorder="1" applyAlignment="1">
      <alignment horizontal="center" vertical="center" wrapText="1"/>
    </xf>
    <xf numFmtId="166" fontId="14" fillId="0" borderId="4" xfId="0" applyNumberFormat="1" applyFont="1" applyBorder="1" applyAlignment="1">
      <alignment horizontal="center" vertical="center" wrapText="1"/>
    </xf>
    <xf numFmtId="15" fontId="36" fillId="0" borderId="1" xfId="0" applyNumberFormat="1" applyFont="1" applyBorder="1" applyAlignment="1">
      <alignment vertical="center" wrapText="1"/>
    </xf>
    <xf numFmtId="15" fontId="34" fillId="0" borderId="1" xfId="0" applyNumberFormat="1" applyFont="1" applyBorder="1" applyAlignment="1">
      <alignment vertical="center" wrapText="1"/>
    </xf>
    <xf numFmtId="166" fontId="34" fillId="0" borderId="1" xfId="0" applyNumberFormat="1" applyFont="1" applyBorder="1" applyAlignment="1">
      <alignment horizontal="right" vertical="center" wrapText="1"/>
    </xf>
    <xf numFmtId="166" fontId="35" fillId="0" borderId="1" xfId="0" applyNumberFormat="1" applyFont="1" applyBorder="1" applyAlignment="1">
      <alignment horizontal="right" vertical="center" wrapText="1"/>
    </xf>
    <xf numFmtId="15" fontId="34" fillId="0" borderId="4" xfId="0" applyNumberFormat="1" applyFont="1" applyBorder="1" applyAlignment="1">
      <alignment vertical="center" wrapText="1"/>
    </xf>
    <xf numFmtId="166" fontId="34" fillId="0" borderId="4" xfId="0" applyNumberFormat="1" applyFont="1" applyBorder="1" applyAlignment="1">
      <alignment horizontal="right" vertical="center" wrapText="1"/>
    </xf>
    <xf numFmtId="166" fontId="35" fillId="0" borderId="4" xfId="0" applyNumberFormat="1" applyFont="1" applyBorder="1" applyAlignment="1">
      <alignment horizontal="right" vertical="center" wrapText="1"/>
    </xf>
    <xf numFmtId="166" fontId="36" fillId="0" borderId="1" xfId="0" applyNumberFormat="1" applyFont="1" applyBorder="1" applyAlignment="1">
      <alignment horizontal="right" vertical="center" wrapText="1"/>
    </xf>
    <xf numFmtId="0" fontId="16" fillId="0" borderId="6" xfId="0" applyFont="1" applyBorder="1" applyAlignment="1">
      <alignment vertical="center" wrapText="1"/>
    </xf>
    <xf numFmtId="166" fontId="16" fillId="0" borderId="1" xfId="0" applyNumberFormat="1" applyFont="1" applyBorder="1" applyAlignment="1">
      <alignment horizontal="center" vertical="center" wrapText="1"/>
    </xf>
    <xf numFmtId="166" fontId="16" fillId="0" borderId="2" xfId="0" applyNumberFormat="1" applyFont="1" applyBorder="1" applyAlignment="1">
      <alignment horizontal="center" vertical="center" wrapText="1"/>
    </xf>
    <xf numFmtId="0" fontId="17" fillId="0" borderId="5" xfId="0" applyFont="1" applyBorder="1" applyAlignment="1">
      <alignment vertical="center" wrapText="1"/>
    </xf>
    <xf numFmtId="0" fontId="17" fillId="0" borderId="4" xfId="0" applyFont="1" applyBorder="1" applyAlignment="1">
      <alignment vertical="center" wrapText="1"/>
    </xf>
    <xf numFmtId="166" fontId="17" fillId="0" borderId="4" xfId="0" applyNumberFormat="1" applyFont="1" applyBorder="1" applyAlignment="1">
      <alignment horizontal="center" vertical="center" wrapText="1"/>
    </xf>
    <xf numFmtId="166" fontId="17" fillId="0" borderId="3" xfId="0" applyNumberFormat="1" applyFont="1" applyBorder="1" applyAlignment="1">
      <alignment horizontal="center" vertical="center" wrapText="1"/>
    </xf>
    <xf numFmtId="14" fontId="10" fillId="0" borderId="1" xfId="0" applyNumberFormat="1" applyFont="1" applyBorder="1" applyAlignment="1">
      <alignment horizontal="left" vertical="center" wrapText="1"/>
    </xf>
    <xf numFmtId="14" fontId="10" fillId="0" borderId="6" xfId="0" applyNumberFormat="1" applyFont="1" applyBorder="1" applyAlignment="1">
      <alignment horizontal="left" vertical="center" wrapText="1"/>
    </xf>
    <xf numFmtId="0" fontId="10" fillId="0" borderId="6" xfId="0" applyFont="1" applyBorder="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3" fontId="16"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3" fontId="16" fillId="0" borderId="1" xfId="0" applyNumberFormat="1" applyFont="1" applyBorder="1" applyAlignment="1">
      <alignment vertical="top" wrapText="1"/>
    </xf>
    <xf numFmtId="166" fontId="0" fillId="0" borderId="0" xfId="0" applyNumberFormat="1"/>
    <xf numFmtId="0" fontId="3" fillId="0" borderId="21" xfId="0" applyFont="1" applyBorder="1" applyAlignment="1">
      <alignment vertical="center" wrapText="1"/>
    </xf>
    <xf numFmtId="15" fontId="0" fillId="0" borderId="0" xfId="0" applyNumberFormat="1"/>
    <xf numFmtId="0" fontId="3" fillId="0" borderId="21" xfId="0" applyFont="1" applyBorder="1" applyAlignment="1">
      <alignment vertical="center"/>
    </xf>
    <xf numFmtId="0" fontId="0" fillId="0" borderId="23" xfId="0" applyBorder="1" applyAlignment="1">
      <alignment vertical="center" wrapText="1"/>
    </xf>
    <xf numFmtId="0" fontId="0" fillId="0" borderId="0" xfId="0" applyAlignment="1">
      <alignment vertical="center" wrapText="1"/>
    </xf>
    <xf numFmtId="15" fontId="0" fillId="0" borderId="0" xfId="0" applyNumberFormat="1" applyAlignment="1">
      <alignment vertical="center" wrapText="1"/>
    </xf>
    <xf numFmtId="0" fontId="0" fillId="0" borderId="0" xfId="0" applyAlignment="1">
      <alignment horizontal="center" vertical="center" wrapText="1"/>
    </xf>
    <xf numFmtId="0" fontId="0" fillId="0" borderId="0" xfId="0" applyAlignment="1">
      <alignment horizontal="left" vertical="center"/>
    </xf>
    <xf numFmtId="0" fontId="34" fillId="0" borderId="8" xfId="0" applyFont="1" applyBorder="1" applyAlignment="1">
      <alignment vertical="center" wrapText="1"/>
    </xf>
    <xf numFmtId="0" fontId="34" fillId="0" borderId="7" xfId="0" applyFont="1" applyBorder="1" applyAlignment="1">
      <alignment vertical="center" wrapText="1"/>
    </xf>
    <xf numFmtId="0" fontId="17" fillId="0" borderId="0" xfId="0" applyFont="1"/>
    <xf numFmtId="170" fontId="16" fillId="0" borderId="1" xfId="0" applyNumberFormat="1" applyFont="1" applyBorder="1"/>
    <xf numFmtId="1" fontId="16" fillId="0" borderId="1" xfId="0" applyNumberFormat="1" applyFont="1" applyBorder="1"/>
    <xf numFmtId="170" fontId="16" fillId="0" borderId="0" xfId="0" applyNumberFormat="1" applyFont="1"/>
    <xf numFmtId="170" fontId="16" fillId="0" borderId="4" xfId="0" applyNumberFormat="1" applyFont="1" applyBorder="1"/>
    <xf numFmtId="170" fontId="16" fillId="0" borderId="5" xfId="0" applyNumberFormat="1" applyFont="1" applyBorder="1"/>
    <xf numFmtId="170" fontId="16" fillId="0" borderId="15" xfId="0" applyNumberFormat="1" applyFont="1" applyBorder="1"/>
    <xf numFmtId="170" fontId="16" fillId="0" borderId="10" xfId="0" applyNumberFormat="1" applyFont="1" applyBorder="1"/>
    <xf numFmtId="170" fontId="16" fillId="0" borderId="6" xfId="0" applyNumberFormat="1" applyFont="1" applyBorder="1"/>
    <xf numFmtId="170" fontId="16" fillId="0" borderId="11" xfId="0" applyNumberFormat="1" applyFont="1" applyBorder="1"/>
    <xf numFmtId="0" fontId="17" fillId="0" borderId="1" xfId="0" applyFont="1" applyBorder="1" applyAlignment="1">
      <alignment horizontal="center"/>
    </xf>
    <xf numFmtId="170" fontId="17" fillId="0" borderId="5" xfId="0" applyNumberFormat="1" applyFont="1" applyBorder="1" applyAlignment="1">
      <alignment horizontal="center" wrapText="1"/>
    </xf>
    <xf numFmtId="0" fontId="17" fillId="0" borderId="7" xfId="0" applyFont="1" applyBorder="1" applyAlignment="1">
      <alignment horizontal="center"/>
    </xf>
    <xf numFmtId="0" fontId="17" fillId="0" borderId="2" xfId="0" applyFont="1" applyBorder="1" applyAlignment="1">
      <alignment horizontal="center"/>
    </xf>
    <xf numFmtId="0" fontId="17" fillId="0" borderId="2" xfId="0" applyFont="1" applyBorder="1"/>
    <xf numFmtId="0" fontId="17" fillId="0" borderId="2" xfId="0" applyFont="1" applyBorder="1" applyAlignment="1">
      <alignment wrapText="1"/>
    </xf>
    <xf numFmtId="0" fontId="17" fillId="0" borderId="14" xfId="0" applyFont="1" applyBorder="1" applyAlignment="1">
      <alignment wrapText="1"/>
    </xf>
    <xf numFmtId="0" fontId="17" fillId="0" borderId="6" xfId="0" applyFont="1" applyBorder="1"/>
    <xf numFmtId="0" fontId="17" fillId="0" borderId="24" xfId="0" applyFont="1" applyBorder="1"/>
    <xf numFmtId="0" fontId="17" fillId="0" borderId="24" xfId="0" applyFont="1" applyBorder="1" applyAlignment="1">
      <alignment wrapText="1"/>
    </xf>
    <xf numFmtId="0" fontId="17" fillId="0" borderId="3" xfId="0" applyFont="1" applyBorder="1"/>
    <xf numFmtId="0" fontId="17" fillId="0" borderId="16" xfId="0" applyFont="1" applyBorder="1"/>
    <xf numFmtId="0" fontId="17" fillId="0" borderId="7" xfId="0" applyFont="1" applyBorder="1"/>
    <xf numFmtId="0" fontId="17" fillId="0" borderId="13" xfId="0" applyFont="1" applyBorder="1" applyAlignment="1">
      <alignment wrapText="1"/>
    </xf>
    <xf numFmtId="0" fontId="17" fillId="0" borderId="25" xfId="0" applyFont="1" applyBorder="1" applyAlignment="1">
      <alignment wrapText="1"/>
    </xf>
    <xf numFmtId="0" fontId="48" fillId="0" borderId="22" xfId="0" applyFont="1" applyBorder="1" applyAlignment="1">
      <alignment vertical="center" wrapText="1"/>
    </xf>
    <xf numFmtId="15" fontId="48" fillId="0" borderId="22" xfId="0" applyNumberFormat="1" applyFont="1" applyBorder="1" applyAlignment="1">
      <alignment vertical="center" wrapText="1"/>
    </xf>
    <xf numFmtId="0" fontId="48" fillId="0" borderId="22" xfId="0" applyFont="1" applyBorder="1" applyAlignment="1">
      <alignment horizontal="center" vertical="center" wrapText="1"/>
    </xf>
    <xf numFmtId="0" fontId="17" fillId="0" borderId="1" xfId="0" applyFont="1" applyBorder="1" applyAlignment="1">
      <alignment vertical="center"/>
    </xf>
    <xf numFmtId="2" fontId="14" fillId="0" borderId="12" xfId="7" applyNumberFormat="1" applyFont="1" applyBorder="1" applyAlignment="1">
      <alignment horizontal="centerContinuous" vertical="center"/>
    </xf>
    <xf numFmtId="0" fontId="14" fillId="0" borderId="2" xfId="0" applyFont="1" applyBorder="1" applyAlignment="1">
      <alignment horizontal="center"/>
    </xf>
    <xf numFmtId="170" fontId="16" fillId="0" borderId="20" xfId="0" applyNumberFormat="1" applyFont="1" applyBorder="1"/>
    <xf numFmtId="170" fontId="16" fillId="0" borderId="26" xfId="0" applyNumberFormat="1" applyFont="1" applyBorder="1"/>
    <xf numFmtId="166" fontId="16" fillId="0" borderId="1" xfId="0" applyNumberFormat="1" applyFont="1" applyBorder="1"/>
    <xf numFmtId="1" fontId="16" fillId="0" borderId="6" xfId="0" applyNumberFormat="1" applyFont="1" applyBorder="1"/>
    <xf numFmtId="0" fontId="17" fillId="0" borderId="27" xfId="8" applyFont="1" applyBorder="1" applyAlignment="1">
      <alignment horizontal="center" vertical="center"/>
    </xf>
    <xf numFmtId="0" fontId="17" fillId="0" borderId="28" xfId="8" applyFont="1" applyBorder="1" applyAlignment="1">
      <alignment horizontal="center" vertical="center"/>
    </xf>
    <xf numFmtId="0" fontId="17" fillId="0" borderId="29" xfId="8" applyFont="1" applyBorder="1" applyAlignment="1">
      <alignment horizontal="center" vertical="center"/>
    </xf>
    <xf numFmtId="166" fontId="16" fillId="0" borderId="1" xfId="0" applyNumberFormat="1" applyFont="1" applyBorder="1" applyAlignment="1">
      <alignment horizontal="center" vertical="center"/>
    </xf>
    <xf numFmtId="166" fontId="16" fillId="0" borderId="2" xfId="0" applyNumberFormat="1" applyFont="1" applyBorder="1" applyAlignment="1">
      <alignment horizontal="center" vertical="center"/>
    </xf>
    <xf numFmtId="166" fontId="16" fillId="0" borderId="4" xfId="0" applyNumberFormat="1" applyFont="1" applyBorder="1" applyAlignment="1">
      <alignment horizontal="center" vertical="center"/>
    </xf>
    <xf numFmtId="166" fontId="16" fillId="0" borderId="3" xfId="0" applyNumberFormat="1" applyFont="1" applyBorder="1" applyAlignment="1">
      <alignment horizontal="center" vertical="center"/>
    </xf>
    <xf numFmtId="166" fontId="17" fillId="0" borderId="4" xfId="0" applyNumberFormat="1" applyFont="1" applyBorder="1" applyAlignment="1">
      <alignment horizontal="center" vertical="center"/>
    </xf>
    <xf numFmtId="1" fontId="17" fillId="0" borderId="4" xfId="0" applyNumberFormat="1" applyFont="1" applyBorder="1"/>
    <xf numFmtId="170" fontId="17" fillId="0" borderId="15" xfId="0" applyNumberFormat="1" applyFont="1" applyBorder="1"/>
    <xf numFmtId="170" fontId="17" fillId="0" borderId="10" xfId="0" applyNumberFormat="1" applyFont="1" applyBorder="1"/>
    <xf numFmtId="1" fontId="17" fillId="0" borderId="1" xfId="0" applyNumberFormat="1" applyFont="1" applyBorder="1"/>
    <xf numFmtId="170" fontId="17" fillId="0" borderId="9" xfId="0" applyNumberFormat="1" applyFont="1" applyBorder="1"/>
    <xf numFmtId="165" fontId="10" fillId="0" borderId="2" xfId="0" applyNumberFormat="1" applyFont="1" applyBorder="1" applyAlignment="1">
      <alignment horizontal="left" vertical="center" wrapText="1"/>
    </xf>
    <xf numFmtId="0" fontId="1" fillId="2" borderId="6" xfId="0" applyFont="1" applyFill="1" applyBorder="1" applyAlignment="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5"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25" fillId="0" borderId="9" xfId="0" applyFont="1" applyBorder="1" applyAlignment="1">
      <alignment vertical="center" wrapText="1"/>
    </xf>
    <xf numFmtId="0" fontId="25" fillId="0" borderId="8" xfId="0" applyFont="1" applyBorder="1" applyAlignment="1">
      <alignment vertical="center" wrapText="1"/>
    </xf>
    <xf numFmtId="0" fontId="25" fillId="0" borderId="7" xfId="0" applyFont="1" applyBorder="1" applyAlignment="1">
      <alignment vertical="center" wrapText="1"/>
    </xf>
    <xf numFmtId="0" fontId="25" fillId="0" borderId="6" xfId="0" applyFont="1" applyBorder="1" applyAlignment="1">
      <alignment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5" fillId="0" borderId="5" xfId="0" applyFont="1" applyBorder="1" applyAlignment="1">
      <alignment vertical="center" wrapText="1"/>
    </xf>
    <xf numFmtId="0" fontId="23" fillId="0" borderId="4" xfId="0" applyFont="1" applyBorder="1" applyAlignment="1">
      <alignment vertical="center" wrapText="1"/>
    </xf>
    <xf numFmtId="0" fontId="23" fillId="0" borderId="3" xfId="0" applyFont="1" applyBorder="1" applyAlignment="1">
      <alignment vertical="center" wrapText="1"/>
    </xf>
    <xf numFmtId="0" fontId="37" fillId="0" borderId="6" xfId="0" applyFont="1" applyBorder="1" applyAlignment="1">
      <alignment vertical="center" wrapText="1"/>
    </xf>
    <xf numFmtId="0" fontId="37" fillId="0" borderId="1" xfId="0" applyFont="1" applyBorder="1" applyAlignment="1">
      <alignment vertical="center" wrapText="1"/>
    </xf>
    <xf numFmtId="166" fontId="38" fillId="0" borderId="2" xfId="0" applyNumberFormat="1" applyFont="1" applyBorder="1" applyAlignment="1">
      <alignment horizontal="center" vertical="center" wrapText="1"/>
    </xf>
    <xf numFmtId="0" fontId="37" fillId="0" borderId="5" xfId="0" applyFont="1" applyBorder="1" applyAlignment="1">
      <alignment vertical="center" wrapText="1"/>
    </xf>
    <xf numFmtId="0" fontId="37" fillId="0" borderId="4" xfId="0" applyFont="1" applyBorder="1" applyAlignment="1">
      <alignment vertical="center" wrapText="1"/>
    </xf>
    <xf numFmtId="166" fontId="38" fillId="0" borderId="3"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1" xfId="0" applyFont="1" applyBorder="1" applyAlignment="1">
      <alignment horizontal="center" vertical="center" wrapText="1"/>
    </xf>
    <xf numFmtId="166" fontId="45" fillId="0" borderId="2" xfId="0" applyNumberFormat="1"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166" fontId="45" fillId="0" borderId="3" xfId="0" applyNumberFormat="1" applyFont="1" applyBorder="1" applyAlignment="1">
      <alignment horizontal="center" vertical="center" wrapText="1"/>
    </xf>
    <xf numFmtId="0" fontId="26" fillId="0" borderId="1" xfId="0" applyFont="1" applyBorder="1" applyAlignment="1">
      <alignment horizontal="center"/>
    </xf>
    <xf numFmtId="166" fontId="45" fillId="0" borderId="1" xfId="0" applyNumberFormat="1" applyFont="1" applyBorder="1" applyAlignment="1">
      <alignment horizontal="center" vertical="center" wrapText="1"/>
    </xf>
    <xf numFmtId="0" fontId="49" fillId="0" borderId="0" xfId="0" applyFont="1"/>
    <xf numFmtId="166" fontId="46" fillId="0" borderId="4" xfId="0" applyNumberFormat="1" applyFont="1" applyBorder="1" applyAlignment="1">
      <alignment horizontal="center" vertical="center" wrapText="1"/>
    </xf>
    <xf numFmtId="166" fontId="46" fillId="0" borderId="3" xfId="0" applyNumberFormat="1" applyFont="1" applyBorder="1" applyAlignment="1">
      <alignment horizontal="center" vertical="center" wrapText="1"/>
    </xf>
    <xf numFmtId="0" fontId="27" fillId="5" borderId="1" xfId="0" applyFont="1" applyFill="1" applyBorder="1" applyAlignment="1">
      <alignment horizontal="center" vertical="center" wrapText="1"/>
    </xf>
    <xf numFmtId="167" fontId="22" fillId="5" borderId="1" xfId="0" applyNumberFormat="1" applyFont="1" applyFill="1" applyBorder="1" applyAlignment="1">
      <alignment horizontal="center" vertical="center" wrapText="1"/>
    </xf>
    <xf numFmtId="166" fontId="16" fillId="5" borderId="1" xfId="0" applyNumberFormat="1" applyFont="1" applyFill="1" applyBorder="1" applyAlignment="1">
      <alignment vertical="center" wrapText="1"/>
    </xf>
    <xf numFmtId="0" fontId="45" fillId="0" borderId="1" xfId="0" applyFont="1" applyBorder="1" applyAlignment="1">
      <alignment vertical="center" wrapText="1"/>
    </xf>
    <xf numFmtId="0" fontId="45" fillId="0" borderId="4" xfId="0" applyFont="1" applyBorder="1" applyAlignment="1">
      <alignment vertical="center" wrapText="1"/>
    </xf>
    <xf numFmtId="0" fontId="22" fillId="0" borderId="1" xfId="0" applyFont="1" applyBorder="1" applyAlignment="1">
      <alignment vertical="center" wrapText="1"/>
    </xf>
    <xf numFmtId="0" fontId="22" fillId="0" borderId="4" xfId="0" applyFont="1" applyBorder="1" applyAlignment="1">
      <alignment vertical="center" wrapText="1"/>
    </xf>
    <xf numFmtId="0" fontId="1" fillId="0" borderId="1" xfId="0" applyFont="1" applyBorder="1" applyAlignment="1">
      <alignment horizontal="center" vertical="center"/>
    </xf>
    <xf numFmtId="0" fontId="31" fillId="0" borderId="0" xfId="0" applyFont="1"/>
    <xf numFmtId="167" fontId="22" fillId="0" borderId="1" xfId="0" applyNumberFormat="1" applyFont="1" applyBorder="1" applyAlignment="1">
      <alignment horizontal="center" vertical="center" wrapText="1"/>
    </xf>
    <xf numFmtId="167" fontId="22" fillId="0" borderId="1" xfId="0" applyNumberFormat="1" applyFont="1" applyBorder="1" applyAlignment="1">
      <alignment horizontal="center" vertical="center"/>
    </xf>
    <xf numFmtId="167" fontId="22" fillId="0" borderId="2" xfId="0" applyNumberFormat="1" applyFont="1" applyBorder="1" applyAlignment="1">
      <alignment horizontal="center" vertical="center" wrapText="1"/>
    </xf>
    <xf numFmtId="167" fontId="27" fillId="0" borderId="1" xfId="0" applyNumberFormat="1" applyFont="1" applyBorder="1" applyAlignment="1">
      <alignment horizontal="center" vertical="center" wrapText="1"/>
    </xf>
    <xf numFmtId="171" fontId="0" fillId="0" borderId="0" xfId="0" applyNumberFormat="1"/>
    <xf numFmtId="167" fontId="27" fillId="0" borderId="1" xfId="0" applyNumberFormat="1" applyFont="1" applyBorder="1" applyAlignment="1">
      <alignment horizontal="center" vertical="center"/>
    </xf>
    <xf numFmtId="172" fontId="0" fillId="0" borderId="0" xfId="0" applyNumberFormat="1"/>
    <xf numFmtId="0" fontId="22" fillId="0" borderId="2" xfId="0" applyFont="1" applyBorder="1" applyAlignment="1">
      <alignment horizontal="center" vertical="center" wrapText="1"/>
    </xf>
    <xf numFmtId="166" fontId="27" fillId="0" borderId="3" xfId="0" applyNumberFormat="1" applyFont="1" applyBorder="1" applyAlignment="1">
      <alignment horizontal="center" vertical="center" wrapText="1"/>
    </xf>
    <xf numFmtId="0" fontId="32" fillId="0" borderId="8" xfId="0" applyFont="1" applyBorder="1" applyAlignment="1">
      <alignment horizontal="center" vertical="center" wrapText="1"/>
    </xf>
    <xf numFmtId="0" fontId="32" fillId="0" borderId="7" xfId="0" applyFont="1" applyBorder="1" applyAlignment="1">
      <alignment horizontal="center" vertical="center" wrapText="1"/>
    </xf>
    <xf numFmtId="168" fontId="22" fillId="0" borderId="1" xfId="0" applyNumberFormat="1" applyFont="1" applyBorder="1" applyAlignment="1">
      <alignment horizontal="center" vertical="center"/>
    </xf>
    <xf numFmtId="166" fontId="27" fillId="0" borderId="1" xfId="0" applyNumberFormat="1" applyFont="1" applyBorder="1" applyAlignment="1">
      <alignment horizontal="center" vertical="center" wrapText="1"/>
    </xf>
    <xf numFmtId="9" fontId="22" fillId="0" borderId="4" xfId="0" applyNumberFormat="1" applyFont="1" applyBorder="1" applyAlignment="1">
      <alignment horizontal="center" vertical="center" wrapText="1"/>
    </xf>
    <xf numFmtId="9" fontId="22" fillId="0" borderId="4" xfId="0" applyNumberFormat="1" applyFont="1" applyBorder="1" applyAlignment="1">
      <alignment horizontal="center" vertical="center"/>
    </xf>
    <xf numFmtId="9" fontId="22" fillId="0" borderId="3" xfId="0" applyNumberFormat="1" applyFont="1" applyBorder="1" applyAlignment="1">
      <alignment horizontal="center" vertical="center"/>
    </xf>
    <xf numFmtId="0" fontId="38" fillId="0" borderId="1" xfId="0" applyFont="1" applyBorder="1" applyAlignment="1">
      <alignment horizontal="center" vertical="center" wrapText="1"/>
    </xf>
    <xf numFmtId="166" fontId="38" fillId="0" borderId="1" xfId="0" applyNumberFormat="1" applyFont="1" applyBorder="1" applyAlignment="1">
      <alignment horizontal="center" vertical="center" wrapText="1"/>
    </xf>
    <xf numFmtId="0" fontId="38" fillId="0" borderId="4" xfId="0" applyFont="1" applyBorder="1" applyAlignment="1">
      <alignment horizontal="center" vertical="center" wrapText="1"/>
    </xf>
    <xf numFmtId="166" fontId="38" fillId="0" borderId="4" xfId="0" applyNumberFormat="1" applyFont="1" applyBorder="1" applyAlignment="1">
      <alignment horizontal="center" vertical="center" wrapText="1"/>
    </xf>
    <xf numFmtId="0" fontId="45" fillId="0" borderId="6" xfId="0" applyFont="1" applyBorder="1" applyAlignment="1">
      <alignment vertical="center" wrapText="1"/>
    </xf>
    <xf numFmtId="0" fontId="46" fillId="0" borderId="5" xfId="0" applyFont="1" applyBorder="1" applyAlignment="1">
      <alignment vertical="center" wrapText="1"/>
    </xf>
    <xf numFmtId="0" fontId="33" fillId="0" borderId="9" xfId="0" applyFont="1" applyBorder="1" applyAlignment="1">
      <alignment vertical="center" wrapText="1"/>
    </xf>
    <xf numFmtId="0" fontId="16" fillId="0" borderId="19" xfId="0" applyFont="1" applyBorder="1" applyAlignment="1">
      <alignment vertical="center" wrapText="1"/>
    </xf>
    <xf numFmtId="0" fontId="16" fillId="0" borderId="17" xfId="0" applyFont="1" applyBorder="1" applyAlignment="1">
      <alignment vertical="center" wrapText="1"/>
    </xf>
    <xf numFmtId="0" fontId="16" fillId="0" borderId="3" xfId="0" applyFont="1" applyBorder="1" applyAlignment="1">
      <alignment vertical="center" wrapText="1"/>
    </xf>
    <xf numFmtId="0" fontId="16" fillId="0" borderId="16" xfId="0" applyFont="1" applyBorder="1" applyAlignment="1">
      <alignment vertical="center" wrapText="1"/>
    </xf>
    <xf numFmtId="0" fontId="43" fillId="0" borderId="3" xfId="0" applyFont="1" applyBorder="1" applyAlignment="1">
      <alignment horizontal="right" vertical="center" wrapText="1"/>
    </xf>
    <xf numFmtId="0" fontId="43" fillId="0" borderId="16" xfId="0" applyFont="1" applyBorder="1" applyAlignment="1">
      <alignment horizontal="right" vertical="center" wrapText="1"/>
    </xf>
    <xf numFmtId="14" fontId="16" fillId="0" borderId="3" xfId="0" applyNumberFormat="1" applyFont="1" applyBorder="1" applyAlignment="1">
      <alignment vertical="center" wrapText="1"/>
    </xf>
    <xf numFmtId="14" fontId="16" fillId="0" borderId="16" xfId="0" applyNumberFormat="1" applyFont="1" applyBorder="1" applyAlignment="1">
      <alignment vertical="center" wrapText="1"/>
    </xf>
    <xf numFmtId="2" fontId="17" fillId="0" borderId="12" xfId="7" applyNumberFormat="1" applyFont="1" applyBorder="1" applyAlignment="1">
      <alignment horizontal="center" vertical="center"/>
    </xf>
  </cellXfs>
  <cellStyles count="9">
    <cellStyle name="%" xfId="3" xr:uid="{A3A086EB-4B9C-42DD-90C6-51E2BD4DCD58}"/>
    <cellStyle name="Hyperlink" xfId="5" builtinId="8"/>
    <cellStyle name="Hyperlink 6" xfId="4" xr:uid="{F9C2C6E8-28BA-47E5-A64F-82A80670A340}"/>
    <cellStyle name="Normal" xfId="0" builtinId="0"/>
    <cellStyle name="Normal 11 28 2 2" xfId="2" xr:uid="{DC3F0969-9A18-47E7-895C-74B670E8C230}"/>
    <cellStyle name="Normal 11 28 2 4" xfId="1" xr:uid="{E8DA7D1E-CF5A-48EE-82AD-875825EE6CEB}"/>
    <cellStyle name="Normal 3" xfId="6" xr:uid="{5E95BA3A-BF21-4A91-807D-F9B62FA4D9F4}"/>
    <cellStyle name="Normal 58 4 3 5" xfId="7" xr:uid="{315094AF-A421-471D-90F1-0417B418DB71}"/>
    <cellStyle name="Normal 58 4 3 6" xfId="8" xr:uid="{C524D6A9-70B9-4C78-8500-749E7E869C45}"/>
  </cellStyles>
  <dxfs count="438">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9C0006"/>
      </font>
      <fill>
        <patternFill>
          <bgColor rgb="FFFFC7CE"/>
        </patternFill>
      </fill>
    </dxf>
    <dxf>
      <font>
        <color rgb="FF9C0006"/>
      </font>
      <fill>
        <patternFill>
          <bgColor rgb="FFFFC7CE"/>
        </patternFill>
      </fill>
    </dxf>
    <dxf>
      <font>
        <color rgb="FF00B050"/>
      </font>
    </dxf>
    <dxf>
      <font>
        <color rgb="FF00B050"/>
      </font>
    </dxf>
    <dxf>
      <font>
        <color rgb="FF00B050"/>
      </font>
    </dxf>
    <dxf>
      <font>
        <color rgb="FF00B050"/>
      </font>
    </dxf>
    <dxf>
      <font>
        <color rgb="FF9C0006"/>
      </font>
      <fill>
        <patternFill>
          <bgColor rgb="FFFFC7CE"/>
        </patternFill>
      </fil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5"/>
        <name val="Verdana"/>
        <family val="2"/>
        <scheme val="none"/>
      </font>
      <numFmt numFmtId="166" formatCode="0.000"/>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8.5"/>
        <name val="Verdana"/>
        <family val="2"/>
        <scheme val="none"/>
      </font>
      <numFmt numFmtId="166" formatCode="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8.5"/>
        <name val="Verdana"/>
        <family val="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5"/>
        <name val="Verdana"/>
        <family val="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5"/>
        <name val="Verdana"/>
        <family val="2"/>
        <scheme val="none"/>
      </font>
      <numFmt numFmtId="166" formatCode="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8.5"/>
        <name val="Verdana"/>
        <family val="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5"/>
        <name val="Verdana"/>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5"/>
        <name val="Verdana"/>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5"/>
        <name val="Verdana"/>
        <family val="2"/>
        <scheme val="none"/>
      </font>
    </dxf>
    <dxf>
      <border outline="0">
        <bottom style="thin">
          <color indexed="64"/>
        </bottom>
      </border>
    </dxf>
    <dxf>
      <font>
        <b/>
        <i val="0"/>
        <strike val="0"/>
        <condense val="0"/>
        <extend val="0"/>
        <outline val="0"/>
        <shadow val="0"/>
        <u val="none"/>
        <vertAlign val="baseline"/>
        <sz val="8.5"/>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mbria"/>
        <family val="1"/>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Verdana"/>
        <family val="2"/>
        <scheme val="none"/>
      </font>
      <numFmt numFmtId="166" formatCode="0.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5"/>
        <color theme="1"/>
        <name val="Verdana"/>
        <family val="2"/>
        <scheme val="none"/>
      </font>
      <numFmt numFmtId="166" formatCode="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theme="1"/>
        <name val="Verdana"/>
        <family val="2"/>
        <scheme val="none"/>
      </font>
      <numFmt numFmtId="166" formatCode="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theme="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5"/>
        <color theme="1"/>
        <name val="Verdana"/>
        <family val="2"/>
        <scheme val="none"/>
      </font>
    </dxf>
    <dxf>
      <border outline="0">
        <bottom style="thin">
          <color indexed="64"/>
        </bottom>
      </border>
    </dxf>
    <dxf>
      <font>
        <b/>
        <i val="0"/>
        <strike val="0"/>
        <condense val="0"/>
        <extend val="0"/>
        <outline val="0"/>
        <shadow val="0"/>
        <u val="none"/>
        <vertAlign val="baseline"/>
        <sz val="8.5"/>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595959"/>
        <name val="Verdana"/>
        <family val="2"/>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rgb="FF595959"/>
        <name val="Verdan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rgb="FF595959"/>
        <name val="Verdan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rgb="FF595959"/>
        <name val="Verdan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rgb="FF595959"/>
        <name val="Verdana"/>
        <family val="2"/>
        <scheme val="none"/>
      </font>
      <alignment horizontal="center" vertical="center"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595959"/>
        <name val="Verdana"/>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numFmt numFmtId="166" formatCode="0.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5"/>
        <color rgb="FF595959"/>
        <name val="Verdana"/>
        <family val="2"/>
        <scheme val="none"/>
      </font>
      <numFmt numFmtId="166"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5"/>
        <color theme="1"/>
        <name val="Verdana"/>
        <family val="2"/>
        <scheme val="none"/>
      </font>
      <numFmt numFmtId="166" formatCode="0.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theme="1"/>
        <name val="Verdana"/>
        <family val="2"/>
        <scheme val="none"/>
      </font>
      <numFmt numFmtId="166"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rgb="FF595959"/>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5"/>
        <name val="Verdana"/>
        <family val="2"/>
        <scheme val="none"/>
      </font>
    </dxf>
    <dxf>
      <border>
        <bottom style="thin">
          <color indexed="64"/>
        </bottom>
      </border>
    </dxf>
    <dxf>
      <font>
        <b/>
        <i val="0"/>
        <strike val="0"/>
        <condense val="0"/>
        <extend val="0"/>
        <outline val="0"/>
        <shadow val="0"/>
        <u val="none"/>
        <vertAlign val="baseline"/>
        <sz val="8.5"/>
        <color theme="1"/>
        <name val="Verdana"/>
        <family val="2"/>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9"/>
        <color rgb="FF747474"/>
        <name val="Verdana"/>
        <family val="2"/>
        <scheme val="none"/>
      </font>
      <numFmt numFmtId="166" formatCode="0.000"/>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747474"/>
        <name val="Verdana"/>
        <family val="2"/>
        <scheme val="none"/>
      </font>
      <numFmt numFmtId="166"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747474"/>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747474"/>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747474"/>
        <name val="Verdana"/>
        <family val="2"/>
        <scheme val="none"/>
      </font>
      <numFmt numFmtId="166"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747474"/>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595959"/>
        <name val="Verdana"/>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595959"/>
        <name val="Verdana"/>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747474"/>
        <name val="Verdana"/>
        <family val="2"/>
        <scheme val="none"/>
      </font>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rgb="FF000000"/>
        <name val="Verdana"/>
        <family val="2"/>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Verdana"/>
        <family val="2"/>
        <scheme val="none"/>
      </font>
      <fill>
        <patternFill patternType="solid">
          <fgColor rgb="FF000000"/>
          <bgColor rgb="FFFFFFCC"/>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Verdana"/>
        <family val="2"/>
        <scheme val="none"/>
      </font>
      <fill>
        <patternFill patternType="solid">
          <fgColor rgb="FF000000"/>
          <bgColor rgb="FFFFFFCC"/>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Verdana"/>
        <family val="2"/>
        <scheme val="none"/>
      </font>
      <fill>
        <patternFill patternType="solid">
          <fgColor rgb="FF000000"/>
          <bgColor rgb="FFFFFFCC"/>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Verdana"/>
        <family val="2"/>
        <scheme val="none"/>
      </font>
      <fill>
        <patternFill patternType="solid">
          <fgColor rgb="FF000000"/>
          <bgColor rgb="FFFFFFCC"/>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Verdana"/>
        <family val="2"/>
        <scheme val="none"/>
      </font>
      <fill>
        <patternFill patternType="solid">
          <fgColor rgb="FF000000"/>
          <bgColor rgb="FFFFFFCC"/>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Verdana"/>
        <family val="2"/>
        <scheme val="none"/>
      </font>
      <fill>
        <patternFill patternType="solid">
          <fgColor rgb="FF000000"/>
          <bgColor rgb="FFFFFFCC"/>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Verdana"/>
        <family val="2"/>
        <scheme val="none"/>
      </font>
      <fill>
        <patternFill patternType="solid">
          <fgColor rgb="FF000000"/>
          <bgColor rgb="FFFFFFCC"/>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Verdana"/>
        <family val="2"/>
        <scheme val="none"/>
      </font>
      <fill>
        <patternFill patternType="solid">
          <fgColor rgb="FF000000"/>
          <bgColor rgb="FFFFFFCC"/>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Verdana"/>
        <family val="2"/>
        <scheme val="none"/>
      </font>
      <fill>
        <patternFill patternType="solid">
          <fgColor rgb="FF000000"/>
          <bgColor rgb="FFFFFFCC"/>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7" formatCode="\+0.0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6" formatCode="0.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6" formatCode="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6" formatCode="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595959"/>
        <name val="Verdana"/>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595959"/>
        <name val="Verdana"/>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auto="1"/>
        <name val="Verdana"/>
        <family val="2"/>
        <scheme val="none"/>
      </font>
      <numFmt numFmtId="166" formatCode="0.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5"/>
        <color auto="1"/>
        <name val="Verdana"/>
        <family val="2"/>
        <scheme val="none"/>
      </font>
      <numFmt numFmtId="166" formatCode="0.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5"/>
        <color auto="1"/>
        <name val="Verdan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5"/>
        <color auto="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auto="1"/>
        <name val="Verdana"/>
        <family val="2"/>
        <scheme val="none"/>
      </font>
      <numFmt numFmtId="166" formatCode="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auto="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595959"/>
        <name val="Verdana"/>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595959"/>
        <name val="Verdana"/>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auto="1"/>
        <name val="Verdana"/>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auto="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auto="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auto="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auto="1"/>
        <name val="Verdana"/>
        <family val="2"/>
        <scheme val="none"/>
      </font>
      <numFmt numFmtId="168" formatCode="0.000;\-0.00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5"/>
        <color auto="1"/>
        <name val="Verdana"/>
        <family val="2"/>
        <scheme val="none"/>
      </font>
      <numFmt numFmtId="168" formatCode="0.000;\-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auto="1"/>
        <name val="Verdana"/>
        <family val="2"/>
        <scheme val="none"/>
      </font>
      <numFmt numFmtId="169"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auto="1"/>
        <name val="Verdana"/>
        <family val="2"/>
        <scheme val="none"/>
      </font>
      <numFmt numFmtId="169"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auto="1"/>
        <name val="Verdana"/>
        <family val="2"/>
        <scheme val="none"/>
      </font>
      <numFmt numFmtId="168" formatCode="0.000;\-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auto="1"/>
        <name val="Verdana"/>
        <family val="2"/>
        <scheme val="none"/>
      </font>
      <numFmt numFmtId="169" formatCode="0;\-0;\-"/>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5"/>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5"/>
        <color auto="1"/>
        <name val="Verdana"/>
        <family val="2"/>
        <scheme val="none"/>
      </font>
      <alignment horizontal="justify"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auto="1"/>
        <name val="Verdana"/>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8.5"/>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rgb="FF595959"/>
        <name val="Verdana"/>
        <family val="2"/>
        <scheme val="none"/>
      </font>
      <numFmt numFmtId="166" formatCode="0.000"/>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5"/>
        <color rgb="FF595959"/>
        <name val="Verdana"/>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5"/>
        <color rgb="FF595959"/>
        <name val="Verdan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5"/>
        <color rgb="FF595959"/>
        <name val="Verdana"/>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5"/>
        <color rgb="FF595959"/>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rgb="FF595959"/>
        <name val="Verdana"/>
        <family val="2"/>
        <scheme val="none"/>
      </font>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rgb="FF595959"/>
        <name val="Verdana"/>
        <family val="2"/>
        <scheme val="none"/>
      </font>
      <alignment horizontal="center" vertical="center" textRotation="0" wrapText="1" indent="0" justifyLastLine="0" shrinkToFit="0" readingOrder="0"/>
    </dxf>
    <dxf>
      <border>
        <bottom style="thin">
          <color indexed="64"/>
        </bottom>
      </border>
    </dxf>
    <dxf>
      <font>
        <strike val="0"/>
        <outline val="0"/>
        <shadow val="0"/>
        <u val="none"/>
        <vertAlign val="baseline"/>
        <sz val="8.5"/>
        <name val="Verdana"/>
        <family val="2"/>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595959"/>
        <name val="Verdana"/>
        <family val="2"/>
        <scheme val="none"/>
      </font>
      <numFmt numFmtId="14" formatCode="0.00%"/>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595959"/>
        <name val="Verdana"/>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border>
        <bottom style="thin">
          <color indexed="64"/>
        </bottom>
      </border>
    </dxf>
    <dxf>
      <font>
        <b/>
        <i val="0"/>
        <strike val="0"/>
        <condense val="0"/>
        <extend val="0"/>
        <outline val="0"/>
        <shadow val="0"/>
        <u val="none"/>
        <vertAlign val="baseline"/>
        <sz val="10"/>
        <color theme="1"/>
        <name val="Verdana"/>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49DF6081-210E-4408-ADFC-23EB2C8E109C}"/>
  </tableStyles>
  <colors>
    <mruColors>
      <color rgb="FF3399FF"/>
      <color rgb="FFFF9999"/>
      <color rgb="FFFFFFCC"/>
      <color rgb="FF595959"/>
      <color rgb="FFFFCCCC"/>
      <color rgb="FFFFE697"/>
      <color rgb="FFFFD966"/>
      <color rgb="FFFF9900"/>
      <color rgb="FF00CC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heetMetadata" Target="metadata.xml"/><Relationship Id="rId68"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69"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3659188" cy="982991"/>
    <xdr:pic>
      <xdr:nvPicPr>
        <xdr:cNvPr id="4" name="Picture 1" descr="Ofgem Logo">
          <a:extLst>
            <a:ext uri="{FF2B5EF4-FFF2-40B4-BE49-F238E27FC236}">
              <a16:creationId xmlns:a16="http://schemas.microsoft.com/office/drawing/2014/main" id="{4AAD1EE2-F840-4D40-B497-C088FBB67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1450"/>
          <a:ext cx="3659188" cy="9829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12" name="TextBox 1">
          <a:extLst>
            <a:ext uri="{FF2B5EF4-FFF2-40B4-BE49-F238E27FC236}">
              <a16:creationId xmlns:a16="http://schemas.microsoft.com/office/drawing/2014/main" id="{FAAD06BA-5B92-4CE1-B5DA-EF09C1EC18DF}"/>
            </a:ext>
          </a:extLst>
        </xdr:cNvPr>
        <xdr:cNvSpPr txBox="1"/>
      </xdr:nvSpPr>
      <xdr:spPr>
        <a:xfrm>
          <a:off x="762000" y="171450"/>
          <a:ext cx="4368800" cy="229235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in the Overview Document</a:t>
          </a:r>
          <a:endParaRPr lang="en-GB"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901AC07A-87C1-45AA-80D4-104A79548945}"/>
            </a:ext>
          </a:extLst>
        </xdr:cNvPr>
        <xdr:cNvSpPr txBox="1"/>
      </xdr:nvSpPr>
      <xdr:spPr>
        <a:xfrm>
          <a:off x="762000" y="171450"/>
          <a:ext cx="4368800" cy="2292350"/>
        </a:xfrm>
        <a:prstGeom prst="rect">
          <a:avLst/>
        </a:prstGeom>
        <a:solidFill>
          <a:srgbClr val="FFD9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ET Annex</a:t>
          </a:r>
          <a:endParaRPr lang="en-GB"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4869FEDF-8EF5-4DD8-BC7B-477F78C476F4}"/>
            </a:ext>
          </a:extLst>
        </xdr:cNvPr>
        <xdr:cNvSpPr txBox="1"/>
      </xdr:nvSpPr>
      <xdr:spPr>
        <a:xfrm>
          <a:off x="762000" y="171450"/>
          <a:ext cx="4368800" cy="22923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ED Annex</a:t>
          </a:r>
          <a:endParaRPr lang="en-GB"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A815E77A-9F22-4C50-9870-23FEC4150167}"/>
            </a:ext>
          </a:extLst>
        </xdr:cNvPr>
        <xdr:cNvSpPr txBox="1"/>
      </xdr:nvSpPr>
      <xdr:spPr>
        <a:xfrm>
          <a:off x="762000" y="171450"/>
          <a:ext cx="4368800" cy="2292350"/>
        </a:xfrm>
        <a:prstGeom prst="rect">
          <a:avLst/>
        </a:prstGeom>
        <a:solidFill>
          <a:srgbClr val="FF99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GD Annex</a:t>
          </a:r>
          <a:endParaRPr lang="en-GB"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16</xdr:row>
      <xdr:rowOff>12700</xdr:rowOff>
    </xdr:to>
    <xdr:sp macro="" textlink="">
      <xdr:nvSpPr>
        <xdr:cNvPr id="2" name="TextBox 1">
          <a:extLst>
            <a:ext uri="{FF2B5EF4-FFF2-40B4-BE49-F238E27FC236}">
              <a16:creationId xmlns:a16="http://schemas.microsoft.com/office/drawing/2014/main" id="{236D13B1-CC47-4CED-B0D1-B5B0BC5845C4}"/>
            </a:ext>
          </a:extLst>
        </xdr:cNvPr>
        <xdr:cNvSpPr txBox="1"/>
      </xdr:nvSpPr>
      <xdr:spPr>
        <a:xfrm>
          <a:off x="762000" y="171450"/>
          <a:ext cx="4368800" cy="2584450"/>
        </a:xfrm>
        <a:prstGeom prst="rect">
          <a:avLst/>
        </a:prstGeom>
        <a:solidFill>
          <a:srgbClr val="33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supporting data and calculations that feed into the document tables.  </a:t>
          </a:r>
          <a:endParaRPr lang="en-GB"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16</xdr:row>
      <xdr:rowOff>15875</xdr:rowOff>
    </xdr:to>
    <xdr:sp macro="" textlink="">
      <xdr:nvSpPr>
        <xdr:cNvPr id="2" name="TextBox 1">
          <a:extLst>
            <a:ext uri="{FF2B5EF4-FFF2-40B4-BE49-F238E27FC236}">
              <a16:creationId xmlns:a16="http://schemas.microsoft.com/office/drawing/2014/main" id="{412D8323-9832-4ABF-B98B-26E470242523}"/>
            </a:ext>
          </a:extLst>
        </xdr:cNvPr>
        <xdr:cNvSpPr txBox="1"/>
      </xdr:nvSpPr>
      <xdr:spPr>
        <a:xfrm>
          <a:off x="762000" y="171450"/>
          <a:ext cx="4368800" cy="258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solidFill>
                <a:srgbClr val="FF0000"/>
              </a:solidFill>
            </a:rPr>
            <a:t>The following are lookup tables and</a:t>
          </a:r>
          <a:r>
            <a:rPr lang="en-GB" sz="1400" baseline="0">
              <a:solidFill>
                <a:srgbClr val="FF0000"/>
              </a:solidFill>
            </a:rPr>
            <a:t> not published in the Draft Determinations.  </a:t>
          </a:r>
          <a:endParaRPr lang="en-GB" sz="1400">
            <a:solidFill>
              <a:srgbClr val="FF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FA35C6-6EE1-4640-85AE-ECE213068272}" name="Licensees" displayName="Licensees" ref="B20:F46" totalsRowShown="0" headerRowDxfId="437" dataDxfId="435" headerRowBorderDxfId="436" tableBorderDxfId="434" totalsRowBorderDxfId="433">
  <autoFilter ref="B20:F46" xr:uid="{E72AACA9-4D4D-408C-B315-410F317C2837}">
    <filterColumn colId="0" hiddenButton="1"/>
    <filterColumn colId="1" hiddenButton="1"/>
    <filterColumn colId="2" hiddenButton="1"/>
    <filterColumn colId="3" hiddenButton="1"/>
    <filterColumn colId="4" hiddenButton="1"/>
  </autoFilter>
  <tableColumns count="5">
    <tableColumn id="1" xr3:uid="{51C301BC-CC53-4DFE-A386-300D7E3A2860}" name="Sector_Group" dataDxfId="432"/>
    <tableColumn id="2" xr3:uid="{4E12FB8A-A719-4123-9750-FC4F09E66824}" name="Network Name" dataDxfId="431"/>
    <tableColumn id="3" xr3:uid="{230CA137-8965-4848-BA14-00D18D7719E9}" name="Sector Group Short" dataDxfId="430"/>
    <tableColumn id="4" xr3:uid="{A73B9ABF-75C5-4E86-9B90-8378DE86C6E1}" name="Sector" dataDxfId="429"/>
    <tableColumn id="5" xr3:uid="{D0211C1B-A9E2-4D01-9E6C-5F2EDCFDF183}" name="Network Short Name" dataDxfId="428"/>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986D1F0-24D2-4EAC-8E65-A123B04648AF}" name="Table2" displayName="Table2" ref="B11:C17" totalsRowShown="0" headerRowBorderDxfId="427" tableBorderDxfId="426" totalsRowBorderDxfId="425">
  <autoFilter ref="B11:C17" xr:uid="{94772DDE-BA5E-4A22-ABA9-2C130410DEAA}">
    <filterColumn colId="0" hiddenButton="1"/>
    <filterColumn colId="1" hiddenButton="1"/>
  </autoFilter>
  <tableColumns count="2">
    <tableColumn id="1" xr3:uid="{AA794795-314A-438F-BAA6-DF43942992D3}" name="Title" dataDxfId="424"/>
    <tableColumn id="2" xr3:uid="{156077F6-B1D2-4680-8874-260D4EC131F9}" name="Information" dataDxfId="42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02E9A50-B488-499F-B1BA-B1F44D0B3318}" name="OE_IS_Rates" displayName="OE_IS_Rates" ref="B49:C63" totalsRowShown="0" headerRowDxfId="422" dataDxfId="420" headerRowBorderDxfId="421" tableBorderDxfId="419" totalsRowBorderDxfId="418">
  <autoFilter ref="B49:C63" xr:uid="{902E9A50-B488-499F-B1BA-B1F44D0B3318}"/>
  <tableColumns count="2">
    <tableColumn id="1" xr3:uid="{7FF72C5E-3DE3-40EC-9051-8A85333DE302}" name="Sector_Group" dataDxfId="417"/>
    <tableColumn id="2" xr3:uid="{7B1AF0FA-8C56-4B26-B441-EDEC738A3719}" name="OE_IS_Rate" dataDxfId="41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76CECF-BED8-46B9-9DE0-432DEBD3B496}" name="list_Applications" displayName="list_Applications" ref="B2:D17" totalsRowShown="0" headerRowDxfId="415" dataDxfId="413" headerRowBorderDxfId="414" tableBorderDxfId="412" totalsRowBorderDxfId="411">
  <autoFilter ref="B2:D17" xr:uid="{16866899-E238-4D99-BDA1-34720CE65D5B}">
    <filterColumn colId="0" hiddenButton="1"/>
    <filterColumn colId="1" hiddenButton="1"/>
    <filterColumn colId="2" hiddenButton="1"/>
  </autoFilter>
  <tableColumns count="3">
    <tableColumn id="1" xr3:uid="{D0833075-D6C1-44D3-AAFE-5623D20AE180}" name="Applications subject to this consultation/decision" dataDxfId="410"/>
    <tableColumn id="2" xr3:uid="{E8E4A6A7-EFD5-425B-ABCB-77320A763930}" name="Mechanism" dataDxfId="409"/>
    <tableColumn id="3" xr3:uid="{AA2C4C48-5FD9-44BA-9CAD-0F529918EC7A}" name="Opex Escalator/Indirect Scaler" dataDxfId="408"/>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02AF8AB-02F4-4451-8D8A-E6B9D0E630B0}" name="Contents7" displayName="Contents7" ref="B2:E57" totalsRowShown="0" headerRowDxfId="407" headerRowBorderDxfId="406" tableBorderDxfId="405" totalsRowBorderDxfId="404">
  <autoFilter ref="B2:E57" xr:uid="{992D7192-521A-4397-8513-F0B94383D3AA}">
    <filterColumn colId="0" hiddenButton="1"/>
    <filterColumn colId="1" hiddenButton="1"/>
    <filterColumn colId="2" hiddenButton="1"/>
    <filterColumn colId="3" hiddenButton="1"/>
  </autoFilter>
  <tableColumns count="4">
    <tableColumn id="1" xr3:uid="{1AEEA4E9-73ED-4B66-A09A-FFE34DA8A539}" name="Sheet" dataDxfId="403">
      <calculatedColumnFormula>MAX($B$2:B2) + 1</calculatedColumnFormula>
    </tableColumn>
    <tableColumn id="2" xr3:uid="{64116744-B336-4C5C-A14D-6922A6CE934B}" name="Tab Name" dataDxfId="402"/>
    <tableColumn id="3" xr3:uid="{24249F20-DEED-4517-95DF-860B38125FE3}" name="Worksheet Title" dataDxfId="401"/>
    <tableColumn id="4" xr3:uid="{FBB995C3-9565-4655-B1C2-3677C1381188}" name="Link" dataDxfId="400" dataCellStyle="Hyperlink">
      <calculatedColumnFormula>HYPERLINK("#'"&amp; $C3 &amp;"'!A1","Click to go to worksheet")</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DE84211-2CE2-4697-A541-61117993CF7D}" name="Table1_Licensees" displayName="Table1_Licensees" ref="A3:E29" totalsRowShown="0" headerRowDxfId="399" dataDxfId="397" headerRowBorderDxfId="398" tableBorderDxfId="396" totalsRowBorderDxfId="395">
  <autoFilter ref="A3:E29" xr:uid="{CCADCD98-262A-49F7-88F7-D6908F1D0739}">
    <filterColumn colId="0" hiddenButton="1"/>
    <filterColumn colId="1" hiddenButton="1"/>
    <filterColumn colId="2" hiddenButton="1"/>
    <filterColumn colId="3" hiddenButton="1"/>
    <filterColumn colId="4" hiddenButton="1"/>
  </autoFilter>
  <tableColumns count="5">
    <tableColumn id="1" xr3:uid="{1F7536B8-77C9-4DD2-B5CA-F2CC7C11CE5B}" name="Sector" dataDxfId="394"/>
    <tableColumn id="2" xr3:uid="{FA0F1090-7E21-4CD8-B776-D4244ED7C220}" name="Company Group" dataDxfId="393"/>
    <tableColumn id="3" xr3:uid="{AE678BB6-2EF8-4819-938C-993DA58E2073}" name="Sector Group" dataDxfId="392"/>
    <tableColumn id="4" xr3:uid="{371EBFB3-0A38-4028-AF8D-99BB4CAB9AC9}" name="Network" dataDxfId="391"/>
    <tableColumn id="5" xr3:uid="{2C823712-8A4E-4776-84E5-D0C6D34224CE}" name="Network_x000a_Short Name" dataDxfId="390"/>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985513F-6DBB-418D-98ED-C04E0DA9AA13}" name="Applications" displayName="Applications" ref="A3:F10" totalsRowShown="0" headerRowDxfId="389" dataDxfId="387" headerRowBorderDxfId="388" tableBorderDxfId="386" totalsRowBorderDxfId="385">
  <autoFilter ref="A3:F10" xr:uid="{E985513F-6DBB-418D-98ED-C04E0DA9AA13}"/>
  <tableColumns count="6">
    <tableColumn id="1" xr3:uid="{3932400B-08E3-4B68-BCC1-42E2A2A3284F}" name="Sector" dataDxfId="384">
      <calculatedColumnFormula>LEFT(Applications[[#This Row],[Re-opener Mechanism]],2)</calculatedColumnFormula>
    </tableColumn>
    <tableColumn id="2" xr3:uid="{79090A61-CC46-4D12-9FAB-8C7A690C9EB2}" name="Re-opener Mechanism" dataDxfId="383"/>
    <tableColumn id="3" xr3:uid="{70F67F76-AD0A-4FF9-AA45-EBEA7A9E86C2}" name="No. of companies" dataDxfId="382">
      <calculatedColumnFormula array="1">COUNTA(_xlfn.UNIQUE(IF(Project_Data[Reopener_mechanism]=Applications[[#This Row],[Re-opener Mechanism]],Project_Data[Sector_Group],"")))-1</calculatedColumnFormula>
    </tableColumn>
    <tableColumn id="4" xr3:uid="{97AA8FD4-6B24-4C47-907F-DCB155445274}" name="No. of projects" dataDxfId="381">
      <calculatedColumnFormula>COUNTIFS(Project_Data[Reopener_mechanism],Applications[[#This Row],[Re-opener Mechanism]], Project_Data[Submitted_Cost_Submission],"&gt;0")</calculatedColumnFormula>
    </tableColumn>
    <tableColumn id="5" xr3:uid="{8EBD5244-0A0D-436C-BE4A-2CC338B0C4C4}" name="Price Base*" dataDxfId="380">
      <calculatedColumnFormula>IF(Applications[[#This Row],[Sector]]="ED","2020/21","2018/19")</calculatedColumnFormula>
    </tableColumn>
    <tableColumn id="6" xr3:uid="{DD966407-17B2-4552-AFDE-736B3BC15F96}" name="Company forecast cost_x000a_£m" dataDxfId="379">
      <calculatedColumnFormula>SUMIF(Project_Data[Reopener_mechanism],Applications[[#This Row],[Re-opener Mechanism]],Project_Data[Submitted_Cost_Submission])</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4F3A3B2-DEF2-4D26-8D36-B6CAAF9BC297}" name="DD_Summary" displayName="DD_Summary" ref="A3:H21" totalsRowShown="0" headerRowDxfId="378" dataDxfId="376" headerRowBorderDxfId="377" tableBorderDxfId="375" totalsRowBorderDxfId="374">
  <autoFilter ref="A3:H21" xr:uid="{04F3A3B2-DEF2-4D26-8D36-B6CAAF9BC297}"/>
  <tableColumns count="8">
    <tableColumn id="1" xr3:uid="{7934AFD4-2611-43FA-922C-5CF7B7C845AF}" name="Sector" dataDxfId="373"/>
    <tableColumn id="2" xr3:uid="{CF23CD73-45A7-4F27-9BC1-F762C53C8FFF}" name="Sector Group" dataDxfId="372"/>
    <tableColumn id="3" xr3:uid="{05B98D83-1BB6-445E-B833-13B86B86575B}" name="Company Requested Number of Projects" dataDxfId="371">
      <calculatedColumnFormula>COUNTIF(Project_Data[Sector_Group],DD_Summary[[#This Row],[Sector Group]])</calculatedColumnFormula>
    </tableColumn>
    <tableColumn id="4" xr3:uid="{96D8BB0D-6774-4CCA-BC0D-AEC145481C5C}" name="Company Requested Forecast costs £m" dataDxfId="370">
      <calculatedColumnFormula>SUMIF(Project_Data[[Sector_Group]:[Sector_Group]],DD_Summary[[#This Row],[Sector Group]],Project_Data[Submitted_Cost_Submission])</calculatedColumnFormula>
    </tableColumn>
    <tableColumn id="5" xr3:uid="{3CB58DD7-B972-4CAB-8039-1336F804F09E}" name="Ofgem’s DD - Projects Approved*" dataDxfId="369">
      <calculatedColumnFormula array="1">SUMIF(Project_Data[[Sector_Group]:[Sector_Group]],DD_Summary[[#This Row],[Sector Group]:[Sector Group]],Project_Data[Approved_DD])</calculatedColumnFormula>
    </tableColumn>
    <tableColumn id="6" xr3:uid="{F625D9D6-C9F6-40B4-8364-E59B456A56DC}" name="Ofgem’s DD - Projects Not Approved" dataDxfId="368">
      <calculatedColumnFormula>DD_Summary[[#This Row],[Company Requested Number of Projects]]-DD_Summary[[#This Row],[Ofgem’s DD - Projects Approved*]]</calculatedColumnFormula>
    </tableColumn>
    <tableColumn id="7" xr3:uid="{7BC2D35A-F0C3-4D75-BEBE-E0964AB03B83}" name="Ofgem’s DD - Cost adjustment £m" dataDxfId="367">
      <calculatedColumnFormula>DD_Summary[[#This Row],[Ofgem’s DD - Allowances £m]]-DD_Summary[[#This Row],[Company Requested Forecast costs £m]]</calculatedColumnFormula>
    </tableColumn>
    <tableColumn id="8" xr3:uid="{00F59133-0F49-414C-A998-F569DD26EE1B}" name="Ofgem’s DD - Allowances £m" dataDxfId="366">
      <calculatedColumnFormula array="1">SUMIF(Project_Data[[Sector_Group]:[Sector_Group]],DD_Summary[[#This Row],[Sector Group]:[Sector Group]],Project_Data[Allowance_Draft])</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A4064A2-069C-4208-906D-473D691353D4}" name="Table1_Licensees23" displayName="Table1_Licensees23" ref="A3:D5" totalsRowShown="0" headerRowDxfId="365" dataDxfId="363" headerRowBorderDxfId="364" tableBorderDxfId="362" totalsRowBorderDxfId="361">
  <autoFilter ref="A3:D5" xr:uid="{CCADCD98-262A-49F7-88F7-D6908F1D0739}">
    <filterColumn colId="0" hiddenButton="1"/>
    <filterColumn colId="1" hiddenButton="1"/>
    <filterColumn colId="2" hiddenButton="1"/>
    <filterColumn colId="3" hiddenButton="1"/>
  </autoFilter>
  <tableColumns count="4">
    <tableColumn id="1" xr3:uid="{E20455F6-4B28-432D-BBCA-80BD8B800252}" name="Stage 1" dataDxfId="360"/>
    <tableColumn id="2" xr3:uid="{82405885-F914-48CB-9872-5AEC84CE95FE}" name="Stage 2" dataDxfId="359"/>
    <tableColumn id="3" xr3:uid="{952A1CDD-4EF8-4CD4-AA62-6773B5FD2E8F}" name="Stage 3" dataDxfId="358"/>
    <tableColumn id="4" xr3:uid="{29270315-69B1-4FAF-B3F8-BAB031046EDC}" name="Stage 4" dataDxfId="357"/>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C4B0E37-01B8-4BB5-88E5-2EAE9BF90F55}" name="Table4" displayName="Table4" ref="A3:D14" totalsRowShown="0" headerRowDxfId="356" dataDxfId="354" headerRowBorderDxfId="355" tableBorderDxfId="353" totalsRowBorderDxfId="352" dataCellStyle="Normal 3">
  <autoFilter ref="A3:D14" xr:uid="{101C79DF-B70D-4C94-833B-D5C25B2003AF}"/>
  <tableColumns count="4">
    <tableColumn id="1" xr3:uid="{8B20C2AF-AC39-46D4-A1DC-53B0070250A3}" name="Sector" dataDxfId="351" dataCellStyle="Normal 3"/>
    <tableColumn id="2" xr3:uid="{411B37EF-77B9-40E8-AE5D-A7CD4A6F79CA}" name="Network company" dataDxfId="350" dataCellStyle="Normal 3"/>
    <tableColumn id="3" xr3:uid="{9DBC2BC1-1533-41F0-A708-DD5D0B06A7E1}" name="Licence condition/ Reopener applications subject to this decision" dataDxfId="349" dataCellStyle="Normal 3"/>
    <tableColumn id="4" xr3:uid="{3FBA89F0-DD9E-464A-A117-055504325DBF}" name="Direction/ licence modification" dataDxfId="348" dataCellStyle="Normal 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D3B1C1D-0768-4669-B7A8-C780139C6940}" name="Table1_Licensees32" displayName="Table1_Licensees32" ref="A3:G10" totalsRowShown="0" headerRowDxfId="347" dataDxfId="345" headerRowBorderDxfId="346" tableBorderDxfId="344" totalsRowBorderDxfId="343">
  <autoFilter ref="A3:G10" xr:uid="{CCADCD98-262A-49F7-88F7-D6908F1D07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79CC630-255A-451E-945F-C6C4DBB064F0}" name="Re-opener Mechanism" dataDxfId="342"/>
    <tableColumn id="2" xr3:uid="{E40C2236-0D7B-409A-89AF-8895C2B6A80E}" name="Sector" dataDxfId="341"/>
    <tableColumn id="3" xr3:uid="{4928949A-2439-46F7-BA53-1717B4A9E094}" name="Purpose" dataDxfId="340"/>
    <tableColumn id="4" xr3:uid="{7D086583-A57E-4656-ADD7-592A66AD6D7D}" name="Benefits" dataDxfId="339"/>
    <tableColumn id="5" xr3:uid="{5A538E00-B670-46A9-9139-BBA850A015F8}" name="Licence Condition" dataDxfId="338"/>
    <tableColumn id="6" xr3:uid="{3567C66A-5851-4C34-BF13-A4B9976E82F6}" name="Chapter reference" dataDxfId="337"/>
    <tableColumn id="7" xr3:uid="{79A1A608-7C16-46A1-88FD-3A03653021CD}" name="Link to the relevant FD document" dataDxfId="336"/>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BCC1056-0B68-420D-B9CE-5D7D4A762CDF}" name="Table1_Licensees34" displayName="Table1_Licensees34" ref="A3:D18" totalsRowShown="0" headerRowDxfId="335" dataDxfId="333" headerRowBorderDxfId="334" tableBorderDxfId="332" totalsRowBorderDxfId="331">
  <autoFilter ref="A3:D18" xr:uid="{CCADCD98-262A-49F7-88F7-D6908F1D0739}">
    <filterColumn colId="0" hiddenButton="1"/>
    <filterColumn colId="1" hiddenButton="1"/>
    <filterColumn colId="2" hiddenButton="1"/>
    <filterColumn colId="3" hiddenButton="1"/>
  </autoFilter>
  <tableColumns count="4">
    <tableColumn id="1" xr3:uid="{F0D01363-822F-4699-8E64-321457C17CD1}" name="Sector" dataDxfId="330"/>
    <tableColumn id="2" xr3:uid="{AD1C16F5-22FA-48C0-9278-3697C5FA841E}" name="Company " dataDxfId="329"/>
    <tableColumn id="3" xr3:uid="{BFFD5734-FA76-4BE6-A847-57F445FA50AD}" name="Re-opener Mechanism " dataDxfId="328"/>
    <tableColumn id="4" xr3:uid="{3166FC34-6390-44D4-B99C-E4AD63688C67}" name="Link to relevant publications" dataDxfId="327"/>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049A59D-418E-463E-866B-57AE6131BDFA}" name="ET_DD_Summary" displayName="ET_DD_Summary" ref="A3:H7" totalsRowShown="0" headerRowDxfId="326" dataDxfId="324" headerRowBorderDxfId="325" tableBorderDxfId="323" totalsRowBorderDxfId="322">
  <autoFilter ref="A3:H7" xr:uid="{6049A59D-418E-463E-866B-57AE6131BDFA}"/>
  <tableColumns count="8">
    <tableColumn id="1" xr3:uid="{0B91540D-6878-4EE7-9779-48E62754BACA}" name="Sector Group" dataDxfId="321"/>
    <tableColumn id="2" xr3:uid="{F1974512-FA4D-476D-812D-B823335F779B}" name="Network" dataDxfId="320"/>
    <tableColumn id="3" xr3:uid="{33F4D6D7-188F-40FC-A6DB-FF5C6590D97E}" name="Company Requested Number of Projects" dataDxfId="319"/>
    <tableColumn id="4" xr3:uid="{4798B0E8-D2A6-47AF-A846-1A550C106EAD}" name="Company Requested Forecast costs £m" dataDxfId="318"/>
    <tableColumn id="5" xr3:uid="{8D74318A-C727-416C-B4DB-F40205BDA134}" name="Ofgem’s DD - Projects Approved*" dataDxfId="317"/>
    <tableColumn id="6" xr3:uid="{6199506D-B86E-4D75-AF00-57159FC809DF}" name="Ofgem’s DD - Projects Not Approved" dataDxfId="316"/>
    <tableColumn id="7" xr3:uid="{EE2FDCE7-0BCE-4848-B953-04D6200718FB}" name="Ofgem’s DD - Cost adjustment £m" dataDxfId="315"/>
    <tableColumn id="8" xr3:uid="{53A388E4-972A-4985-B46B-D6C03399918A}" name="Ofgem’s DD - Allowances £m" dataDxfId="31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0C3B388-3DB7-4449-BD2F-175AE585528B}" name="ET_MSIP_Projects" displayName="ET_MSIP_Projects" ref="A3:F27" totalsRowShown="0" headerRowDxfId="313" headerRowBorderDxfId="312" tableBorderDxfId="311" totalsRowBorderDxfId="310">
  <autoFilter ref="A3:F27" xr:uid="{F0C3B388-3DB7-4449-BD2F-175AE585528B}"/>
  <tableColumns count="6">
    <tableColumn id="1" xr3:uid="{C86C8F85-0AB7-4951-817F-509178456CF3}" name="Sector Group" dataDxfId="309">
      <calculatedColumnFormula>INDEX(Project_Data[], MATCH($C4, Project_Data[[Project_Name]:[Project_Name]], 0), MATCH("Sector_Group",Project_Data[#Headers],0))</calculatedColumnFormula>
    </tableColumn>
    <tableColumn id="2" xr3:uid="{C443212F-A521-4CD5-8C61-04DC2AA3811C}" name="Network" dataDxfId="308">
      <calculatedColumnFormula>INDEX(Project_Data[], MATCH($C4, Project_Data[[Project_Name]:[Project_Name]], 0), MATCH("Licensee",Project_Data[#Headers],0))</calculatedColumnFormula>
    </tableColumn>
    <tableColumn id="3" xr3:uid="{2ECE65BC-1A09-4DD9-B141-449DB681254A}" name="Company Requested Project" dataDxfId="307"/>
    <tableColumn id="4" xr3:uid="{C55E5E70-BD50-4458-8186-3A5E37B2A8D5}" name="Company Requested Forecast costs £m" dataDxfId="306">
      <calculatedColumnFormula>INDEX(Project_Data[], MATCH($C4, Project_Data[[Project_Name]:[Project_Name]], 0), MATCH("Submitted_Cost_Submission",Project_Data[#Headers],0))</calculatedColumnFormula>
    </tableColumn>
    <tableColumn id="5" xr3:uid="{C5299604-5FE3-4EE1-ADC2-BEEA54BB9C75}" name="Ofgem’s DD* - Cost adjustment £m" dataDxfId="305">
      <calculatedColumnFormula>F4-D4</calculatedColumnFormula>
    </tableColumn>
    <tableColumn id="6" xr3:uid="{7DFE7DB1-0C6F-4B73-A842-5D4A4FDB8704}" name="Ofgem’s DD - Allowances £m" dataDxfId="304">
      <calculatedColumnFormula>INDEX(Project_Data[], MATCH($C4, Project_Data[[Project_Name]:[Project_Name]], 0), MATCH("Allowance_Draft",Project_Data[#Headers],0))</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442AA17-83AC-4141-BD94-4E63306C2859}" name="NGET_MSIP_Adjustm_R2" displayName="NGET_MSIP_Adjustm_R2" ref="A3:I17" totalsRowShown="0" headerRowDxfId="303" dataDxfId="301" headerRowBorderDxfId="302" tableBorderDxfId="300" totalsRowBorderDxfId="299">
  <autoFilter ref="A3:I17" xr:uid="{E442AA17-83AC-4141-BD94-4E63306C2859}"/>
  <tableColumns count="9">
    <tableColumn id="1" xr3:uid="{2EE1D3AA-CFA4-4363-A9FB-964D35B1F95A}" name="Project Name" dataDxfId="298"/>
    <tableColumn id="2" xr3:uid="{EE454EA0-F0DD-446D-B0F6-367C66840865}" name="Funding Request £m" dataDxfId="297"/>
    <tableColumn id="3" xr3:uid="{9C1A2C2C-9717-4A12-8C44-C9B1F0281813}" name="Adjustment – OE £m" dataDxfId="296"/>
    <tableColumn id="4" xr3:uid="{3C5DD374-C562-49AF-A9BF-CD7291D78725}" name="Adjustment – RPE £m" dataDxfId="295"/>
    <tableColumn id="5" xr3:uid="{7E33855D-2DA2-4DEA-B1CC-2661556384D0}" name="Adjustment – Risk £m" dataDxfId="294"/>
    <tableColumn id="6" xr3:uid="{D8D7C4F5-EA0F-420E-B9C4-87695D5D246D}" name="Adjustment – Optioneering £m" dataDxfId="293"/>
    <tableColumn id="7" xr3:uid="{854749F8-0973-4E4D-B705-2189E62701F0}" name="Adjustment – Low Cost Confidence items £m" dataDxfId="292"/>
    <tableColumn id="8" xr3:uid="{2E8EF0EB-CA95-4B36-A054-2D05C8B7ADFD}" name="Adjustment – Eligibility £m" dataDxfId="291"/>
    <tableColumn id="9" xr3:uid="{5075B814-B9F8-46FB-A231-63CA3AAC26B3}" name="Ofgem’s DD* £m" dataDxfId="29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9CA595D-69AF-4026-9739-ADDD40B6F09B}" name="NGET_MSIP_Adjustm_R3" displayName="NGET_MSIP_Adjustm_R3" ref="A20:I34" totalsRowShown="0" headerRowDxfId="289" dataDxfId="287" headerRowBorderDxfId="288" tableBorderDxfId="286" totalsRowBorderDxfId="285">
  <autoFilter ref="A20:I34" xr:uid="{79CA595D-69AF-4026-9739-ADDD40B6F09B}"/>
  <tableColumns count="9">
    <tableColumn id="1" xr3:uid="{C9F2EF8D-0C64-429F-B4E8-B72B0749E15F}" name="Project Name" dataDxfId="284"/>
    <tableColumn id="2" xr3:uid="{54CB2D02-7C5A-4807-9A54-410C188659C2}" name="Funding Request £m" dataDxfId="283"/>
    <tableColumn id="3" xr3:uid="{47C2B245-6AA5-43EF-8B01-5A7094BF050D}" name="Adjustment – OE £m" dataDxfId="282"/>
    <tableColumn id="4" xr3:uid="{226FCF09-C7BF-480C-9912-B0F218B71C7C}" name="Adjustment – RPE £m" dataDxfId="281"/>
    <tableColumn id="5" xr3:uid="{C71BAFA4-D454-4DED-AA8A-9A899156B155}" name="Adjustment – Risk £m" dataDxfId="280"/>
    <tableColumn id="6" xr3:uid="{110C8341-3261-4070-A4A4-01465D3C1CD6}" name="Adjustment – Optioneering £m" dataDxfId="279"/>
    <tableColumn id="7" xr3:uid="{918D7AB6-C1EE-41C3-AF0C-456E3BBF75E8}" name="Adjustment – Low Cost Confidence items £m" dataDxfId="278"/>
    <tableColumn id="8" xr3:uid="{F22375B6-49EB-4DD1-B4EB-E560C60AEC31}" name="Adjustment – Eligibility £m" dataDxfId="277"/>
    <tableColumn id="9" xr3:uid="{09BE7E0D-A2B1-46D0-8D9D-6DFFAE3CD2A7}" name="Ofgem’s DD* £m" dataDxfId="27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CC824E-4650-499F-934B-E25E784F0513}" name="NGET_MSIP_Adjustm_Total" displayName="NGET_MSIP_Adjustm_Total" ref="A37:I51" totalsRowShown="0" headerRowDxfId="275" dataDxfId="273" headerRowBorderDxfId="274" tableBorderDxfId="272" totalsRowBorderDxfId="271">
  <autoFilter ref="A37:I51" xr:uid="{7CCC824E-4650-499F-934B-E25E784F0513}"/>
  <tableColumns count="9">
    <tableColumn id="1" xr3:uid="{E32EDD1C-4270-484F-9511-AA5E6B1D3809}" name="Project Name" dataDxfId="270"/>
    <tableColumn id="2" xr3:uid="{858A5BA5-8223-4049-8B21-DBE5C92782E7}" name="Funding Request £m" dataDxfId="269">
      <calculatedColumnFormula>B4+B21</calculatedColumnFormula>
    </tableColumn>
    <tableColumn id="3" xr3:uid="{D3676527-1702-4153-8B15-72093FC6A3BA}" name="Adjustment – OE £m" dataDxfId="268">
      <calculatedColumnFormula>C4+C21</calculatedColumnFormula>
    </tableColumn>
    <tableColumn id="4" xr3:uid="{C3DC770F-40D5-48D7-B727-2F32B69C9159}" name="Adjustment – RPE £m" dataDxfId="267">
      <calculatedColumnFormula>D4+D21</calculatedColumnFormula>
    </tableColumn>
    <tableColumn id="5" xr3:uid="{05D239A7-A922-4A5A-8036-302137577226}" name="Adjustment – Risk £m" dataDxfId="266">
      <calculatedColumnFormula>E4+E21</calculatedColumnFormula>
    </tableColumn>
    <tableColumn id="6" xr3:uid="{91436082-5E86-41A5-B67A-87D49AB83827}" name="Adjustment – Optioneering £m" dataDxfId="265">
      <calculatedColumnFormula>F4+F21</calculatedColumnFormula>
    </tableColumn>
    <tableColumn id="7" xr3:uid="{0EC020FC-787A-4F12-A608-9405FB6CCB7C}" name="Adjustment – Low Cost Confidence items £m" dataDxfId="264">
      <calculatedColumnFormula>G4+G21</calculatedColumnFormula>
    </tableColumn>
    <tableColumn id="8" xr3:uid="{3880C2D7-ACAC-468F-9A3C-AA9D791A3067}" name="Adjustment – Eligibility £m" dataDxfId="263">
      <calculatedColumnFormula>H4+H21</calculatedColumnFormula>
    </tableColumn>
    <tableColumn id="9" xr3:uid="{5AD86993-168C-42B9-8B95-BB1DDBC73FFE}" name="Ofgem’s DD* £m" dataDxfId="262">
      <calculatedColumnFormula>I4+I21</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B468852-8D3A-4EA5-A45F-D3B3B97035C4}" name="NGET_MSIP_Adjustm_R339" displayName="NGET_MSIP_Adjustm_R339" ref="A3:I17" totalsRowShown="0" headerRowDxfId="261" dataDxfId="259" headerRowBorderDxfId="260" tableBorderDxfId="258" totalsRowBorderDxfId="257">
  <autoFilter ref="A3:I17" xr:uid="{79CA595D-69AF-4026-9739-ADDD40B6F09B}"/>
  <tableColumns count="9">
    <tableColumn id="1" xr3:uid="{D441800E-5E5A-460A-A0AA-43451B947E6A}" name="Project Name" dataDxfId="256"/>
    <tableColumn id="2" xr3:uid="{2E9B1C4A-B352-4172-9443-137AE4D44340}" name="Funding Request £m" dataDxfId="255"/>
    <tableColumn id="3" xr3:uid="{B2D428FC-45B2-45EE-82CF-1690D93660EB}" name="Adjustment – OE £m" dataDxfId="254"/>
    <tableColumn id="4" xr3:uid="{E880C3DA-E730-4CF8-91F9-26D3779ACD7A}" name="Adjustment – RPE £m" dataDxfId="253"/>
    <tableColumn id="5" xr3:uid="{E014FF56-2E14-449C-AEB2-4CDB36C38187}" name="Adjustment – Risk £m" dataDxfId="252"/>
    <tableColumn id="6" xr3:uid="{F6627D2A-E10C-407D-9E76-1D2CABE6C23C}" name="Adjustment – Optioneering £m" dataDxfId="251"/>
    <tableColumn id="7" xr3:uid="{B8F1DF93-3290-458A-AEF5-092A6CBB7345}" name="Adjustment – Low Cost Confidence items £m" dataDxfId="250"/>
    <tableColumn id="8" xr3:uid="{2DC0BF60-9864-4079-93B8-FF60CD7970AF}" name="Adjustment – Eligibility £m" dataDxfId="249"/>
    <tableColumn id="9" xr3:uid="{E9E076E8-0189-4A1B-BAD6-8025117625EA}" name="Ofgem’s DD* £m" dataDxfId="24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8FB147F-6317-4B5D-9FDC-7976F2BEB823}" name="NGET_MSIP_Adjustm_R34248" displayName="NGET_MSIP_Adjustm_R34248" ref="A11:I16" totalsRowShown="0" headerRowDxfId="247" dataDxfId="245" headerRowBorderDxfId="246" tableBorderDxfId="244" totalsRowBorderDxfId="243">
  <autoFilter ref="A11:I16" xr:uid="{79CA595D-69AF-4026-9739-ADDD40B6F09B}"/>
  <tableColumns count="9">
    <tableColumn id="1" xr3:uid="{5E18E820-F367-490F-A3E2-9A53E46ABA1F}" name="Project Name" dataDxfId="242"/>
    <tableColumn id="2" xr3:uid="{A5411BBD-561B-437E-9A13-B0F636AF8AC1}" name="Funding Request £m" dataDxfId="241"/>
    <tableColumn id="3" xr3:uid="{43C2BC8A-375B-4631-BCAD-3A19FC6779B1}" name="Adjustment – OE £m" dataDxfId="240"/>
    <tableColumn id="4" xr3:uid="{AE431070-AB61-4C1A-81C5-925A4AF1A874}" name="Adjustment – RPE £m" dataDxfId="239"/>
    <tableColumn id="5" xr3:uid="{4CA61923-3EB3-4336-95B9-164B3F1E31A8}" name="Adjustment – Risk £m" dataDxfId="238"/>
    <tableColumn id="6" xr3:uid="{18830AD0-34FB-4416-821C-306212A818BF}" name="Adjustment – Optioneering £m" dataDxfId="237"/>
    <tableColumn id="7" xr3:uid="{B990C182-DA0D-4CEE-B428-CE6062F88473}" name="Adjustment – Low Cost Confidence items £m" dataDxfId="236"/>
    <tableColumn id="8" xr3:uid="{CB3FC38B-406B-46B2-9B17-F178085CD8F6}" name="Adjustment – Eligibility £m" dataDxfId="235"/>
    <tableColumn id="9" xr3:uid="{282AB89C-6E8F-4165-A453-BE75AA229B07}" name="Ofgem’s DD* £m" dataDxfId="23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8D491B1-1DA1-4ABA-8E64-A75D209FD5AC}" name="NGET_MSIP_Adjustm_Total4349" displayName="NGET_MSIP_Adjustm_Total4349" ref="A19:I24" totalsRowShown="0" headerRowDxfId="233" dataDxfId="231" headerRowBorderDxfId="232" tableBorderDxfId="230" totalsRowBorderDxfId="229">
  <autoFilter ref="A19:I24" xr:uid="{7CCC824E-4650-499F-934B-E25E784F0513}"/>
  <tableColumns count="9">
    <tableColumn id="1" xr3:uid="{88B517E9-C8AA-4002-A24F-F8477E680829}" name="Project Name" dataDxfId="228"/>
    <tableColumn id="2" xr3:uid="{22E5CA51-C81D-467B-BD13-B489E91BB0EF}" name="Funding Request £m" dataDxfId="227">
      <calculatedColumnFormula>B4+B12</calculatedColumnFormula>
    </tableColumn>
    <tableColumn id="3" xr3:uid="{79F48C51-6519-4BFE-887A-E3BEBF2C5923}" name="Adjustment – OE £m" dataDxfId="226">
      <calculatedColumnFormula>C4+C12</calculatedColumnFormula>
    </tableColumn>
    <tableColumn id="4" xr3:uid="{EC944319-7663-4DFE-957A-95FBD2EA0657}" name="Adjustment – RPE £m" dataDxfId="225">
      <calculatedColumnFormula>D4+D12</calculatedColumnFormula>
    </tableColumn>
    <tableColumn id="5" xr3:uid="{1FF7A17D-9273-401C-8D9F-6105655E70CD}" name="Adjustment – Risk £m" dataDxfId="224">
      <calculatedColumnFormula>E4+E12</calculatedColumnFormula>
    </tableColumn>
    <tableColumn id="6" xr3:uid="{4EC2FDC4-B507-4744-89A7-F57FA1FA1177}" name="Adjustment – Optioneering £m" dataDxfId="223">
      <calculatedColumnFormula>F4+F12</calculatedColumnFormula>
    </tableColumn>
    <tableColumn id="7" xr3:uid="{2FA57CD9-D14C-43FA-8987-A96CEC0779F1}" name="Adjustment – Low Cost Confidence items £m" dataDxfId="222">
      <calculatedColumnFormula>G4+G12</calculatedColumnFormula>
    </tableColumn>
    <tableColumn id="8" xr3:uid="{8764F4AE-C5B3-4B87-80CE-F58657332B89}" name="Adjustment – Eligibility £m" dataDxfId="221">
      <calculatedColumnFormula>H4+H12</calculatedColumnFormula>
    </tableColumn>
    <tableColumn id="9" xr3:uid="{769AF03F-A99E-46A8-AE19-4C6C94417F16}" name="Ofgem’s DD* £m" dataDxfId="220">
      <calculatedColumnFormula>I4+I12</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4B97C9B-A759-478E-B77D-E9D0731CF2B8}" name="NGET_MSIP_Adjustm_R24147" displayName="NGET_MSIP_Adjustm_R24147" ref="A3:I8" totalsRowShown="0" headerRowDxfId="219" dataDxfId="217" headerRowBorderDxfId="218" tableBorderDxfId="216" totalsRowBorderDxfId="215">
  <autoFilter ref="A3:I8" xr:uid="{E442AA17-83AC-4141-BD94-4E63306C2859}"/>
  <tableColumns count="9">
    <tableColumn id="1" xr3:uid="{C39ABF2A-5089-4C1B-9331-088560BA9E92}" name="Project Name" dataDxfId="214"/>
    <tableColumn id="2" xr3:uid="{DD1E3FF3-CEC1-4AEF-B702-FF892FA4FA37}" name="Funding Request £m" dataDxfId="213"/>
    <tableColumn id="3" xr3:uid="{AD55F3B5-73E0-44B4-95F0-8EADDD6BFB08}" name="Adjustment – OE £m" dataDxfId="212"/>
    <tableColumn id="4" xr3:uid="{7EC43D73-2B6E-4D36-A2A4-D4DE71CF177C}" name="Adjustment – RPE £m" dataDxfId="211"/>
    <tableColumn id="5" xr3:uid="{C00720CF-952C-485A-B9CD-878ED4D20BD9}" name="Adjustment – Risk £m" dataDxfId="210"/>
    <tableColumn id="6" xr3:uid="{2DB11DCE-3A49-4480-80D3-949567F07B9B}" name="Adjustment – Optioneering £m" dataDxfId="209"/>
    <tableColumn id="7" xr3:uid="{1B63A928-E9B3-47FD-9953-94F6DDCDBFAE}" name="Adjustment – Low Cost Confidence items £m" dataDxfId="208"/>
    <tableColumn id="8" xr3:uid="{BABA191A-323A-4423-A441-AF2786F6C0DE}" name="Adjustment – Eligibility £m" dataDxfId="207"/>
    <tableColumn id="9" xr3:uid="{D2CCEB11-3CC9-4F48-AA1D-BF8B81A3F4A1}" name="Ofgem’s DD* £m" dataDxfId="20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6AF79B30-040B-4DF3-9621-51C183902CC0}" name="NGET_MSIP_Adjustm_R342" displayName="NGET_MSIP_Adjustm_R342" ref="A3:I8" totalsRowShown="0" headerRowDxfId="205" dataDxfId="203" headerRowBorderDxfId="204" tableBorderDxfId="202" totalsRowBorderDxfId="201">
  <autoFilter ref="A3:I8" xr:uid="{79CA595D-69AF-4026-9739-ADDD40B6F09B}"/>
  <tableColumns count="9">
    <tableColumn id="1" xr3:uid="{7BD641DC-1672-4BE3-B89B-9CA96423F7E3}" name="Project Name" dataDxfId="200"/>
    <tableColumn id="2" xr3:uid="{C16AC11C-1431-4CCD-9E78-B681469950F3}" name="Funding Request £m" dataDxfId="199"/>
    <tableColumn id="3" xr3:uid="{41380F8A-C39C-494A-8FF4-B0E55E37ED90}" name="Adjustment – OE £m" dataDxfId="198"/>
    <tableColumn id="4" xr3:uid="{97BC10B8-6D95-4947-A041-96C4BF12C8EA}" name="Adjustment – RPE £m" dataDxfId="197"/>
    <tableColumn id="5" xr3:uid="{9DAA153B-FBC1-4586-B1C0-D6FAE93B6409}" name="Adjustment – Risk £m" dataDxfId="196"/>
    <tableColumn id="6" xr3:uid="{238CF9DE-C234-4B81-9FEE-62FC85566758}" name="Adjustment – Optioneering £m" dataDxfId="195"/>
    <tableColumn id="7" xr3:uid="{7E432830-CC1D-4791-A7E3-802A4FC8A830}" name="Adjustment – Low Cost Confidence items £m" dataDxfId="194"/>
    <tableColumn id="8" xr3:uid="{A07227C3-EBA2-498C-B5D5-81C789DEB5BD}" name="Adjustment – Eligibility £m" dataDxfId="193"/>
    <tableColumn id="9" xr3:uid="{1F9EC496-989C-4AF2-B20A-FEE753B33C00}" name="Ofgem’s DD* £m" dataDxfId="19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10EE1EE9-795B-40C9-8846-718F54635589}" name="NGET_MSIP_Adjustm_R24144" displayName="NGET_MSIP_Adjustm_R24144" ref="A3:I11" totalsRowShown="0" headerRowDxfId="191" dataDxfId="189" headerRowBorderDxfId="190" tableBorderDxfId="188" totalsRowBorderDxfId="187">
  <autoFilter ref="A3:I11" xr:uid="{E442AA17-83AC-4141-BD94-4E63306C2859}"/>
  <tableColumns count="9">
    <tableColumn id="1" xr3:uid="{50CE6866-35C4-4E64-BFD5-86020503E13E}" name="Project Name" dataDxfId="186"/>
    <tableColumn id="2" xr3:uid="{52434DE3-424E-4EFF-85D0-47B905BC8025}" name="Funding Request £m" dataDxfId="185"/>
    <tableColumn id="3" xr3:uid="{025EBC7B-B05E-4C63-99A5-AC71825490CD}" name="Adjustment – OE £m" dataDxfId="184"/>
    <tableColumn id="4" xr3:uid="{2F895C94-3ACF-4077-92CD-0A96F7E1D6A8}" name="Adjustment – RPE £m" dataDxfId="183"/>
    <tableColumn id="5" xr3:uid="{D430CA25-2728-4710-8EBA-F27580DE5E4A}" name="Adjustment – Risk £m" dataDxfId="182"/>
    <tableColumn id="6" xr3:uid="{AEB3E416-00EA-4648-AF4D-52404FC17BFE}" name="Adjustment – Optioneering £m" dataDxfId="181"/>
    <tableColumn id="7" xr3:uid="{33854343-B592-4041-9588-9AA37EBC5DE4}" name="Adjustment – Low Cost Confidence items £m" dataDxfId="180"/>
    <tableColumn id="8" xr3:uid="{3C119EF6-7F04-44A4-9078-3CBC3FBFA5A9}" name="Adjustment – Eligibility £m" dataDxfId="179"/>
    <tableColumn id="9" xr3:uid="{67C0D736-A42A-4A0C-9931-B035585D9661}" name="Ofgem’s DD* £m" dataDxfId="178"/>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461B53B7-F0A4-482D-8B61-7C511D9BF0B3}" name="NGET_MSIP_Adjustm_R34245" displayName="NGET_MSIP_Adjustm_R34245" ref="A14:I22" totalsRowShown="0" headerRowDxfId="177" dataDxfId="175" headerRowBorderDxfId="176" tableBorderDxfId="174" totalsRowBorderDxfId="173">
  <autoFilter ref="A14:I22" xr:uid="{79CA595D-69AF-4026-9739-ADDD40B6F09B}"/>
  <tableColumns count="9">
    <tableColumn id="1" xr3:uid="{E18DE445-B1B6-48CA-A002-F9592413763A}" name="Project Name" dataDxfId="172"/>
    <tableColumn id="2" xr3:uid="{F3AF3509-B7F5-4B47-BD65-A2444D2F14AF}" name="Funding Request £m" dataDxfId="171"/>
    <tableColumn id="3" xr3:uid="{818A6012-F6F3-4665-8CBA-763455E7484C}" name="Adjustment – OE £m" dataDxfId="170"/>
    <tableColumn id="4" xr3:uid="{9BEAA6FE-A597-45AA-931E-7E89630070AA}" name="Adjustment – RPE £m" dataDxfId="169"/>
    <tableColumn id="5" xr3:uid="{386E3466-F9ED-4B40-B434-355038498E81}" name="Adjustment – Risk £m" dataDxfId="168"/>
    <tableColumn id="6" xr3:uid="{0ACD6C87-FE4A-4206-B6EB-9E200FB8A319}" name="Adjustment – Optioneering £m" dataDxfId="167"/>
    <tableColumn id="7" xr3:uid="{EA1BFE08-5918-489E-AFA2-CCCF5988CF3D}" name="Adjustment – Low Cost Confidence items £m" dataDxfId="166"/>
    <tableColumn id="8" xr3:uid="{8531A1AD-1535-4E46-87AD-92DB16F1B504}" name="Adjustment – Eligibility £m" dataDxfId="165"/>
    <tableColumn id="9" xr3:uid="{A65BAAAC-E305-4EC5-B51D-3B1D9878D95C}" name="Ofgem’s DD* £m" dataDxfId="164"/>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F6FFDFC-297F-4F98-8C01-D163E84FF0D5}" name="NGET_MSIP_Adjustm_Total4346" displayName="NGET_MSIP_Adjustm_Total4346" ref="A25:I33" totalsRowShown="0" headerRowDxfId="163" dataDxfId="161" headerRowBorderDxfId="162" tableBorderDxfId="160" totalsRowBorderDxfId="159">
  <autoFilter ref="A25:I33" xr:uid="{7CCC824E-4650-499F-934B-E25E784F0513}"/>
  <tableColumns count="9">
    <tableColumn id="1" xr3:uid="{DCCF9177-D938-4C2A-BD19-0707C3A8DF31}" name="Project Name" dataDxfId="158"/>
    <tableColumn id="2" xr3:uid="{7AF75423-AE57-4F2C-9ED0-F9F8270294EB}" name="Funding Request £m" dataDxfId="157">
      <calculatedColumnFormula>B4+B15</calculatedColumnFormula>
    </tableColumn>
    <tableColumn id="3" xr3:uid="{917126B7-FF31-4480-AA5C-6AB2AC34D8D4}" name="Adjustment – OE £m" dataDxfId="156">
      <calculatedColumnFormula>C4+C15</calculatedColumnFormula>
    </tableColumn>
    <tableColumn id="4" xr3:uid="{F1188B6B-0B7E-4711-99D0-BB346CBF42C6}" name="Adjustment – RPE £m" dataDxfId="155">
      <calculatedColumnFormula>D4+D15</calculatedColumnFormula>
    </tableColumn>
    <tableColumn id="5" xr3:uid="{D5FF0387-3102-4336-B9FF-CE4B2BC1A905}" name="Adjustment – Risk £m" dataDxfId="154">
      <calculatedColumnFormula>E4+E15</calculatedColumnFormula>
    </tableColumn>
    <tableColumn id="6" xr3:uid="{727A7F39-9160-46DB-BBDB-C4B1E71F706A}" name="Adjustment – Optioneering £m" dataDxfId="153">
      <calculatedColumnFormula>F4+F15</calculatedColumnFormula>
    </tableColumn>
    <tableColumn id="7" xr3:uid="{41080DD3-5238-4980-8C65-83252376B228}" name="Adjustment – Low Cost Confidence items £m" dataDxfId="152">
      <calculatedColumnFormula>G4+G15</calculatedColumnFormula>
    </tableColumn>
    <tableColumn id="8" xr3:uid="{BFD1E758-7F0B-4D12-B80B-240AEE796320}" name="Adjustment – Eligibility £m" dataDxfId="151">
      <calculatedColumnFormula>H4+H15</calculatedColumnFormula>
    </tableColumn>
    <tableColumn id="9" xr3:uid="{B09999AF-F4B6-4A97-A545-C552E2820DB8}" name="Ofgem’s DD* £m" dataDxfId="150">
      <calculatedColumnFormula>I4+I15</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CB0EC8B-E8AE-4C88-90AA-0A570A288972}" name="NGET_MSIP_Adjustm_R3424551" displayName="NGET_MSIP_Adjustm_R3424551" ref="A3:I11" totalsRowShown="0" headerRowDxfId="149" dataDxfId="147" headerRowBorderDxfId="148" tableBorderDxfId="146" totalsRowBorderDxfId="145">
  <autoFilter ref="A3:I11" xr:uid="{79CA595D-69AF-4026-9739-ADDD40B6F09B}"/>
  <tableColumns count="9">
    <tableColumn id="1" xr3:uid="{1CBE92A2-FCDB-4EC2-958A-1FEE0D483C92}" name="Project Name" dataDxfId="144"/>
    <tableColumn id="2" xr3:uid="{BACEE6C7-4C16-4FAE-929F-A7D9C3DF9178}" name="Funding Request £m" dataDxfId="143"/>
    <tableColumn id="3" xr3:uid="{2F60A717-72AB-41E6-B582-8BEF08B542AB}" name="Adjustment – OE £m" dataDxfId="142"/>
    <tableColumn id="4" xr3:uid="{D0AFC029-2386-4D2E-88AD-A42618BA7AAD}" name="Adjustment – RPE £m" dataDxfId="141"/>
    <tableColumn id="5" xr3:uid="{BC1F2575-40FC-4059-84E9-1302456DD5AF}" name="Adjustment – Risk £m" dataDxfId="140"/>
    <tableColumn id="6" xr3:uid="{B8B3294B-C19C-480B-BE19-7A51FB7B40CE}" name="Adjustment – Optioneering £m" dataDxfId="139"/>
    <tableColumn id="7" xr3:uid="{FB797621-3B62-4901-8C05-424934261F09}" name="Adjustment – Low Cost Confidence items £m" dataDxfId="138"/>
    <tableColumn id="8" xr3:uid="{B63B4D4B-78D6-49E5-9F11-3DAC20C031CF}" name="Adjustment – Eligibility £m" dataDxfId="137"/>
    <tableColumn id="9" xr3:uid="{B607C720-6616-41DC-AE13-6625A65CB7EF}" name="Ofgem’s DD* £m" dataDxfId="136"/>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6BA40D0-1CC7-4505-B392-0D5563E93DF5}" name="Gremista_Project_Costs" displayName="Gremista_Project_Costs" ref="A3:B14" totalsRowShown="0" headerRowBorderDxfId="135" tableBorderDxfId="134" totalsRowBorderDxfId="133">
  <autoFilter ref="A3:B14" xr:uid="{F6BA40D0-1CC7-4505-B392-0D5563E93DF5}"/>
  <tableColumns count="2">
    <tableColumn id="1" xr3:uid="{2B0F1B3B-2A1F-4D75-8D8D-66FA461338AA}" name="Categories Cost Breakdown" dataDxfId="132"/>
    <tableColumn id="2" xr3:uid="{1A7520CA-010B-48EE-8683-23266A23FEDF}" name="Total Project Cost (£m)" dataDxfId="131"/>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49B9B09-C16A-43DB-B7D1-5463A33E4016}" name="Gremista_Reclassification" displayName="Gremista_Reclassification" ref="A17:B22" totalsRowShown="0" headerRowBorderDxfId="130" tableBorderDxfId="129" totalsRowBorderDxfId="128">
  <autoFilter ref="A17:B22" xr:uid="{549B9B09-C16A-43DB-B7D1-5463A33E4016}"/>
  <tableColumns count="2">
    <tableColumn id="1" xr3:uid="{C2010EA9-0248-45A1-A11B-6D3CF62863B8}" name="Cost Re-classification" dataDxfId="127"/>
    <tableColumn id="2" xr3:uid="{1B394914-BEE9-4B29-AD5D-DFFC2964B582}" name="Total Project Cost (£m)" dataDxfId="126"/>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403A0F3-39E8-49DC-9E82-5BCB6FC693FE}" name="Gremista_DD_Adjustments" displayName="Gremista_DD_Adjustments" ref="A3:D15" totalsRowShown="0" headerRowDxfId="125" headerRowBorderDxfId="124" tableBorderDxfId="123" totalsRowBorderDxfId="122">
  <autoFilter ref="A3:D15" xr:uid="{5403A0F3-39E8-49DC-9E82-5BCB6FC693FE}"/>
  <tableColumns count="4">
    <tableColumn id="1" xr3:uid="{0CE64DE3-D709-49A2-B023-DDC57725DB0C}" name="Cost Category" dataDxfId="121"/>
    <tableColumn id="2" xr3:uid="{E75361CA-CBA8-4C36-9BB7-CC34C359AE9B}" name="Submitted Cost £m" dataDxfId="120"/>
    <tableColumn id="3" xr3:uid="{DC04436D-215F-47C2-B4F7-E29612EF04D4}" name="Proposed Adjustment £m" dataDxfId="119"/>
    <tableColumn id="4" xr3:uid="{29D54772-E02C-4EBB-A7DB-D44F7421A302}" name="Proposed DD* Allowance £m" dataDxfId="11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FA8A458-61B7-4B74-8048-8706FEF9FDF1}" name="ED_DD_Summary" displayName="ED_DD_Summary" ref="A3:H5" totalsRowShown="0" headerRowDxfId="117" dataDxfId="115" headerRowBorderDxfId="116" tableBorderDxfId="114" totalsRowBorderDxfId="113">
  <autoFilter ref="A3:H5" xr:uid="{2FA8A458-61B7-4B74-8048-8706FEF9FDF1}"/>
  <tableColumns count="8">
    <tableColumn id="1" xr3:uid="{3678B2EA-7D49-4971-B973-41F6998474FF}" name="Sector Group" dataDxfId="112"/>
    <tableColumn id="2" xr3:uid="{4CAAFC44-297A-49B6-B44B-303674354376}" name="Network" dataDxfId="111"/>
    <tableColumn id="3" xr3:uid="{5A54A8D9-1FCA-4001-BAB5-A88596BDE596}" name="Company Requested Number of Projects" dataDxfId="110">
      <calculatedColumnFormula>INDEX(DD_Summary[],MATCH($A4,DD_Summary[[Sector Group]:[Sector Group]],0),MATCH(C$3,DD_Summary[#Headers],0))</calculatedColumnFormula>
    </tableColumn>
    <tableColumn id="4" xr3:uid="{18F690CF-0C5C-4978-A5FA-A17FA48E697B}" name="Company Requested Forecast costs £m" dataDxfId="109">
      <calculatedColumnFormula>INDEX(DD_Summary[],MATCH($A4,DD_Summary[[Sector Group]:[Sector Group]],0),MATCH(D$3,DD_Summary[#Headers],0))</calculatedColumnFormula>
    </tableColumn>
    <tableColumn id="5" xr3:uid="{0B3D9533-2604-400F-A487-924C5090E22B}" name="Ofgem’s DD - Projects Approved*" dataDxfId="108">
      <calculatedColumnFormula>INDEX(DD_Summary[],MATCH($A4,DD_Summary[[Sector Group]:[Sector Group]],0),MATCH(E$3,DD_Summary[#Headers],0))</calculatedColumnFormula>
    </tableColumn>
    <tableColumn id="6" xr3:uid="{3DFED18A-7F0C-4117-A122-810D86BA2A59}" name="Ofgem’s DD - Projects Not Approved" dataDxfId="107">
      <calculatedColumnFormula>INDEX(DD_Summary[],MATCH($A4,DD_Summary[[Sector Group]:[Sector Group]],0),MATCH(F$3,DD_Summary[#Headers],0))</calculatedColumnFormula>
    </tableColumn>
    <tableColumn id="7" xr3:uid="{F82DF018-268E-4A84-A5C6-DF4579ADBACF}" name="Ofgem’s DD - Cost adjustment £m" dataDxfId="106">
      <calculatedColumnFormula>INDEX(DD_Summary[],MATCH($A4,DD_Summary[[Sector Group]:[Sector Group]],0),MATCH(G$3,DD_Summary[#Headers],0))</calculatedColumnFormula>
    </tableColumn>
    <tableColumn id="8" xr3:uid="{F4774FC1-8C48-457A-A019-3A991E0DFFAF}" name="Ofgem’s DD - Allowances £m" dataDxfId="105">
      <calculatedColumnFormula>INDEX(DD_Summary[],MATCH($A4,DD_Summary[[Sector Group]:[Sector Group]],0),MATCH(H$3,DD_Summary[#Headers],0))</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5531797-C917-4844-8240-6824CCC1554D}" name="Table23" displayName="Table23" ref="A3:D10" totalsRowShown="0" headerRowDxfId="104" dataDxfId="102" headerRowBorderDxfId="103" tableBorderDxfId="101" totalsRowBorderDxfId="100">
  <autoFilter ref="A3:D10" xr:uid="{75531797-C917-4844-8240-6824CCC1554D}"/>
  <tableColumns count="4">
    <tableColumn id="3" xr3:uid="{83152CBE-AC95-41B4-9FC6-C8FC68F0AFC9}" name="Company Proposed Project" dataDxfId="99"/>
    <tableColumn id="4" xr3:uid="{4A6739BD-5CD5-4E0E-BFED-B6957900B17D}" name="Company requested - Forecast costs (£m)" dataDxfId="98"/>
    <tableColumn id="5" xr3:uid="{F99C4898-7674-484D-9B9C-3EFD30D30F4C}" name="Ofgem’s DD - Cost adjustment (£m)" dataDxfId="97">
      <calculatedColumnFormula>Table23[[#This Row],[Ofgem’s DD -Allowances (£m)]]-Table23[[#This Row],[Company requested - Forecast costs (£m)]]</calculatedColumnFormula>
    </tableColumn>
    <tableColumn id="6" xr3:uid="{B8A78280-4E7D-4F8F-A2AB-E43713497950}" name="Ofgem’s DD -Allowances (£m)" dataDxfId="96">
      <calculatedColumnFormula>SUMIF(Project_Data[Assessment_Group],A7,Project_Data[Allowance_Draft])</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A2372FB-B6D1-4E1F-8A1E-02B3852115DA}" name="ENWL_LRE_Request" displayName="ENWL_LRE_Request" ref="A3:C10" totalsRowShown="0" headerRowBorderDxfId="95" tableBorderDxfId="94" totalsRowBorderDxfId="93">
  <autoFilter ref="A3:C10" xr:uid="{BA2372FB-B6D1-4E1F-8A1E-02B3852115DA}"/>
  <tableColumns count="3">
    <tableColumn id="1" xr3:uid="{8925DB1A-3109-479E-A8F4-114D925B0D24}" name="Template" dataDxfId="92"/>
    <tableColumn id="2" xr3:uid="{85B6FAB6-925C-4252-970E-303B45DFEB23}" name="Cost Category" dataDxfId="91"/>
    <tableColumn id="3" xr3:uid="{8804652A-8964-4A4A-863A-66FFB1D12656}" name="Funding Request (£m)" dataDxfId="90"/>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D5B026B-1D55-4AF8-B150-8AAE4C7DBB39}" name="LRE_EJP_Assessment" displayName="LRE_EJP_Assessment" ref="A3:E4" totalsRowShown="0" headerRowDxfId="89" dataDxfId="87" headerRowBorderDxfId="88" tableBorderDxfId="86" totalsRowBorderDxfId="85">
  <autoFilter ref="A3:E4" xr:uid="{2D5B026B-1D55-4AF8-B150-8AAE4C7DBB39}"/>
  <tableColumns count="5">
    <tableColumn id="1" xr3:uid="{02E2B618-4C42-421C-8663-5BE96AC9DFEA}" name="No. of EJPs assessed " dataDxfId="84"/>
    <tableColumn id="2" xr3:uid="{CCCE0CA2-4A87-4722-B0C2-924E540CC2DB}" name="Needs Case approved " dataDxfId="83"/>
    <tableColumn id="3" xr3:uid="{AF5F1A44-9766-4F15-9962-9426D374DA13}" name="Needs case rejected or partially rejected " dataDxfId="82"/>
    <tableColumn id="4" xr3:uid="{58B97B67-5EB2-4EB0-A82E-B1E8D28351F7}" name="Optioneering approved " dataDxfId="81"/>
    <tableColumn id="5" xr3:uid="{44649A1A-7208-4475-8121-96158C1B3A54}" name="Optioneering rejected or partially rejected " dataDxfId="80"/>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44645B9-F270-425A-8BE9-D42352C4E66C}" name="Table26" displayName="Table26" ref="A3:E10" totalsRowShown="0" headerRowDxfId="79" dataDxfId="77" headerRowBorderDxfId="78" tableBorderDxfId="76" totalsRowBorderDxfId="75">
  <autoFilter ref="A3:E10" xr:uid="{644645B9-F270-425A-8BE9-D42352C4E66C}"/>
  <tableColumns count="5">
    <tableColumn id="1" xr3:uid="{CF15D422-1B2D-4FCE-A60B-9C9F0EADE789}" name="Template" dataDxfId="74"/>
    <tableColumn id="2" xr3:uid="{1077207F-02F4-4749-9176-05FAFBBF90ED}" name="Cost Category" dataDxfId="73"/>
    <tableColumn id="3" xr3:uid="{989C10C7-FB55-4C9E-9187-F298DDD7D8D0}" name="Model Costs for ENWL LRE Plan (£m)" dataDxfId="72"/>
    <tableColumn id="4" xr3:uid="{56907B64-1E3B-4571-A6FF-113DCE45056F}" name="Ex ante Funding in ED2 (£m)" dataDxfId="71"/>
    <tableColumn id="5" xr3:uid="{5C871B58-977C-4A5D-A226-772158C2BEF8}" name="Ofgem’s DD (£m)" dataDxfId="70"/>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5A934B3-3952-497B-80CF-BD386705A92C}" name="LRE_Direction" displayName="LRE_Direction" ref="A3:G17" totalsRowShown="0" headerRowDxfId="69" dataDxfId="67" headerRowBorderDxfId="68" tableBorderDxfId="66" totalsRowBorderDxfId="65">
  <autoFilter ref="A3:G17" xr:uid="{F5A934B3-3952-497B-80CF-BD386705A92C}"/>
  <tableColumns count="7">
    <tableColumn id="1" xr3:uid="{D31776C4-46D3-4337-838F-04DC4E09B641}" name="Column1" dataDxfId="64"/>
    <tableColumn id="2" xr3:uid="{00A32E99-E5DC-4CF1-90AE-3F3699C8C33A}" name="23/24" dataDxfId="63"/>
    <tableColumn id="3" xr3:uid="{999A3D94-F0BF-438E-A8F2-FA27AC626C42}" name="24/25" dataDxfId="62"/>
    <tableColumn id="4" xr3:uid="{824FB50E-8F78-4A7F-B62D-1B02C0FA6392}" name="25/26" dataDxfId="61"/>
    <tableColumn id="5" xr3:uid="{14F313FF-6637-4144-A764-F4011CCBC0D9}" name="26/27" dataDxfId="60"/>
    <tableColumn id="6" xr3:uid="{507B6423-1F23-4263-A096-E464407DEDEB}" name="27/28" dataDxfId="59"/>
    <tableColumn id="7" xr3:uid="{7BC2DE13-5C40-4E68-896D-FD5F6A0AB56D}" name="Total allowance (all years)" dataDxfId="58">
      <calculatedColumnFormula>SUM(B4:F4)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B613F4A-3045-4207-8D09-543EA3B97014}" name="HOWSUM_Direction" displayName="HOWSUM_Direction" ref="A3:G17" totalsRowShown="0" headerRowDxfId="57" dataDxfId="55" headerRowBorderDxfId="56" tableBorderDxfId="54" totalsRowBorderDxfId="53">
  <autoFilter ref="A3:G17" xr:uid="{AB613F4A-3045-4207-8D09-543EA3B97014}"/>
  <tableColumns count="7">
    <tableColumn id="1" xr3:uid="{E71FD52F-0DB8-4933-A783-A511E79F9477}" name="Column1" dataDxfId="52"/>
    <tableColumn id="2" xr3:uid="{EE91BCE7-4EB4-4932-8D51-01D33129A96C}" name="23/24" dataDxfId="51"/>
    <tableColumn id="3" xr3:uid="{1377F69D-4A3C-4D4F-AD24-6BB639E37B0E}" name="24/25" dataDxfId="50"/>
    <tableColumn id="4" xr3:uid="{84477006-7714-47EB-BC7F-B4471F09599D}" name="25/26" dataDxfId="49"/>
    <tableColumn id="5" xr3:uid="{D9E8C6D7-ACC5-43D6-A42C-4905E36E9F34}" name="26/27" dataDxfId="48"/>
    <tableColumn id="6" xr3:uid="{306384C8-6F22-4BE2-9BE9-CD7176AA34F4}" name="27/28" dataDxfId="47"/>
    <tableColumn id="7" xr3:uid="{96DAB87C-BF7C-47E0-A0F1-A3D2DBB51C2A}" name="Total allowance (all years)" dataDxfId="46"/>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6DB7864-7905-4508-99FC-6CDA7EBF611B}" name="GD_DD_Summary" displayName="GD_DD_Summary" ref="A3:H12" totalsRowShown="0" headerRowDxfId="45" dataDxfId="43" headerRowBorderDxfId="44" tableBorderDxfId="42" totalsRowBorderDxfId="41">
  <autoFilter ref="A3:H12" xr:uid="{96DB7864-7905-4508-99FC-6CDA7EBF611B}"/>
  <tableColumns count="8">
    <tableColumn id="1" xr3:uid="{9937B2BE-1B2B-4E5E-BCAD-228653DA48CC}" name="Sector Group" dataDxfId="40"/>
    <tableColumn id="2" xr3:uid="{0EC6369C-104C-4593-AC2D-58B04BD260E5}" name="Network" dataDxfId="39"/>
    <tableColumn id="3" xr3:uid="{04AC725D-5123-4F54-BF5E-C495E06DB043}" name="Company Requested Number of Projects" dataDxfId="38">
      <calculatedColumnFormula>COUNTIF(Project_Data[Licensee],GD_DD_Summary[[#This Row],[Network]])</calculatedColumnFormula>
    </tableColumn>
    <tableColumn id="4" xr3:uid="{7B80C405-E77D-406B-B3F6-7B74AA0EF415}" name="Company Requested Forecast costs £m" dataDxfId="37">
      <calculatedColumnFormula array="1">SUMIF(Project_Data[[Sector_Group]:[Sector_Group]],DD_Summary[[#This Row],[Sector Group]:[Sector Group]],Project_Data[Submitted_Cost_Submission])</calculatedColumnFormula>
    </tableColumn>
    <tableColumn id="5" xr3:uid="{FDB4963B-93B1-45B3-9821-C63FFE117221}" name="Ofgem’s DD - Projects Approved*" dataDxfId="36">
      <calculatedColumnFormula array="1">SUMIF(Project_Data[[Sector_Group]:[Sector_Group]],GD_DD_Summary[[#This Row],[Sector Group]:[Sector Group]],Project_Data[Approved_DD])</calculatedColumnFormula>
    </tableColumn>
    <tableColumn id="6" xr3:uid="{6D3A368B-B45C-47B8-8DD1-86DDBA2C75B4}" name="Ofgem’s DD - Projects Not Approved" dataDxfId="35">
      <calculatedColumnFormula>DD_Summary[[#This Row],[Company Requested Number of Projects]]-DD_Summary[[#This Row],[Ofgem’s DD - Projects Approved*]]</calculatedColumnFormula>
    </tableColumn>
    <tableColumn id="7" xr3:uid="{5C4AA359-E408-45F9-A108-13F58A0EC1A7}" name="Ofgem’s DD - Cost adjustment £m" dataDxfId="34">
      <calculatedColumnFormula>DD_Summary[[#This Row],[Ofgem’s DD - Allowances £m]]-DD_Summary[[#This Row],[Company Requested Forecast costs £m]]</calculatedColumnFormula>
    </tableColumn>
    <tableColumn id="8" xr3:uid="{7C9DEA11-2A72-4450-9984-BE4B1ED52B64}" name="Ofgem’s DD - Allowances £m" dataDxfId="33">
      <calculatedColumnFormula array="1">SUMIF(Project_Data[[Sector_Group]:[Sector_Group]],DD_Summary[[#This Row],[Sector Group]:[Sector Group]],Project_Data[Allowance_Draft])</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77C341B-263C-475F-B0D2-B223048FCB0C}" name="HSE_Policy_DD_Summary" displayName="HSE_Policy_DD_Summary" ref="A3:D8" totalsRowShown="0">
  <autoFilter ref="A3:D8" xr:uid="{4478AD47-8166-44DC-806C-196E5EDA3EC5}"/>
  <tableColumns count="4">
    <tableColumn id="1" xr3:uid="{7C2A4228-2497-42F1-BDE7-5617222AB033}" name="Sector Group"/>
    <tableColumn id="2" xr3:uid="{4A0C8CE3-C8E9-4609-B6E2-D2B75DCFF8C5}" name="GDN submitted costs   (RIIO-2 only)" dataDxfId="32"/>
    <tableColumn id="3" xr3:uid="{8172ED2A-8F75-4C49-B820-B1C066E59D01}" name="Ofgem adjustments"/>
    <tableColumn id="4" xr3:uid="{5F31E64D-420C-4A10-9EAE-39EA5C86C132}" name="Ofgem DD allowance"/>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FB10CC3-8CCC-491B-B557-DCBF5073CF96}" name="Streetworks_DD_Summary" displayName="Streetworks_DD_Summary" ref="A3:D8" totalsRowShown="0">
  <autoFilter ref="A3:D8" xr:uid="{4478AD47-8166-44DC-806C-196E5EDA3EC5}"/>
  <tableColumns count="4">
    <tableColumn id="1" xr3:uid="{1AF02F0B-0BD5-42CC-AE19-01069A6BD17E}" name="Sector Group"/>
    <tableColumn id="2" xr3:uid="{4199C3BD-6427-4997-BAA4-C71345769874}" name="GDN submitted costs   (RIIO-2 only)" dataDxfId="31"/>
    <tableColumn id="3" xr3:uid="{F804401E-E575-4AC1-8E22-9C3CCD131DA5}" name="Ofgem adjustments"/>
    <tableColumn id="4" xr3:uid="{0CCDF418-2BA2-429F-986B-B0E17396F176}" name="Ofgem DD allowance"/>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79B5905-87B3-40CF-A3FC-6C7B878EE8E7}" name="Streetworks_DD_Summary37" displayName="Streetworks_DD_Summary37" ref="A3:D8" totalsRowShown="0">
  <autoFilter ref="A3:D8" xr:uid="{4478AD47-8166-44DC-806C-196E5EDA3EC5}"/>
  <tableColumns count="4">
    <tableColumn id="1" xr3:uid="{FA809AFA-18CC-4B59-B726-12999F0268AE}" name="Sector Group"/>
    <tableColumn id="2" xr3:uid="{C554A085-BD78-49EE-B035-D8F6F291F87A}" name="GDN submitted costs   (RIIO-2 only)" dataDxfId="30"/>
    <tableColumn id="3" xr3:uid="{9C9DA697-0028-4E22-A06F-AEC8974724AC}" name="Ofgem adjustments"/>
    <tableColumn id="4" xr3:uid="{F45555D7-A1DB-460D-93A6-2D17783F1E03}" name="Ofgem DD allowance"/>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966F73-D10B-4A29-9E60-60F725281774}" name="Project_Data" displayName="Project_Data" ref="A1:P68" totalsRowShown="0">
  <autoFilter ref="A1:P68" xr:uid="{30966F73-D10B-4A29-9E60-60F725281774}"/>
  <sortState xmlns:xlrd2="http://schemas.microsoft.com/office/spreadsheetml/2017/richdata2" ref="A2:P68">
    <sortCondition ref="L7:L68"/>
  </sortState>
  <tableColumns count="16">
    <tableColumn id="1" xr3:uid="{5AD91D26-023E-4AFF-93E7-7C6A1247E079}" name="Sector" dataDxfId="29"/>
    <tableColumn id="16" xr3:uid="{7EEECD02-A89D-4481-9361-CBCF10D54623}" name="Sector_Group" dataDxfId="28"/>
    <tableColumn id="2" xr3:uid="{A88190C4-9CFB-47F4-AE39-5AC6343962EB}" name="Licensee" dataDxfId="27"/>
    <tableColumn id="3" xr3:uid="{4D89F12A-3E58-4F44-A0D8-17721CE3DE95}" name="Reopener_mechanism" dataDxfId="26"/>
    <tableColumn id="4" xr3:uid="{8D5AF3B3-D844-48FE-8DF4-9E80DFD8EB19}" name="Assessment_Group" dataDxfId="25"/>
    <tableColumn id="5" xr3:uid="{18827C71-51E1-4F13-B227-7E08C2C8C44D}" name="Project_Name" dataDxfId="24"/>
    <tableColumn id="6" xr3:uid="{58DEB177-B7BB-437A-AF5F-3CF7C9BE6620}" name="Date" dataDxfId="23"/>
    <tableColumn id="7" xr3:uid="{B792A176-477A-4548-A481-65EF1A8716E2}" name="Status" dataDxfId="22"/>
    <tableColumn id="17" xr3:uid="{156D2828-21AD-4D0C-8238-A494373ADA6E}" name="Price_base" dataDxfId="21"/>
    <tableColumn id="9" xr3:uid="{CCCF237A-3CF7-4D1D-9C32-74A9704219FC}" name="Units" dataDxfId="20"/>
    <tableColumn id="20" xr3:uid="{F8D0DF54-90B7-4718-81C1-FB892FD9F210}" name="Submitted_Cost_Submission"/>
    <tableColumn id="21" xr3:uid="{7409A2F8-5D65-4068-ACED-60F1317B8CDD}" name="Allowance_Draft"/>
    <tableColumn id="8" xr3:uid="{9CFE6BE4-4986-4258-8041-88CE662EE052}" name="Approved_DD"/>
    <tableColumn id="11" xr3:uid="{D0D1652B-00B2-4CB8-9F10-5EA587FBD4BF}" name="Opex Escalator/Indirect Scaler"/>
    <tableColumn id="12" xr3:uid="{02E2AD58-6A35-4589-BD68-3D7E8EB08315}" name="OE_IS_Rate"/>
    <tableColumn id="13" xr3:uid="{42D730C5-C5F3-47BB-B78B-4FA33833DA4C}" name="OE_IS_Allowances"/>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7.bin"/><Relationship Id="rId4"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20.bin"/><Relationship Id="rId4" Type="http://schemas.openxmlformats.org/officeDocument/2006/relationships/table" Target="../tables/table21.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23.bin"/><Relationship Id="rId4" Type="http://schemas.openxmlformats.org/officeDocument/2006/relationships/table" Target="../tables/table25.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1BCFE-CD01-4181-8313-0739D357B1EE}">
  <sheetPr>
    <pageSetUpPr autoPageBreaks="0"/>
  </sheetPr>
  <dimension ref="B9:F73"/>
  <sheetViews>
    <sheetView tabSelected="1" zoomScale="80" zoomScaleNormal="80" workbookViewId="0">
      <selection activeCell="C25" sqref="C25"/>
    </sheetView>
  </sheetViews>
  <sheetFormatPr defaultColWidth="9.23046875" defaultRowHeight="13.5"/>
  <cols>
    <col min="1" max="1" width="2.23046875" style="10" customWidth="1"/>
    <col min="2" max="2" width="60.4609375" style="10" customWidth="1"/>
    <col min="3" max="3" width="65" style="10" customWidth="1"/>
    <col min="4" max="4" width="21.15234375" style="10" customWidth="1"/>
    <col min="5" max="5" width="13.15234375" style="10" customWidth="1"/>
    <col min="6" max="6" width="12.4609375" style="10" customWidth="1"/>
    <col min="7" max="16384" width="9.23046875" style="10"/>
  </cols>
  <sheetData>
    <row r="9" spans="2:6">
      <c r="B9" s="21"/>
      <c r="C9" s="23"/>
      <c r="D9" s="23"/>
    </row>
    <row r="10" spans="2:6" ht="28" customHeight="1">
      <c r="B10" s="31" t="s">
        <v>0</v>
      </c>
      <c r="C10" s="30"/>
      <c r="D10" s="29"/>
    </row>
    <row r="11" spans="2:6" ht="21" customHeight="1">
      <c r="B11" s="28" t="s">
        <v>1</v>
      </c>
      <c r="C11" s="27" t="s">
        <v>2</v>
      </c>
      <c r="D11" s="26"/>
      <c r="E11" s="26"/>
      <c r="F11" s="26"/>
    </row>
    <row r="12" spans="2:6" ht="21" customHeight="1">
      <c r="B12" s="25" t="s">
        <v>3</v>
      </c>
      <c r="C12" s="15" t="s">
        <v>4</v>
      </c>
      <c r="D12" s="26"/>
    </row>
    <row r="13" spans="2:6" ht="17.5" customHeight="1">
      <c r="B13" s="25" t="s">
        <v>5</v>
      </c>
      <c r="C13" s="15">
        <v>1</v>
      </c>
      <c r="D13" s="23"/>
    </row>
    <row r="14" spans="2:6" ht="17.5" customHeight="1">
      <c r="B14" s="25" t="s">
        <v>6</v>
      </c>
      <c r="C14" s="274">
        <v>45856</v>
      </c>
      <c r="D14" s="23"/>
    </row>
    <row r="15" spans="2:6" ht="17.5" customHeight="1">
      <c r="B15" s="25" t="s">
        <v>7</v>
      </c>
      <c r="C15" s="15" t="s">
        <v>8</v>
      </c>
      <c r="D15" s="23"/>
    </row>
    <row r="16" spans="2:6" ht="17.5" customHeight="1">
      <c r="B16" s="24" t="s">
        <v>9</v>
      </c>
      <c r="C16" s="12" t="s">
        <v>10</v>
      </c>
      <c r="D16" s="23"/>
    </row>
    <row r="17" spans="2:6" ht="17.5" customHeight="1">
      <c r="B17" s="24" t="s">
        <v>11</v>
      </c>
      <c r="C17" s="12" t="s">
        <v>12</v>
      </c>
      <c r="D17" s="23"/>
    </row>
    <row r="18" spans="2:6" ht="19.5" customHeight="1">
      <c r="B18" s="22"/>
      <c r="C18" s="22"/>
      <c r="D18" s="22"/>
    </row>
    <row r="19" spans="2:6" ht="17.5" customHeight="1">
      <c r="B19" s="21" t="s">
        <v>13</v>
      </c>
      <c r="C19" s="21"/>
      <c r="D19" s="21"/>
      <c r="E19" s="21"/>
      <c r="F19" s="21"/>
    </row>
    <row r="20" spans="2:6" ht="27">
      <c r="B20" s="20" t="s">
        <v>14</v>
      </c>
      <c r="C20" s="19" t="s">
        <v>15</v>
      </c>
      <c r="D20" s="19" t="s">
        <v>16</v>
      </c>
      <c r="E20" s="19" t="s">
        <v>17</v>
      </c>
      <c r="F20" s="18" t="s">
        <v>18</v>
      </c>
    </row>
    <row r="21" spans="2:6" ht="17.5" customHeight="1">
      <c r="B21" s="17" t="s">
        <v>19</v>
      </c>
      <c r="C21" s="16" t="s">
        <v>19</v>
      </c>
      <c r="D21" s="16" t="s">
        <v>20</v>
      </c>
      <c r="E21" s="16" t="s">
        <v>21</v>
      </c>
      <c r="F21" s="15" t="s">
        <v>22</v>
      </c>
    </row>
    <row r="22" spans="2:6" ht="17.5" customHeight="1">
      <c r="B22" s="17" t="s">
        <v>23</v>
      </c>
      <c r="C22" s="16" t="s">
        <v>23</v>
      </c>
      <c r="D22" s="16" t="s">
        <v>24</v>
      </c>
      <c r="E22" s="16" t="s">
        <v>21</v>
      </c>
      <c r="F22" s="15" t="s">
        <v>25</v>
      </c>
    </row>
    <row r="23" spans="2:6" ht="17.5" customHeight="1">
      <c r="B23" s="17" t="s">
        <v>26</v>
      </c>
      <c r="C23" s="16" t="s">
        <v>26</v>
      </c>
      <c r="D23" s="16" t="s">
        <v>27</v>
      </c>
      <c r="E23" s="16" t="s">
        <v>21</v>
      </c>
      <c r="F23" s="15" t="s">
        <v>28</v>
      </c>
    </row>
    <row r="24" spans="2:6" ht="17.5" customHeight="1">
      <c r="B24" s="17" t="s">
        <v>29</v>
      </c>
      <c r="C24" s="16" t="s">
        <v>29</v>
      </c>
      <c r="D24" s="16" t="s">
        <v>30</v>
      </c>
      <c r="E24" s="16" t="s">
        <v>31</v>
      </c>
      <c r="F24" s="15" t="s">
        <v>32</v>
      </c>
    </row>
    <row r="25" spans="2:6" ht="17.5" customHeight="1">
      <c r="B25" s="17" t="s">
        <v>33</v>
      </c>
      <c r="C25" s="16" t="s">
        <v>33</v>
      </c>
      <c r="D25" s="16" t="s">
        <v>34</v>
      </c>
      <c r="E25" s="16" t="s">
        <v>35</v>
      </c>
      <c r="F25" s="15" t="s">
        <v>36</v>
      </c>
    </row>
    <row r="26" spans="2:6" ht="17.5" customHeight="1">
      <c r="B26" s="17" t="s">
        <v>37</v>
      </c>
      <c r="C26" s="16" t="s">
        <v>38</v>
      </c>
      <c r="D26" s="16" t="s">
        <v>39</v>
      </c>
      <c r="E26" s="16" t="s">
        <v>35</v>
      </c>
      <c r="F26" s="15" t="s">
        <v>40</v>
      </c>
    </row>
    <row r="27" spans="2:6" ht="17.5" customHeight="1">
      <c r="B27" s="17" t="s">
        <v>37</v>
      </c>
      <c r="C27" s="16" t="s">
        <v>41</v>
      </c>
      <c r="D27" s="16" t="s">
        <v>39</v>
      </c>
      <c r="E27" s="16" t="s">
        <v>35</v>
      </c>
      <c r="F27" s="15" t="s">
        <v>42</v>
      </c>
    </row>
    <row r="28" spans="2:6" ht="17.5" customHeight="1">
      <c r="B28" s="17" t="s">
        <v>43</v>
      </c>
      <c r="C28" s="16" t="s">
        <v>44</v>
      </c>
      <c r="D28" s="16" t="s">
        <v>45</v>
      </c>
      <c r="E28" s="16" t="s">
        <v>35</v>
      </c>
      <c r="F28" s="15" t="s">
        <v>46</v>
      </c>
    </row>
    <row r="29" spans="2:6" ht="17.5" customHeight="1">
      <c r="B29" s="17" t="s">
        <v>43</v>
      </c>
      <c r="C29" s="16" t="s">
        <v>47</v>
      </c>
      <c r="D29" s="16" t="s">
        <v>45</v>
      </c>
      <c r="E29" s="16" t="s">
        <v>35</v>
      </c>
      <c r="F29" s="15" t="s">
        <v>48</v>
      </c>
    </row>
    <row r="30" spans="2:6" ht="17.5" customHeight="1">
      <c r="B30" s="17" t="s">
        <v>43</v>
      </c>
      <c r="C30" s="16" t="s">
        <v>49</v>
      </c>
      <c r="D30" s="16" t="s">
        <v>45</v>
      </c>
      <c r="E30" s="16" t="s">
        <v>35</v>
      </c>
      <c r="F30" s="15" t="s">
        <v>50</v>
      </c>
    </row>
    <row r="31" spans="2:6" ht="17.5" customHeight="1">
      <c r="B31" s="17" t="s">
        <v>43</v>
      </c>
      <c r="C31" s="16" t="s">
        <v>51</v>
      </c>
      <c r="D31" s="16" t="s">
        <v>45</v>
      </c>
      <c r="E31" s="16" t="s">
        <v>35</v>
      </c>
      <c r="F31" s="15" t="s">
        <v>52</v>
      </c>
    </row>
    <row r="32" spans="2:6" ht="17.5" customHeight="1">
      <c r="B32" s="17" t="s">
        <v>53</v>
      </c>
      <c r="C32" s="16" t="s">
        <v>54</v>
      </c>
      <c r="D32" s="16" t="s">
        <v>55</v>
      </c>
      <c r="E32" s="16" t="s">
        <v>35</v>
      </c>
      <c r="F32" s="15" t="s">
        <v>56</v>
      </c>
    </row>
    <row r="33" spans="2:6" ht="17.5" customHeight="1">
      <c r="B33" s="17" t="s">
        <v>53</v>
      </c>
      <c r="C33" s="16" t="s">
        <v>57</v>
      </c>
      <c r="D33" s="16" t="s">
        <v>55</v>
      </c>
      <c r="E33" s="16" t="s">
        <v>35</v>
      </c>
      <c r="F33" s="15" t="s">
        <v>58</v>
      </c>
    </row>
    <row r="34" spans="2:6" ht="17.5" customHeight="1">
      <c r="B34" s="17" t="s">
        <v>59</v>
      </c>
      <c r="C34" s="16" t="s">
        <v>60</v>
      </c>
      <c r="D34" s="16" t="s">
        <v>61</v>
      </c>
      <c r="E34" s="16" t="s">
        <v>35</v>
      </c>
      <c r="F34" s="15" t="s">
        <v>62</v>
      </c>
    </row>
    <row r="35" spans="2:6" ht="17.5" customHeight="1">
      <c r="B35" s="17" t="s">
        <v>59</v>
      </c>
      <c r="C35" s="16" t="s">
        <v>63</v>
      </c>
      <c r="D35" s="16" t="s">
        <v>61</v>
      </c>
      <c r="E35" s="16" t="s">
        <v>35</v>
      </c>
      <c r="F35" s="15" t="s">
        <v>64</v>
      </c>
    </row>
    <row r="36" spans="2:6" ht="17.5" customHeight="1">
      <c r="B36" s="17" t="s">
        <v>65</v>
      </c>
      <c r="C36" s="16" t="s">
        <v>66</v>
      </c>
      <c r="D36" s="16" t="s">
        <v>67</v>
      </c>
      <c r="E36" s="16" t="s">
        <v>35</v>
      </c>
      <c r="F36" s="15" t="s">
        <v>68</v>
      </c>
    </row>
    <row r="37" spans="2:6" ht="17.5" customHeight="1">
      <c r="B37" s="17" t="s">
        <v>65</v>
      </c>
      <c r="C37" s="16" t="s">
        <v>69</v>
      </c>
      <c r="D37" s="16" t="s">
        <v>67</v>
      </c>
      <c r="E37" s="16" t="s">
        <v>35</v>
      </c>
      <c r="F37" s="15" t="s">
        <v>70</v>
      </c>
    </row>
    <row r="38" spans="2:6" ht="17.5" customHeight="1">
      <c r="B38" s="17" t="s">
        <v>65</v>
      </c>
      <c r="C38" s="16" t="s">
        <v>71</v>
      </c>
      <c r="D38" s="16" t="s">
        <v>67</v>
      </c>
      <c r="E38" s="16" t="s">
        <v>35</v>
      </c>
      <c r="F38" s="15" t="s">
        <v>72</v>
      </c>
    </row>
    <row r="39" spans="2:6" ht="17.5" customHeight="1">
      <c r="B39" s="17" t="s">
        <v>73</v>
      </c>
      <c r="C39" s="16" t="s">
        <v>74</v>
      </c>
      <c r="D39" s="16" t="s">
        <v>75</v>
      </c>
      <c r="E39" s="16" t="s">
        <v>76</v>
      </c>
      <c r="F39" s="15" t="s">
        <v>77</v>
      </c>
    </row>
    <row r="40" spans="2:6" ht="17.5" customHeight="1">
      <c r="B40" s="17" t="s">
        <v>73</v>
      </c>
      <c r="C40" s="16" t="s">
        <v>78</v>
      </c>
      <c r="D40" s="16" t="s">
        <v>75</v>
      </c>
      <c r="E40" s="16" t="s">
        <v>76</v>
      </c>
      <c r="F40" s="15" t="s">
        <v>79</v>
      </c>
    </row>
    <row r="41" spans="2:6" ht="17.5" customHeight="1">
      <c r="B41" s="17" t="s">
        <v>73</v>
      </c>
      <c r="C41" s="16" t="s">
        <v>80</v>
      </c>
      <c r="D41" s="16" t="s">
        <v>75</v>
      </c>
      <c r="E41" s="16" t="s">
        <v>76</v>
      </c>
      <c r="F41" s="15" t="s">
        <v>81</v>
      </c>
    </row>
    <row r="42" spans="2:6" ht="17.5" customHeight="1">
      <c r="B42" s="17" t="s">
        <v>73</v>
      </c>
      <c r="C42" s="16" t="s">
        <v>82</v>
      </c>
      <c r="D42" s="16" t="s">
        <v>75</v>
      </c>
      <c r="E42" s="16" t="s">
        <v>76</v>
      </c>
      <c r="F42" s="15" t="s">
        <v>83</v>
      </c>
    </row>
    <row r="43" spans="2:6" ht="17.5" customHeight="1">
      <c r="B43" s="17" t="s">
        <v>84</v>
      </c>
      <c r="C43" s="16" t="s">
        <v>84</v>
      </c>
      <c r="D43" s="16" t="s">
        <v>85</v>
      </c>
      <c r="E43" s="16" t="s">
        <v>76</v>
      </c>
      <c r="F43" s="15" t="s">
        <v>86</v>
      </c>
    </row>
    <row r="44" spans="2:6" ht="17.5" customHeight="1">
      <c r="B44" s="17" t="s">
        <v>87</v>
      </c>
      <c r="C44" s="16" t="s">
        <v>88</v>
      </c>
      <c r="D44" s="16" t="s">
        <v>89</v>
      </c>
      <c r="E44" s="16" t="s">
        <v>76</v>
      </c>
      <c r="F44" s="15" t="s">
        <v>90</v>
      </c>
    </row>
    <row r="45" spans="2:6" ht="17.5" customHeight="1">
      <c r="B45" s="17" t="s">
        <v>87</v>
      </c>
      <c r="C45" s="16" t="s">
        <v>91</v>
      </c>
      <c r="D45" s="16" t="s">
        <v>89</v>
      </c>
      <c r="E45" s="16" t="s">
        <v>76</v>
      </c>
      <c r="F45" s="15" t="s">
        <v>92</v>
      </c>
    </row>
    <row r="46" spans="2:6" ht="17.5" customHeight="1">
      <c r="B46" s="14" t="s">
        <v>93</v>
      </c>
      <c r="C46" s="13" t="s">
        <v>94</v>
      </c>
      <c r="D46" s="13" t="s">
        <v>95</v>
      </c>
      <c r="E46" s="13" t="s">
        <v>76</v>
      </c>
      <c r="F46" s="12" t="s">
        <v>96</v>
      </c>
    </row>
    <row r="48" spans="2:6">
      <c r="B48" s="5" t="s">
        <v>97</v>
      </c>
      <c r="C48"/>
    </row>
    <row r="49" spans="2:4">
      <c r="B49" s="69" t="s">
        <v>14</v>
      </c>
      <c r="C49" s="70" t="s">
        <v>98</v>
      </c>
    </row>
    <row r="50" spans="2:4">
      <c r="B50" s="71" t="s">
        <v>19</v>
      </c>
      <c r="C50" s="72">
        <v>0.16889999999999999</v>
      </c>
    </row>
    <row r="51" spans="2:4">
      <c r="B51" s="71" t="s">
        <v>23</v>
      </c>
      <c r="C51" s="72">
        <v>0.1081</v>
      </c>
    </row>
    <row r="52" spans="2:4">
      <c r="B52" s="71" t="s">
        <v>26</v>
      </c>
      <c r="C52" s="72">
        <v>0.13420000000000001</v>
      </c>
    </row>
    <row r="53" spans="2:4">
      <c r="B53" s="71" t="s">
        <v>29</v>
      </c>
      <c r="C53" s="72"/>
    </row>
    <row r="54" spans="2:4">
      <c r="B54" s="71" t="s">
        <v>33</v>
      </c>
      <c r="C54" s="72">
        <v>0.108</v>
      </c>
    </row>
    <row r="55" spans="2:4">
      <c r="B55" s="71" t="s">
        <v>37</v>
      </c>
      <c r="C55" s="72">
        <v>0.108</v>
      </c>
    </row>
    <row r="56" spans="2:4">
      <c r="B56" s="71" t="s">
        <v>43</v>
      </c>
      <c r="C56" s="72">
        <v>0.108</v>
      </c>
    </row>
    <row r="57" spans="2:4">
      <c r="B57" s="71" t="s">
        <v>53</v>
      </c>
      <c r="C57" s="72">
        <v>0.108</v>
      </c>
    </row>
    <row r="58" spans="2:4">
      <c r="B58" s="71" t="s">
        <v>59</v>
      </c>
      <c r="C58" s="72">
        <v>0.108</v>
      </c>
    </row>
    <row r="59" spans="2:4">
      <c r="B59" s="71" t="s">
        <v>65</v>
      </c>
      <c r="C59" s="72">
        <v>0.108</v>
      </c>
    </row>
    <row r="60" spans="2:4">
      <c r="B60" s="71" t="s">
        <v>73</v>
      </c>
      <c r="C60" s="72">
        <v>0</v>
      </c>
    </row>
    <row r="61" spans="2:4">
      <c r="B61" s="71" t="s">
        <v>84</v>
      </c>
      <c r="C61" s="72">
        <v>0</v>
      </c>
    </row>
    <row r="62" spans="2:4">
      <c r="B62" s="71" t="s">
        <v>87</v>
      </c>
      <c r="C62" s="72">
        <v>0</v>
      </c>
    </row>
    <row r="63" spans="2:4">
      <c r="B63" s="73" t="s">
        <v>93</v>
      </c>
      <c r="C63" s="74">
        <v>0</v>
      </c>
    </row>
    <row r="64" spans="2:4">
      <c r="D64" s="11"/>
    </row>
    <row r="65" spans="4:4">
      <c r="D65" s="11"/>
    </row>
    <row r="66" spans="4:4">
      <c r="D66" s="11"/>
    </row>
    <row r="67" spans="4:4">
      <c r="D67" s="11"/>
    </row>
    <row r="68" spans="4:4">
      <c r="D68" s="11"/>
    </row>
    <row r="69" spans="4:4">
      <c r="D69" s="11"/>
    </row>
    <row r="70" spans="4:4">
      <c r="D70" s="11"/>
    </row>
    <row r="71" spans="4:4">
      <c r="D71" s="11"/>
    </row>
    <row r="72" spans="4:4">
      <c r="D72" s="11"/>
    </row>
    <row r="73" spans="4:4">
      <c r="D73" s="11"/>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71C4-796E-4959-A34E-26737B813407}">
  <sheetPr>
    <pageSetUpPr autoPageBreaks="0"/>
  </sheetPr>
  <dimension ref="B2:D17"/>
  <sheetViews>
    <sheetView zoomScaleNormal="100" workbookViewId="0">
      <selection activeCell="B11" sqref="B11"/>
    </sheetView>
  </sheetViews>
  <sheetFormatPr defaultRowHeight="13.5"/>
  <cols>
    <col min="1" max="1" width="2.23046875" customWidth="1"/>
    <col min="2" max="2" width="64.3828125" customWidth="1"/>
    <col min="3" max="3" width="60.4609375" customWidth="1"/>
    <col min="4" max="4" width="29.765625" customWidth="1"/>
  </cols>
  <sheetData>
    <row r="2" spans="2:4">
      <c r="B2" s="20" t="s">
        <v>99</v>
      </c>
      <c r="C2" s="19" t="s">
        <v>100</v>
      </c>
      <c r="D2" s="18" t="s">
        <v>101</v>
      </c>
    </row>
    <row r="3" spans="2:4">
      <c r="B3" s="17" t="s">
        <v>102</v>
      </c>
      <c r="C3" s="16" t="s">
        <v>103</v>
      </c>
      <c r="D3" s="15" t="s">
        <v>104</v>
      </c>
    </row>
    <row r="4" spans="2:4">
      <c r="B4" s="17" t="s">
        <v>105</v>
      </c>
      <c r="C4" s="16" t="s">
        <v>103</v>
      </c>
      <c r="D4" s="15" t="s">
        <v>104</v>
      </c>
    </row>
    <row r="5" spans="2:4">
      <c r="B5" s="17" t="s">
        <v>106</v>
      </c>
      <c r="C5" s="16" t="s">
        <v>103</v>
      </c>
      <c r="D5" s="15" t="s">
        <v>104</v>
      </c>
    </row>
    <row r="6" spans="2:4">
      <c r="B6" s="17" t="s">
        <v>107</v>
      </c>
      <c r="C6" s="16" t="s">
        <v>108</v>
      </c>
      <c r="D6" s="15" t="s">
        <v>104</v>
      </c>
    </row>
    <row r="7" spans="2:4">
      <c r="B7" s="17" t="s">
        <v>109</v>
      </c>
      <c r="C7" s="16" t="s">
        <v>110</v>
      </c>
      <c r="D7" s="15" t="s">
        <v>111</v>
      </c>
    </row>
    <row r="8" spans="2:4">
      <c r="B8" s="17" t="s">
        <v>112</v>
      </c>
      <c r="C8" s="16" t="s">
        <v>113</v>
      </c>
      <c r="D8" s="15" t="s">
        <v>111</v>
      </c>
    </row>
    <row r="9" spans="2:4">
      <c r="B9" s="17" t="s">
        <v>114</v>
      </c>
      <c r="C9" s="16" t="s">
        <v>115</v>
      </c>
      <c r="D9" s="15" t="s">
        <v>111</v>
      </c>
    </row>
    <row r="10" spans="2:4">
      <c r="B10" s="17" t="s">
        <v>116</v>
      </c>
      <c r="C10" s="16" t="s">
        <v>115</v>
      </c>
      <c r="D10" s="15" t="s">
        <v>111</v>
      </c>
    </row>
    <row r="11" spans="2:4">
      <c r="B11" s="17" t="s">
        <v>117</v>
      </c>
      <c r="C11" s="16" t="s">
        <v>115</v>
      </c>
      <c r="D11" s="15" t="s">
        <v>111</v>
      </c>
    </row>
    <row r="12" spans="2:4">
      <c r="B12" s="17" t="s">
        <v>118</v>
      </c>
      <c r="C12" s="16" t="s">
        <v>115</v>
      </c>
      <c r="D12" s="15" t="s">
        <v>111</v>
      </c>
    </row>
    <row r="13" spans="2:4">
      <c r="B13" s="17" t="s">
        <v>119</v>
      </c>
      <c r="C13" s="16" t="s">
        <v>120</v>
      </c>
      <c r="D13" s="15" t="s">
        <v>111</v>
      </c>
    </row>
    <row r="14" spans="2:4">
      <c r="B14" s="17" t="s">
        <v>121</v>
      </c>
      <c r="C14" s="16" t="s">
        <v>120</v>
      </c>
      <c r="D14" s="15" t="s">
        <v>111</v>
      </c>
    </row>
    <row r="15" spans="2:4">
      <c r="B15" s="17" t="s">
        <v>122</v>
      </c>
      <c r="C15" s="16" t="s">
        <v>120</v>
      </c>
      <c r="D15" s="15" t="s">
        <v>111</v>
      </c>
    </row>
    <row r="16" spans="2:4">
      <c r="B16" s="17" t="s">
        <v>123</v>
      </c>
      <c r="C16" s="16" t="s">
        <v>120</v>
      </c>
      <c r="D16" s="15" t="s">
        <v>111</v>
      </c>
    </row>
    <row r="17" spans="2:4">
      <c r="B17" s="17" t="s">
        <v>124</v>
      </c>
      <c r="C17" s="16" t="s">
        <v>125</v>
      </c>
      <c r="D17" s="15" t="s">
        <v>111</v>
      </c>
    </row>
  </sheetData>
  <dataValidations count="2">
    <dataValidation type="list" allowBlank="1" showInputMessage="1" showErrorMessage="1" sqref="D3:D17" xr:uid="{091EB33E-3531-40D8-BAA6-01A8A2BA6B25}">
      <formula1>"Yes,No"</formula1>
    </dataValidation>
    <dataValidation type="list" allowBlank="1" showInputMessage="1" showErrorMessage="1" sqref="B3:B11" xr:uid="{D9D7896B-2B72-4470-9BBA-EB5FABE97A89}">
      <formula1>list_All_AGroups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A340-784D-4C7A-8A5C-D000C237ABA3}">
  <sheetPr>
    <pageSetUpPr autoPageBreaks="0"/>
  </sheetPr>
  <dimension ref="B2:E63"/>
  <sheetViews>
    <sheetView topLeftCell="A34" zoomScale="80" zoomScaleNormal="80" workbookViewId="0">
      <selection activeCell="D56" sqref="D56"/>
    </sheetView>
  </sheetViews>
  <sheetFormatPr defaultRowHeight="13.5"/>
  <cols>
    <col min="1" max="1" width="2.23046875" customWidth="1"/>
    <col min="3" max="3" width="32.84375" customWidth="1"/>
    <col min="4" max="4" width="128.4609375" customWidth="1"/>
    <col min="5" max="5" width="20.765625" customWidth="1"/>
    <col min="7" max="7" width="14.3828125" customWidth="1"/>
  </cols>
  <sheetData>
    <row r="2" spans="2:5" ht="19" customHeight="1">
      <c r="B2" s="43" t="s">
        <v>126</v>
      </c>
      <c r="C2" s="42" t="s">
        <v>127</v>
      </c>
      <c r="D2" s="42" t="s">
        <v>128</v>
      </c>
      <c r="E2" s="41" t="s">
        <v>129</v>
      </c>
    </row>
    <row r="3" spans="2:5" ht="19" customHeight="1">
      <c r="B3" s="34">
        <f>MAX($B$2:B2) + 1</f>
        <v>1</v>
      </c>
      <c r="C3" s="38" t="s">
        <v>130</v>
      </c>
      <c r="D3" s="40" t="s">
        <v>131</v>
      </c>
      <c r="E3" s="32" t="str">
        <f>HYPERLINK("#'"&amp; $C3 &amp;"'!A1","Click to go to worksheet")</f>
        <v>Click to go to worksheet</v>
      </c>
    </row>
    <row r="4" spans="2:5" ht="19" customHeight="1">
      <c r="B4" s="34">
        <f>MAX($B$2:B3) + 1</f>
        <v>2</v>
      </c>
      <c r="C4" s="38" t="s">
        <v>132</v>
      </c>
      <c r="D4" s="40" t="s">
        <v>132</v>
      </c>
      <c r="E4" s="32" t="str">
        <f>HYPERLINK("#'"&amp; $C4 &amp;"'!A1","Click to go to worksheet")</f>
        <v>Click to go to worksheet</v>
      </c>
    </row>
    <row r="5" spans="2:5" ht="19" customHeight="1">
      <c r="B5" s="34">
        <f>MAX($B$2:B4) + 1</f>
        <v>3</v>
      </c>
      <c r="C5" s="38" t="s">
        <v>133</v>
      </c>
      <c r="D5" s="40" t="s">
        <v>133</v>
      </c>
      <c r="E5" s="32" t="str">
        <f>HYPERLINK("#'"&amp; $C5 &amp;"'!A1","Click to go to worksheet")</f>
        <v>Click to go to worksheet</v>
      </c>
    </row>
    <row r="6" spans="2:5" ht="19" customHeight="1">
      <c r="B6" s="39"/>
      <c r="C6" s="38"/>
      <c r="D6" s="35" t="s">
        <v>134</v>
      </c>
      <c r="E6" s="32"/>
    </row>
    <row r="7" spans="2:5" ht="19" customHeight="1">
      <c r="B7" s="34">
        <f>MAX($B$2:B6) + 1</f>
        <v>4</v>
      </c>
      <c r="C7" s="38" t="s">
        <v>135</v>
      </c>
      <c r="D7" s="38" t="s">
        <v>136</v>
      </c>
      <c r="E7" s="32" t="str">
        <f t="shared" ref="E7:E14" si="0">HYPERLINK("#'"&amp; $C7 &amp;"'!A1","Click to go to worksheet")</f>
        <v>Click to go to worksheet</v>
      </c>
    </row>
    <row r="8" spans="2:5" ht="19" customHeight="1">
      <c r="B8" s="34">
        <f>MAX($B$2:B7) + 1</f>
        <v>5</v>
      </c>
      <c r="C8" s="38" t="s">
        <v>137</v>
      </c>
      <c r="D8" s="38" t="s">
        <v>138</v>
      </c>
      <c r="E8" s="32" t="str">
        <f t="shared" si="0"/>
        <v>Click to go to worksheet</v>
      </c>
    </row>
    <row r="9" spans="2:5" ht="19" customHeight="1">
      <c r="B9" s="34">
        <f>MAX($B$2:B8) + 1</f>
        <v>6</v>
      </c>
      <c r="C9" s="38" t="s">
        <v>139</v>
      </c>
      <c r="D9" s="38" t="s">
        <v>140</v>
      </c>
      <c r="E9" s="32" t="str">
        <f t="shared" si="0"/>
        <v>Click to go to worksheet</v>
      </c>
    </row>
    <row r="10" spans="2:5" ht="19" customHeight="1">
      <c r="B10" s="34">
        <f>MAX($B$2:B9) + 1</f>
        <v>7</v>
      </c>
      <c r="C10" s="38" t="s">
        <v>141</v>
      </c>
      <c r="D10" s="38" t="s">
        <v>142</v>
      </c>
      <c r="E10" s="37" t="str">
        <f t="shared" si="0"/>
        <v>Click to go to worksheet</v>
      </c>
    </row>
    <row r="11" spans="2:5" ht="19" customHeight="1">
      <c r="B11" s="34">
        <f>MAX($B$2:B10) + 1</f>
        <v>8</v>
      </c>
      <c r="C11" s="33" t="s">
        <v>143</v>
      </c>
      <c r="D11" s="38" t="s">
        <v>144</v>
      </c>
      <c r="E11" s="37" t="str">
        <f t="shared" si="0"/>
        <v>Click to go to worksheet</v>
      </c>
    </row>
    <row r="12" spans="2:5" ht="19" customHeight="1">
      <c r="B12" s="34">
        <f>MAX($B$2:B11) + 1</f>
        <v>9</v>
      </c>
      <c r="C12" s="33" t="s">
        <v>145</v>
      </c>
      <c r="D12" s="33" t="s">
        <v>146</v>
      </c>
      <c r="E12" s="37" t="str">
        <f t="shared" si="0"/>
        <v>Click to go to worksheet</v>
      </c>
    </row>
    <row r="13" spans="2:5" ht="19" customHeight="1">
      <c r="B13" s="34">
        <f>MAX($B$2:B12) + 1</f>
        <v>10</v>
      </c>
      <c r="C13" s="33" t="s">
        <v>147</v>
      </c>
      <c r="D13" s="33" t="s">
        <v>148</v>
      </c>
      <c r="E13" s="37" t="str">
        <f t="shared" si="0"/>
        <v>Click to go to worksheet</v>
      </c>
    </row>
    <row r="14" spans="2:5" ht="19" customHeight="1">
      <c r="B14" s="34">
        <f>MAX($B$2:B13) + 1</f>
        <v>11</v>
      </c>
      <c r="C14" s="33" t="s">
        <v>149</v>
      </c>
      <c r="D14" s="33" t="s">
        <v>150</v>
      </c>
      <c r="E14" s="37" t="str">
        <f t="shared" si="0"/>
        <v>Click to go to worksheet</v>
      </c>
    </row>
    <row r="15" spans="2:5" ht="19" customHeight="1">
      <c r="B15" s="34"/>
      <c r="C15" s="38"/>
      <c r="D15" s="35" t="s">
        <v>151</v>
      </c>
      <c r="E15" s="32"/>
    </row>
    <row r="16" spans="2:5" ht="19" customHeight="1">
      <c r="B16" s="34">
        <f>MAX($B$2:B15) + 1</f>
        <v>12</v>
      </c>
      <c r="C16" s="38" t="s">
        <v>152</v>
      </c>
      <c r="D16" s="36" t="s">
        <v>153</v>
      </c>
      <c r="E16" s="32" t="str">
        <f t="shared" ref="E16:E21" si="1">HYPERLINK("#'"&amp; $C16 &amp;"'!A1","Click to go to worksheet")</f>
        <v>Click to go to worksheet</v>
      </c>
    </row>
    <row r="17" spans="2:5" ht="19" customHeight="1">
      <c r="B17" s="34">
        <f>MAX($B$2:B16) + 1</f>
        <v>13</v>
      </c>
      <c r="C17" s="38" t="s">
        <v>154</v>
      </c>
      <c r="D17" s="36" t="s">
        <v>155</v>
      </c>
      <c r="E17" s="32" t="str">
        <f t="shared" si="1"/>
        <v>Click to go to worksheet</v>
      </c>
    </row>
    <row r="18" spans="2:5" ht="19" customHeight="1">
      <c r="B18" s="34">
        <f>MAX($B$2:B17) + 1</f>
        <v>14</v>
      </c>
      <c r="C18" s="38" t="s">
        <v>156</v>
      </c>
      <c r="D18" s="36" t="s">
        <v>157</v>
      </c>
      <c r="E18" s="32" t="str">
        <f t="shared" si="1"/>
        <v>Click to go to worksheet</v>
      </c>
    </row>
    <row r="19" spans="2:5" ht="19" customHeight="1">
      <c r="B19" s="34">
        <f>MAX($B$2:B18) + 1</f>
        <v>15</v>
      </c>
      <c r="C19" s="38" t="s">
        <v>158</v>
      </c>
      <c r="D19" s="36" t="s">
        <v>159</v>
      </c>
      <c r="E19" s="32" t="str">
        <f t="shared" si="1"/>
        <v>Click to go to worksheet</v>
      </c>
    </row>
    <row r="20" spans="2:5" ht="19" customHeight="1">
      <c r="B20" s="34">
        <f>MAX($B$2:B19) + 1</f>
        <v>16</v>
      </c>
      <c r="C20" s="38" t="s">
        <v>160</v>
      </c>
      <c r="D20" s="36" t="s">
        <v>161</v>
      </c>
      <c r="E20" s="32" t="str">
        <f t="shared" si="1"/>
        <v>Click to go to worksheet</v>
      </c>
    </row>
    <row r="21" spans="2:5" ht="19" customHeight="1">
      <c r="B21" s="34">
        <f>MAX($B$2:B20) + 1</f>
        <v>17</v>
      </c>
      <c r="C21" s="38" t="s">
        <v>162</v>
      </c>
      <c r="D21" s="33" t="s">
        <v>163</v>
      </c>
      <c r="E21" s="32" t="str">
        <f t="shared" si="1"/>
        <v>Click to go to worksheet</v>
      </c>
    </row>
    <row r="22" spans="2:5" ht="19" customHeight="1">
      <c r="B22" s="34">
        <f>MAX($B$2:B21) + 1</f>
        <v>18</v>
      </c>
      <c r="C22" s="38" t="s">
        <v>164</v>
      </c>
      <c r="D22" s="33" t="s">
        <v>165</v>
      </c>
      <c r="E22" s="32" t="str">
        <f t="shared" ref="E22:E43" si="2">HYPERLINK("#'"&amp; $C22 &amp;"'!A1","Click to go to worksheet")</f>
        <v>Click to go to worksheet</v>
      </c>
    </row>
    <row r="23" spans="2:5" ht="19" customHeight="1">
      <c r="B23" s="34">
        <f>MAX($B$2:B22) + 1</f>
        <v>19</v>
      </c>
      <c r="C23" s="38" t="s">
        <v>166</v>
      </c>
      <c r="D23" s="33" t="s">
        <v>167</v>
      </c>
      <c r="E23" s="32" t="str">
        <f t="shared" si="2"/>
        <v>Click to go to worksheet</v>
      </c>
    </row>
    <row r="24" spans="2:5" ht="19" customHeight="1">
      <c r="B24" s="34">
        <f>MAX($B$2:B23) + 1</f>
        <v>20</v>
      </c>
      <c r="C24" s="38" t="s">
        <v>168</v>
      </c>
      <c r="D24" s="33" t="s">
        <v>169</v>
      </c>
      <c r="E24" s="32" t="str">
        <f t="shared" si="2"/>
        <v>Click to go to worksheet</v>
      </c>
    </row>
    <row r="25" spans="2:5" ht="19" customHeight="1">
      <c r="B25" s="34">
        <f>MAX($B$2:B24) + 1</f>
        <v>21</v>
      </c>
      <c r="C25" s="38" t="s">
        <v>170</v>
      </c>
      <c r="D25" s="33" t="s">
        <v>171</v>
      </c>
      <c r="E25" s="32" t="str">
        <f t="shared" si="2"/>
        <v>Click to go to worksheet</v>
      </c>
    </row>
    <row r="26" spans="2:5" ht="19" customHeight="1">
      <c r="B26" s="34">
        <f>MAX($B$2:B25) + 1</f>
        <v>22</v>
      </c>
      <c r="C26" s="38" t="s">
        <v>172</v>
      </c>
      <c r="D26" s="33" t="s">
        <v>173</v>
      </c>
      <c r="E26" s="37" t="str">
        <f t="shared" si="2"/>
        <v>Click to go to worksheet</v>
      </c>
    </row>
    <row r="27" spans="2:5" ht="19" customHeight="1">
      <c r="B27" s="34">
        <f>MAX($B$2:B26) + 1</f>
        <v>23</v>
      </c>
      <c r="C27" s="38" t="s">
        <v>174</v>
      </c>
      <c r="D27" s="33" t="s">
        <v>175</v>
      </c>
      <c r="E27" s="37" t="str">
        <f t="shared" si="2"/>
        <v>Click to go to worksheet</v>
      </c>
    </row>
    <row r="28" spans="2:5" ht="19" customHeight="1">
      <c r="B28" s="34">
        <f>MAX($B$2:B27) + 1</f>
        <v>24</v>
      </c>
      <c r="C28" s="38" t="s">
        <v>176</v>
      </c>
      <c r="D28" s="33" t="s">
        <v>177</v>
      </c>
      <c r="E28" s="37" t="str">
        <f t="shared" si="2"/>
        <v>Click to go to worksheet</v>
      </c>
    </row>
    <row r="29" spans="2:5" ht="19" customHeight="1">
      <c r="B29" s="34">
        <f>MAX($B$2:B28) + 1</f>
        <v>25</v>
      </c>
      <c r="C29" s="38" t="s">
        <v>178</v>
      </c>
      <c r="D29" s="33" t="s">
        <v>179</v>
      </c>
      <c r="E29" s="37" t="str">
        <f t="shared" si="2"/>
        <v>Click to go to worksheet</v>
      </c>
    </row>
    <row r="30" spans="2:5" ht="19" customHeight="1">
      <c r="B30" s="34">
        <f>MAX($B$2:B29) + 1</f>
        <v>26</v>
      </c>
      <c r="C30" s="38" t="s">
        <v>180</v>
      </c>
      <c r="D30" s="33" t="s">
        <v>179</v>
      </c>
      <c r="E30" s="37" t="str">
        <f>HYPERLINK("#'"&amp; $C30 &amp;"'!A1","Click to go to worksheet")</f>
        <v>Click to go to worksheet</v>
      </c>
    </row>
    <row r="31" spans="2:5" ht="19" customHeight="1">
      <c r="B31" s="34">
        <f>MAX($B$2:B30) + 1</f>
        <v>27</v>
      </c>
      <c r="C31" s="33" t="s">
        <v>181</v>
      </c>
      <c r="D31" s="33" t="s">
        <v>179</v>
      </c>
      <c r="E31" s="37" t="str">
        <f>HYPERLINK("#'"&amp; $C31 &amp;"'!A1","Click to go to worksheet")</f>
        <v>Click to go to worksheet</v>
      </c>
    </row>
    <row r="32" spans="2:5" ht="19" customHeight="1">
      <c r="B32" s="34">
        <f>MAX($B$2:B31) + 1</f>
        <v>28</v>
      </c>
      <c r="C32" s="38" t="s">
        <v>182</v>
      </c>
      <c r="D32" s="33" t="s">
        <v>183</v>
      </c>
      <c r="E32" s="37" t="str">
        <f>HYPERLINK("#'"&amp; $C32 &amp;"'!A1","Click to go to worksheet")</f>
        <v>Click to go to worksheet</v>
      </c>
    </row>
    <row r="33" spans="2:5" ht="19" customHeight="1">
      <c r="B33" s="39"/>
      <c r="C33" s="38"/>
      <c r="D33" s="35" t="s">
        <v>184</v>
      </c>
      <c r="E33" s="37" t="str">
        <f>HYPERLINK("#'"&amp; $C33 &amp;"'!A1","Click to go to worksheet")</f>
        <v>Click to go to worksheet</v>
      </c>
    </row>
    <row r="34" spans="2:5" ht="19" customHeight="1">
      <c r="B34" s="34">
        <f>MAX($B$2:B33) + 1</f>
        <v>29</v>
      </c>
      <c r="C34" s="33" t="s">
        <v>185</v>
      </c>
      <c r="D34" s="33" t="s">
        <v>186</v>
      </c>
      <c r="E34" s="37" t="str">
        <f t="shared" si="2"/>
        <v>Click to go to worksheet</v>
      </c>
    </row>
    <row r="35" spans="2:5" ht="19" customHeight="1">
      <c r="B35" s="34">
        <f>MAX($B$2:B34) + 1</f>
        <v>30</v>
      </c>
      <c r="C35" s="33" t="s">
        <v>187</v>
      </c>
      <c r="D35" s="33" t="s">
        <v>188</v>
      </c>
      <c r="E35" s="37" t="str">
        <f t="shared" si="2"/>
        <v>Click to go to worksheet</v>
      </c>
    </row>
    <row r="36" spans="2:5" ht="19" customHeight="1">
      <c r="B36" s="34">
        <f>MAX($B$2:B35) + 1</f>
        <v>31</v>
      </c>
      <c r="C36" s="33" t="s">
        <v>189</v>
      </c>
      <c r="D36" s="33" t="s">
        <v>190</v>
      </c>
      <c r="E36" s="37" t="str">
        <f t="shared" si="2"/>
        <v>Click to go to worksheet</v>
      </c>
    </row>
    <row r="37" spans="2:5" ht="19" customHeight="1">
      <c r="B37" s="34">
        <f>MAX($B$2:B36) + 1</f>
        <v>32</v>
      </c>
      <c r="C37" s="33" t="s">
        <v>191</v>
      </c>
      <c r="D37" s="33" t="s">
        <v>192</v>
      </c>
      <c r="E37" s="37" t="str">
        <f t="shared" si="2"/>
        <v>Click to go to worksheet</v>
      </c>
    </row>
    <row r="38" spans="2:5" ht="19" customHeight="1">
      <c r="B38" s="34">
        <f>MAX($B$2:B37) + 1</f>
        <v>33</v>
      </c>
      <c r="C38" s="33" t="s">
        <v>193</v>
      </c>
      <c r="D38" s="33" t="s">
        <v>194</v>
      </c>
      <c r="E38" s="37" t="str">
        <f t="shared" si="2"/>
        <v>Click to go to worksheet</v>
      </c>
    </row>
    <row r="39" spans="2:5" ht="19" customHeight="1">
      <c r="B39" s="34">
        <f>MAX($B$2:B38) + 1</f>
        <v>34</v>
      </c>
      <c r="C39" s="33" t="s">
        <v>195</v>
      </c>
      <c r="D39" s="33" t="s">
        <v>196</v>
      </c>
      <c r="E39" s="37" t="str">
        <f t="shared" si="2"/>
        <v>Click to go to worksheet</v>
      </c>
    </row>
    <row r="40" spans="2:5" ht="19" customHeight="1">
      <c r="B40" s="34">
        <f>MAX($B$2:B39) + 1</f>
        <v>35</v>
      </c>
      <c r="C40" s="33" t="s">
        <v>197</v>
      </c>
      <c r="D40" s="33" t="s">
        <v>196</v>
      </c>
      <c r="E40" s="37" t="str">
        <f t="shared" si="2"/>
        <v>Click to go to worksheet</v>
      </c>
    </row>
    <row r="41" spans="2:5" ht="19" customHeight="1">
      <c r="B41" s="39"/>
      <c r="C41" s="38"/>
      <c r="D41" s="35" t="s">
        <v>198</v>
      </c>
      <c r="E41" s="37" t="str">
        <f t="shared" si="2"/>
        <v>Click to go to worksheet</v>
      </c>
    </row>
    <row r="42" spans="2:5" ht="19" customHeight="1">
      <c r="B42" s="34">
        <f>MAX($B$2:B41) + 1</f>
        <v>36</v>
      </c>
      <c r="C42" s="33" t="s">
        <v>199</v>
      </c>
      <c r="D42" s="36" t="s">
        <v>200</v>
      </c>
      <c r="E42" s="37" t="str">
        <f t="shared" si="2"/>
        <v>Click to go to worksheet</v>
      </c>
    </row>
    <row r="43" spans="2:5" ht="19" customHeight="1">
      <c r="B43" s="34">
        <f>MAX($B$2:B42) + 1</f>
        <v>37</v>
      </c>
      <c r="C43" s="33" t="s">
        <v>201</v>
      </c>
      <c r="D43" s="36" t="s">
        <v>202</v>
      </c>
      <c r="E43" s="37" t="str">
        <f t="shared" si="2"/>
        <v>Click to go to worksheet</v>
      </c>
    </row>
    <row r="44" spans="2:5" ht="19" customHeight="1">
      <c r="B44" s="34">
        <f>MAX($B$2:B43) + 1</f>
        <v>38</v>
      </c>
      <c r="C44" s="33" t="s">
        <v>203</v>
      </c>
      <c r="D44" s="36" t="s">
        <v>204</v>
      </c>
      <c r="E44" s="37" t="str">
        <f t="shared" ref="E44:E50" si="3">HYPERLINK("#'"&amp; $C44 &amp;"'!A1","Click to go to worksheet")</f>
        <v>Click to go to worksheet</v>
      </c>
    </row>
    <row r="45" spans="2:5" ht="19" customHeight="1">
      <c r="B45" s="34">
        <f>MAX($B$2:B44) + 1</f>
        <v>39</v>
      </c>
      <c r="C45" s="33" t="s">
        <v>205</v>
      </c>
      <c r="D45" s="36" t="s">
        <v>206</v>
      </c>
      <c r="E45" s="32" t="str">
        <f t="shared" si="3"/>
        <v>Click to go to worksheet</v>
      </c>
    </row>
    <row r="46" spans="2:5" ht="19" customHeight="1">
      <c r="B46" s="34">
        <f>MAX($B$2:B45) + 1</f>
        <v>40</v>
      </c>
      <c r="C46" s="33" t="s">
        <v>207</v>
      </c>
      <c r="D46" s="36" t="s">
        <v>208</v>
      </c>
      <c r="E46" s="32" t="str">
        <f t="shared" si="3"/>
        <v>Click to go to worksheet</v>
      </c>
    </row>
    <row r="47" spans="2:5" ht="19" customHeight="1">
      <c r="B47" s="34">
        <f>MAX($B$2:B46) + 1</f>
        <v>41</v>
      </c>
      <c r="C47" s="33" t="s">
        <v>209</v>
      </c>
      <c r="D47" s="36" t="s">
        <v>210</v>
      </c>
      <c r="E47" s="32" t="str">
        <f t="shared" si="3"/>
        <v>Click to go to worksheet</v>
      </c>
    </row>
    <row r="48" spans="2:5" ht="19" customHeight="1">
      <c r="B48" s="34">
        <f>MAX($B$2:B47) + 1</f>
        <v>42</v>
      </c>
      <c r="C48" s="33" t="s">
        <v>211</v>
      </c>
      <c r="D48" s="36" t="s">
        <v>212</v>
      </c>
      <c r="E48" s="32" t="str">
        <f t="shared" si="3"/>
        <v>Click to go to worksheet</v>
      </c>
    </row>
    <row r="49" spans="2:5" ht="19" customHeight="1">
      <c r="B49" s="34">
        <f>MAX($B$2:B48) + 1</f>
        <v>43</v>
      </c>
      <c r="C49" s="33" t="s">
        <v>213</v>
      </c>
      <c r="D49" s="36" t="s">
        <v>214</v>
      </c>
      <c r="E49" s="32" t="str">
        <f t="shared" si="3"/>
        <v>Click to go to worksheet</v>
      </c>
    </row>
    <row r="50" spans="2:5" ht="19" customHeight="1">
      <c r="B50" s="34">
        <f>MAX($B$2:B49) + 1</f>
        <v>44</v>
      </c>
      <c r="C50" s="33" t="s">
        <v>215</v>
      </c>
      <c r="D50" s="36" t="s">
        <v>216</v>
      </c>
      <c r="E50" s="32" t="str">
        <f t="shared" si="3"/>
        <v>Click to go to worksheet</v>
      </c>
    </row>
    <row r="51" spans="2:5" ht="19" customHeight="1">
      <c r="B51" s="34">
        <f>MAX($B$2:B50) + 1</f>
        <v>45</v>
      </c>
      <c r="C51" s="33" t="s">
        <v>217</v>
      </c>
      <c r="D51" s="33" t="s">
        <v>218</v>
      </c>
      <c r="E51" s="37" t="str">
        <f t="shared" ref="E51:E57" si="4">HYPERLINK("#'"&amp; $C51 &amp;"'!A1","Click to go to worksheet")</f>
        <v>Click to go to worksheet</v>
      </c>
    </row>
    <row r="52" spans="2:5" ht="19" customHeight="1">
      <c r="B52" s="34">
        <f>MAX($B$2:B51) + 1</f>
        <v>46</v>
      </c>
      <c r="C52" s="33" t="s">
        <v>219</v>
      </c>
      <c r="D52" s="33" t="s">
        <v>220</v>
      </c>
      <c r="E52" s="37" t="str">
        <f t="shared" si="4"/>
        <v>Click to go to worksheet</v>
      </c>
    </row>
    <row r="53" spans="2:5" ht="19" customHeight="1">
      <c r="B53" s="34">
        <f>MAX($B$2:B52) + 1</f>
        <v>47</v>
      </c>
      <c r="C53" s="33" t="s">
        <v>221</v>
      </c>
      <c r="D53" s="33" t="s">
        <v>222</v>
      </c>
      <c r="E53" s="37" t="str">
        <f t="shared" si="4"/>
        <v>Click to go to worksheet</v>
      </c>
    </row>
    <row r="54" spans="2:5" ht="19" customHeight="1">
      <c r="B54" s="34">
        <f>MAX($B$2:B53) + 1</f>
        <v>48</v>
      </c>
      <c r="C54" s="33" t="s">
        <v>223</v>
      </c>
      <c r="D54" s="33" t="s">
        <v>224</v>
      </c>
      <c r="E54" s="37" t="str">
        <f t="shared" si="4"/>
        <v>Click to go to worksheet</v>
      </c>
    </row>
    <row r="55" spans="2:5" ht="19" customHeight="1">
      <c r="B55" s="34">
        <f>MAX($B$2:B54) + 1</f>
        <v>49</v>
      </c>
      <c r="C55" s="33" t="s">
        <v>225</v>
      </c>
      <c r="D55" s="33" t="s">
        <v>226</v>
      </c>
      <c r="E55" s="37" t="str">
        <f t="shared" si="4"/>
        <v>Click to go to worksheet</v>
      </c>
    </row>
    <row r="56" spans="2:5" ht="19" customHeight="1">
      <c r="B56" s="34">
        <f>MAX($B$2:B55) + 1</f>
        <v>50</v>
      </c>
      <c r="C56" s="33" t="s">
        <v>227</v>
      </c>
      <c r="D56" s="33" t="s">
        <v>228</v>
      </c>
      <c r="E56" s="37" t="str">
        <f t="shared" si="4"/>
        <v>Click to go to worksheet</v>
      </c>
    </row>
    <row r="57" spans="2:5" ht="19" customHeight="1">
      <c r="B57" s="34">
        <f>MAX($B$2:B56) + 1</f>
        <v>51</v>
      </c>
      <c r="C57" s="33" t="s">
        <v>229</v>
      </c>
      <c r="D57" s="33" t="s">
        <v>230</v>
      </c>
      <c r="E57" s="37" t="str">
        <f t="shared" si="4"/>
        <v>Click to go to worksheet</v>
      </c>
    </row>
    <row r="58" spans="2:5" ht="19" customHeight="1"/>
    <row r="59" spans="2:5" ht="19" customHeight="1"/>
    <row r="60" spans="2:5" ht="19" customHeight="1"/>
    <row r="61" spans="2:5" ht="19" customHeight="1"/>
    <row r="62" spans="2:5" ht="19" customHeight="1"/>
    <row r="63" spans="2:5" ht="19" customHeight="1"/>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60D86-B58F-42F9-A62D-0C53D9A159CF}">
  <sheetPr>
    <tabColor theme="0" tint="-0.14999847407452621"/>
    <pageSetUpPr autoPageBreaks="0"/>
  </sheetPr>
  <dimension ref="A1:A3"/>
  <sheetViews>
    <sheetView workbookViewId="0"/>
  </sheetViews>
  <sheetFormatPr defaultColWidth="9.23046875" defaultRowHeight="13.5"/>
  <sheetData>
    <row r="1" spans="1:1" s="2" customFormat="1" ht="32.15" customHeight="1">
      <c r="A1" s="1"/>
    </row>
    <row r="2" spans="1:1" s="2" customFormat="1" ht="23.15" customHeight="1">
      <c r="A2" s="3"/>
    </row>
    <row r="3" spans="1:1" s="2" customFormat="1" ht="27" customHeight="1">
      <c r="A3" s="4"/>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99D7-3B4F-48B0-8202-EF03E88B5B42}">
  <sheetPr>
    <tabColor theme="0" tint="-0.14999847407452621"/>
    <pageSetUpPr autoPageBreaks="0"/>
  </sheetPr>
  <dimension ref="A2:E65"/>
  <sheetViews>
    <sheetView workbookViewId="0">
      <selection activeCell="C33" sqref="C33"/>
    </sheetView>
  </sheetViews>
  <sheetFormatPr defaultRowHeight="13.5"/>
  <cols>
    <col min="1" max="1" width="7.84375" customWidth="1"/>
    <col min="2" max="2" width="27" style="6" customWidth="1"/>
    <col min="3" max="3" width="30.4609375" style="6" bestFit="1" customWidth="1"/>
    <col min="4" max="4" width="45.23046875" customWidth="1"/>
    <col min="5" max="5" width="11" bestFit="1" customWidth="1"/>
  </cols>
  <sheetData>
    <row r="2" spans="1:5">
      <c r="A2" s="10" t="s">
        <v>136</v>
      </c>
      <c r="B2" s="52"/>
      <c r="C2" s="52"/>
      <c r="D2" s="10"/>
      <c r="E2" s="10"/>
    </row>
    <row r="3" spans="1:5" ht="27">
      <c r="A3" s="51" t="s">
        <v>17</v>
      </c>
      <c r="B3" s="50" t="s">
        <v>231</v>
      </c>
      <c r="C3" s="50" t="s">
        <v>232</v>
      </c>
      <c r="D3" s="49" t="s">
        <v>233</v>
      </c>
      <c r="E3" s="48" t="s">
        <v>234</v>
      </c>
    </row>
    <row r="4" spans="1:5">
      <c r="A4" s="34" t="s">
        <v>21</v>
      </c>
      <c r="B4" s="16" t="s">
        <v>235</v>
      </c>
      <c r="C4" s="16" t="s">
        <v>19</v>
      </c>
      <c r="D4" s="38" t="s">
        <v>19</v>
      </c>
      <c r="E4" s="47" t="s">
        <v>22</v>
      </c>
    </row>
    <row r="5" spans="1:5">
      <c r="A5" s="34" t="s">
        <v>21</v>
      </c>
      <c r="B5" s="16" t="s">
        <v>59</v>
      </c>
      <c r="C5" s="16" t="s">
        <v>23</v>
      </c>
      <c r="D5" s="38" t="s">
        <v>23</v>
      </c>
      <c r="E5" s="47" t="s">
        <v>25</v>
      </c>
    </row>
    <row r="6" spans="1:5">
      <c r="A6" s="34" t="s">
        <v>21</v>
      </c>
      <c r="B6" s="16" t="s">
        <v>53</v>
      </c>
      <c r="C6" s="16" t="s">
        <v>26</v>
      </c>
      <c r="D6" s="38" t="s">
        <v>26</v>
      </c>
      <c r="E6" s="47" t="s">
        <v>28</v>
      </c>
    </row>
    <row r="7" spans="1:5">
      <c r="A7" s="34" t="s">
        <v>31</v>
      </c>
      <c r="B7" s="16" t="s">
        <v>236</v>
      </c>
      <c r="C7" s="16" t="s">
        <v>29</v>
      </c>
      <c r="D7" s="38" t="s">
        <v>29</v>
      </c>
      <c r="E7" s="47" t="s">
        <v>237</v>
      </c>
    </row>
    <row r="8" spans="1:5">
      <c r="A8" s="34" t="s">
        <v>35</v>
      </c>
      <c r="B8" s="16" t="s">
        <v>33</v>
      </c>
      <c r="C8" s="16" t="s">
        <v>33</v>
      </c>
      <c r="D8" s="16" t="s">
        <v>33</v>
      </c>
      <c r="E8" s="15" t="s">
        <v>36</v>
      </c>
    </row>
    <row r="9" spans="1:5">
      <c r="A9" s="34" t="s">
        <v>35</v>
      </c>
      <c r="B9" s="38" t="s">
        <v>37</v>
      </c>
      <c r="C9" s="38" t="s">
        <v>37</v>
      </c>
      <c r="D9" s="16" t="s">
        <v>38</v>
      </c>
      <c r="E9" s="15" t="s">
        <v>40</v>
      </c>
    </row>
    <row r="10" spans="1:5">
      <c r="A10" s="34" t="s">
        <v>35</v>
      </c>
      <c r="B10" s="38" t="s">
        <v>37</v>
      </c>
      <c r="C10" s="38" t="s">
        <v>37</v>
      </c>
      <c r="D10" s="16" t="s">
        <v>41</v>
      </c>
      <c r="E10" s="15" t="s">
        <v>42</v>
      </c>
    </row>
    <row r="11" spans="1:5" ht="12.75" customHeight="1">
      <c r="A11" s="34" t="s">
        <v>35</v>
      </c>
      <c r="B11" s="38" t="s">
        <v>235</v>
      </c>
      <c r="C11" s="38" t="s">
        <v>43</v>
      </c>
      <c r="D11" s="16" t="s">
        <v>44</v>
      </c>
      <c r="E11" s="15" t="s">
        <v>46</v>
      </c>
    </row>
    <row r="12" spans="1:5" ht="12.75" customHeight="1">
      <c r="A12" s="34" t="s">
        <v>35</v>
      </c>
      <c r="B12" s="38" t="s">
        <v>235</v>
      </c>
      <c r="C12" s="38" t="s">
        <v>43</v>
      </c>
      <c r="D12" s="16" t="s">
        <v>47</v>
      </c>
      <c r="E12" s="15" t="s">
        <v>48</v>
      </c>
    </row>
    <row r="13" spans="1:5" ht="12.75" customHeight="1">
      <c r="A13" s="34" t="s">
        <v>35</v>
      </c>
      <c r="B13" s="38" t="s">
        <v>235</v>
      </c>
      <c r="C13" s="38" t="s">
        <v>43</v>
      </c>
      <c r="D13" s="16" t="s">
        <v>49</v>
      </c>
      <c r="E13" s="15" t="s">
        <v>50</v>
      </c>
    </row>
    <row r="14" spans="1:5" ht="12.75" customHeight="1">
      <c r="A14" s="34" t="s">
        <v>35</v>
      </c>
      <c r="B14" s="38" t="s">
        <v>235</v>
      </c>
      <c r="C14" s="38" t="s">
        <v>43</v>
      </c>
      <c r="D14" s="16" t="s">
        <v>51</v>
      </c>
      <c r="E14" s="15" t="s">
        <v>52</v>
      </c>
    </row>
    <row r="15" spans="1:5">
      <c r="A15" s="34" t="s">
        <v>35</v>
      </c>
      <c r="B15" s="38" t="s">
        <v>53</v>
      </c>
      <c r="C15" s="38" t="s">
        <v>53</v>
      </c>
      <c r="D15" s="16" t="s">
        <v>54</v>
      </c>
      <c r="E15" s="15" t="s">
        <v>56</v>
      </c>
    </row>
    <row r="16" spans="1:5">
      <c r="A16" s="34" t="s">
        <v>35</v>
      </c>
      <c r="B16" s="38" t="s">
        <v>53</v>
      </c>
      <c r="C16" s="38" t="s">
        <v>53</v>
      </c>
      <c r="D16" s="16" t="s">
        <v>57</v>
      </c>
      <c r="E16" s="15" t="s">
        <v>58</v>
      </c>
    </row>
    <row r="17" spans="1:5" ht="14.15" customHeight="1">
      <c r="A17" s="34" t="s">
        <v>35</v>
      </c>
      <c r="B17" s="38" t="s">
        <v>59</v>
      </c>
      <c r="C17" s="38" t="s">
        <v>59</v>
      </c>
      <c r="D17" s="16" t="s">
        <v>60</v>
      </c>
      <c r="E17" s="15" t="s">
        <v>62</v>
      </c>
    </row>
    <row r="18" spans="1:5">
      <c r="A18" s="34" t="s">
        <v>35</v>
      </c>
      <c r="B18" s="38" t="s">
        <v>64</v>
      </c>
      <c r="C18" s="38" t="s">
        <v>64</v>
      </c>
      <c r="D18" s="16" t="s">
        <v>63</v>
      </c>
      <c r="E18" s="15" t="s">
        <v>64</v>
      </c>
    </row>
    <row r="19" spans="1:5">
      <c r="A19" s="34" t="s">
        <v>35</v>
      </c>
      <c r="B19" s="38" t="s">
        <v>65</v>
      </c>
      <c r="C19" s="38" t="s">
        <v>65</v>
      </c>
      <c r="D19" s="16" t="s">
        <v>66</v>
      </c>
      <c r="E19" s="15" t="s">
        <v>68</v>
      </c>
    </row>
    <row r="20" spans="1:5">
      <c r="A20" s="34" t="s">
        <v>35</v>
      </c>
      <c r="B20" s="38" t="s">
        <v>65</v>
      </c>
      <c r="C20" s="38" t="s">
        <v>65</v>
      </c>
      <c r="D20" s="16" t="s">
        <v>69</v>
      </c>
      <c r="E20" s="15" t="s">
        <v>70</v>
      </c>
    </row>
    <row r="21" spans="1:5">
      <c r="A21" s="34" t="s">
        <v>35</v>
      </c>
      <c r="B21" s="38" t="s">
        <v>65</v>
      </c>
      <c r="C21" s="38" t="s">
        <v>65</v>
      </c>
      <c r="D21" s="16" t="s">
        <v>71</v>
      </c>
      <c r="E21" s="15" t="s">
        <v>72</v>
      </c>
    </row>
    <row r="22" spans="1:5">
      <c r="A22" s="34" t="s">
        <v>76</v>
      </c>
      <c r="B22" s="38" t="s">
        <v>73</v>
      </c>
      <c r="C22" s="38" t="s">
        <v>73</v>
      </c>
      <c r="D22" s="38" t="s">
        <v>74</v>
      </c>
      <c r="E22" s="47" t="s">
        <v>77</v>
      </c>
    </row>
    <row r="23" spans="1:5">
      <c r="A23" s="34" t="s">
        <v>76</v>
      </c>
      <c r="B23" s="38" t="s">
        <v>73</v>
      </c>
      <c r="C23" s="38" t="s">
        <v>73</v>
      </c>
      <c r="D23" s="38" t="s">
        <v>78</v>
      </c>
      <c r="E23" s="47" t="s">
        <v>79</v>
      </c>
    </row>
    <row r="24" spans="1:5">
      <c r="A24" s="34" t="s">
        <v>76</v>
      </c>
      <c r="B24" s="38" t="s">
        <v>73</v>
      </c>
      <c r="C24" s="38" t="s">
        <v>73</v>
      </c>
      <c r="D24" s="38" t="s">
        <v>80</v>
      </c>
      <c r="E24" s="47" t="s">
        <v>81</v>
      </c>
    </row>
    <row r="25" spans="1:5">
      <c r="A25" s="34" t="s">
        <v>76</v>
      </c>
      <c r="B25" s="38" t="s">
        <v>73</v>
      </c>
      <c r="C25" s="38" t="s">
        <v>73</v>
      </c>
      <c r="D25" s="38" t="s">
        <v>82</v>
      </c>
      <c r="E25" s="47" t="s">
        <v>83</v>
      </c>
    </row>
    <row r="26" spans="1:5">
      <c r="A26" s="34" t="s">
        <v>76</v>
      </c>
      <c r="B26" s="16" t="s">
        <v>84</v>
      </c>
      <c r="C26" s="16" t="s">
        <v>84</v>
      </c>
      <c r="D26" s="38" t="s">
        <v>84</v>
      </c>
      <c r="E26" s="47" t="s">
        <v>86</v>
      </c>
    </row>
    <row r="27" spans="1:5">
      <c r="A27" s="34" t="s">
        <v>76</v>
      </c>
      <c r="B27" s="38" t="s">
        <v>238</v>
      </c>
      <c r="C27" s="38" t="s">
        <v>87</v>
      </c>
      <c r="D27" s="38" t="s">
        <v>239</v>
      </c>
      <c r="E27" s="47" t="s">
        <v>90</v>
      </c>
    </row>
    <row r="28" spans="1:5">
      <c r="A28" s="34" t="s">
        <v>76</v>
      </c>
      <c r="B28" s="38" t="s">
        <v>238</v>
      </c>
      <c r="C28" s="38" t="s">
        <v>87</v>
      </c>
      <c r="D28" s="38" t="s">
        <v>240</v>
      </c>
      <c r="E28" s="47" t="s">
        <v>92</v>
      </c>
    </row>
    <row r="29" spans="1:5">
      <c r="A29" s="46" t="s">
        <v>76</v>
      </c>
      <c r="B29" s="13" t="s">
        <v>93</v>
      </c>
      <c r="C29" s="13" t="s">
        <v>93</v>
      </c>
      <c r="D29" s="45" t="s">
        <v>93</v>
      </c>
      <c r="E29" s="44" t="s">
        <v>96</v>
      </c>
    </row>
    <row r="56" spans="3:3">
      <c r="C56"/>
    </row>
    <row r="57" spans="3:3">
      <c r="C57"/>
    </row>
    <row r="58" spans="3:3">
      <c r="C58"/>
    </row>
    <row r="59" spans="3:3">
      <c r="C59"/>
    </row>
    <row r="60" spans="3:3">
      <c r="C60"/>
    </row>
    <row r="61" spans="3:3">
      <c r="C61"/>
    </row>
    <row r="62" spans="3:3">
      <c r="C62"/>
    </row>
    <row r="63" spans="3:3">
      <c r="C63"/>
    </row>
    <row r="64" spans="3:3">
      <c r="C64"/>
    </row>
    <row r="65" spans="3:3">
      <c r="C65"/>
    </row>
  </sheetData>
  <conditionalFormatting sqref="D4:D29">
    <cfRule type="duplicateValues" dxfId="19" priority="1"/>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EC3D0-D972-441F-8DC4-AF1E60E7ADB3}">
  <sheetPr>
    <tabColor theme="0" tint="-0.14999847407452621"/>
  </sheetPr>
  <dimension ref="A2:F17"/>
  <sheetViews>
    <sheetView workbookViewId="0">
      <selection activeCell="B1" sqref="B1:B1048576"/>
    </sheetView>
  </sheetViews>
  <sheetFormatPr defaultRowHeight="13.5"/>
  <cols>
    <col min="2" max="2" width="54" customWidth="1"/>
    <col min="3" max="6" width="13.4609375" customWidth="1"/>
  </cols>
  <sheetData>
    <row r="2" spans="1:6">
      <c r="A2" t="s">
        <v>138</v>
      </c>
    </row>
    <row r="3" spans="1:6" ht="31.5">
      <c r="A3" s="296" t="s">
        <v>17</v>
      </c>
      <c r="B3" s="153" t="s">
        <v>241</v>
      </c>
      <c r="C3" s="153" t="s">
        <v>242</v>
      </c>
      <c r="D3" s="153" t="s">
        <v>243</v>
      </c>
      <c r="E3" s="153" t="s">
        <v>244</v>
      </c>
      <c r="F3" s="154" t="s">
        <v>245</v>
      </c>
    </row>
    <row r="4" spans="1:6">
      <c r="A4" s="297" t="str">
        <f>LEFT(Applications[[#This Row],[Re-opener Mechanism]],2)</f>
        <v>ET</v>
      </c>
      <c r="B4" s="311" t="s">
        <v>103</v>
      </c>
      <c r="C4" s="298" cm="1">
        <f t="array" ref="C4">COUNTA(_xlfn.UNIQUE(IF(Project_Data[Reopener_mechanism]=Applications[[#This Row],[Re-opener Mechanism]],Project_Data[Sector_Group],"")))-1</f>
        <v>3</v>
      </c>
      <c r="D4" s="298">
        <f>COUNTIFS(Project_Data[Reopener_mechanism],Applications[[#This Row],[Re-opener Mechanism]], Project_Data[Submitted_Cost_Submission],"&gt;0")</f>
        <v>24</v>
      </c>
      <c r="E4" s="298" t="str">
        <f>IF(Applications[[#This Row],[Sector]]="ED","2020/21","2018/19")</f>
        <v>2018/19</v>
      </c>
      <c r="F4" s="299">
        <f>SUMIF(Project_Data[Reopener_mechanism],Applications[[#This Row],[Re-opener Mechanism]],Project_Data[Submitted_Cost_Submission])</f>
        <v>294.13381999999996</v>
      </c>
    </row>
    <row r="5" spans="1:6">
      <c r="A5" s="297" t="str">
        <f>LEFT(Applications[[#This Row],[Re-opener Mechanism]],2)</f>
        <v>ET</v>
      </c>
      <c r="B5" s="311" t="s">
        <v>110</v>
      </c>
      <c r="C5" s="298" cm="1">
        <f t="array" ref="C5">COUNTA(_xlfn.UNIQUE(IF(Project_Data[Reopener_mechanism]=Applications[[#This Row],[Re-opener Mechanism]],Project_Data[Sector_Group],"")))-1</f>
        <v>1</v>
      </c>
      <c r="D5" s="298">
        <f>COUNTIFS(Project_Data[Reopener_mechanism],Applications[[#This Row],[Re-opener Mechanism]], Project_Data[Submitted_Cost_Submission],"&gt;0")</f>
        <v>1</v>
      </c>
      <c r="E5" s="298" t="str">
        <f>IF(Applications[[#This Row],[Sector]]="ED","2020/21","2018/19")</f>
        <v>2018/19</v>
      </c>
      <c r="F5" s="299">
        <f>SUMIF(Project_Data[Reopener_mechanism],Applications[[#This Row],[Re-opener Mechanism]],Project_Data[Submitted_Cost_Submission])</f>
        <v>104.6153</v>
      </c>
    </row>
    <row r="6" spans="1:6">
      <c r="A6" s="297" t="str">
        <f>LEFT(Applications[[#This Row],[Re-opener Mechanism]],2)</f>
        <v>ED</v>
      </c>
      <c r="B6" s="311" t="s">
        <v>113</v>
      </c>
      <c r="C6" s="298" cm="1">
        <f t="array" ref="C6">COUNTA(_xlfn.UNIQUE(IF(Project_Data[Reopener_mechanism]=Applications[[#This Row],[Re-opener Mechanism]],Project_Data[Sector_Group],"")))-1</f>
        <v>1</v>
      </c>
      <c r="D6" s="298">
        <f>COUNTIFS(Project_Data[Reopener_mechanism],Applications[[#This Row],[Re-opener Mechanism]], Project_Data[Submitted_Cost_Submission],"&gt;0")</f>
        <v>6</v>
      </c>
      <c r="E6" s="298" t="str">
        <f>IF(Applications[[#This Row],[Sector]]="ED","2020/21","2018/19")</f>
        <v>2020/21</v>
      </c>
      <c r="F6" s="299">
        <f>SUMIF(Project_Data[Reopener_mechanism],Applications[[#This Row],[Re-opener Mechanism]],Project_Data[Submitted_Cost_Submission])</f>
        <v>158.59</v>
      </c>
    </row>
    <row r="7" spans="1:6">
      <c r="A7" s="297" t="str">
        <f>LEFT(Applications[[#This Row],[Re-opener Mechanism]],2)</f>
        <v>ED</v>
      </c>
      <c r="B7" s="311" t="s">
        <v>108</v>
      </c>
      <c r="C7" s="298" cm="1">
        <f t="array" ref="C7">COUNTA(_xlfn.UNIQUE(IF(Project_Data[Reopener_mechanism]=Applications[[#This Row],[Re-opener Mechanism]],Project_Data[Sector_Group],"")))-1</f>
        <v>1</v>
      </c>
      <c r="D7" s="298">
        <f>COUNTIFS(Project_Data[Reopener_mechanism],Applications[[#This Row],[Re-opener Mechanism]], Project_Data[Submitted_Cost_Submission],"&gt;0")</f>
        <v>1</v>
      </c>
      <c r="E7" s="298" t="str">
        <f>IF(Applications[[#This Row],[Sector]]="ED","2020/21","2018/19")</f>
        <v>2020/21</v>
      </c>
      <c r="F7" s="299">
        <f>SUMIF(Project_Data[Reopener_mechanism],Applications[[#This Row],[Re-opener Mechanism]],Project_Data[Submitted_Cost_Submission])</f>
        <v>201.6</v>
      </c>
    </row>
    <row r="8" spans="1:6">
      <c r="A8" s="297" t="str">
        <f>LEFT(Applications[[#This Row],[Re-opener Mechanism]],2)</f>
        <v>GD</v>
      </c>
      <c r="B8" s="311" t="s">
        <v>115</v>
      </c>
      <c r="C8" s="298" cm="1">
        <f t="array" ref="C8">COUNTA(_xlfn.UNIQUE(IF(Project_Data[Reopener_mechanism]=Applications[[#This Row],[Re-opener Mechanism]],Project_Data[Sector_Group],"")))-1</f>
        <v>4</v>
      </c>
      <c r="D8" s="298">
        <f>COUNTIFS(Project_Data[Reopener_mechanism],Applications[[#This Row],[Re-opener Mechanism]], Project_Data[Submitted_Cost_Submission],"&gt;0")</f>
        <v>8</v>
      </c>
      <c r="E8" s="298" t="str">
        <f>IF(Applications[[#This Row],[Sector]]="ED","2020/21","2018/19")</f>
        <v>2018/19</v>
      </c>
      <c r="F8" s="299">
        <f>SUMIF(Project_Data[Reopener_mechanism],Applications[[#This Row],[Re-opener Mechanism]],Project_Data[Submitted_Cost_Submission])</f>
        <v>122.22058000000001</v>
      </c>
    </row>
    <row r="9" spans="1:6">
      <c r="A9" s="297" t="str">
        <f>LEFT(Applications[[#This Row],[Re-opener Mechanism]],2)</f>
        <v>GD</v>
      </c>
      <c r="B9" s="311" t="s">
        <v>120</v>
      </c>
      <c r="C9" s="298" cm="1">
        <f t="array" ref="C9">COUNTA(_xlfn.UNIQUE(IF(Project_Data[Reopener_mechanism]=Applications[[#This Row],[Re-opener Mechanism]],Project_Data[Sector_Group],"")))-1</f>
        <v>4</v>
      </c>
      <c r="D9" s="298">
        <f>COUNTIFS(Project_Data[Reopener_mechanism],Applications[[#This Row],[Re-opener Mechanism]], Project_Data[Submitted_Cost_Submission],"&gt;0")</f>
        <v>4</v>
      </c>
      <c r="E9" s="298" t="str">
        <f>IF(Applications[[#This Row],[Sector]]="ED","2020/21","2018/19")</f>
        <v>2018/19</v>
      </c>
      <c r="F9" s="299">
        <f>SUMIF(Project_Data[Reopener_mechanism],Applications[[#This Row],[Re-opener Mechanism]],Project_Data[Submitted_Cost_Submission])</f>
        <v>72.396000000000001</v>
      </c>
    </row>
    <row r="10" spans="1:6">
      <c r="A10" s="300" t="str">
        <f>LEFT(Applications[[#This Row],[Re-opener Mechanism]],2)</f>
        <v>GD</v>
      </c>
      <c r="B10" s="312" t="s">
        <v>125</v>
      </c>
      <c r="C10" s="301" cm="1">
        <f t="array" ref="C10">COUNTA(_xlfn.UNIQUE(IF(Project_Data[Reopener_mechanism]=Applications[[#This Row],[Re-opener Mechanism]],Project_Data[Sector_Group],"")))-1</f>
        <v>1</v>
      </c>
      <c r="D10" s="301">
        <f>COUNTIFS(Project_Data[Reopener_mechanism],Applications[[#This Row],[Re-opener Mechanism]], Project_Data[Submitted_Cost_Submission],"&gt;0")</f>
        <v>4</v>
      </c>
      <c r="E10" s="301" t="str">
        <f>IF(Applications[[#This Row],[Sector]]="ED","2020/21","2018/19")</f>
        <v>2018/19</v>
      </c>
      <c r="F10" s="302">
        <f>SUMIF(Project_Data[Reopener_mechanism],Applications[[#This Row],[Re-opener Mechanism]],Project_Data[Submitted_Cost_Submission])</f>
        <v>20.48</v>
      </c>
    </row>
    <row r="12" spans="1:6">
      <c r="D12" s="141"/>
      <c r="F12" s="141"/>
    </row>
    <row r="13" spans="1:6" ht="31.5">
      <c r="A13" s="58" t="s">
        <v>17</v>
      </c>
      <c r="B13" s="58"/>
      <c r="C13" s="58" t="s">
        <v>246</v>
      </c>
      <c r="D13" s="58" t="s">
        <v>243</v>
      </c>
      <c r="E13" s="58" t="s">
        <v>247</v>
      </c>
      <c r="F13" s="58" t="s">
        <v>245</v>
      </c>
    </row>
    <row r="14" spans="1:6">
      <c r="A14" s="298" t="s">
        <v>21</v>
      </c>
      <c r="B14" s="298"/>
      <c r="C14" s="303" t="str">
        <f>IF(ABS(Table3_DDs_Summary!C7-D14)&lt;0.001,"OK","Error")</f>
        <v>OK</v>
      </c>
      <c r="D14" s="298">
        <f>SUMIF(Applications[Sector],$A14,Applications[No. of projects])</f>
        <v>25</v>
      </c>
      <c r="E14" s="303" t="str">
        <f>IF(ABS(Table3_DDs_Summary!D7-F14)&lt;0.001,"OK","Error")</f>
        <v>OK</v>
      </c>
      <c r="F14" s="304">
        <f>SUMIF(Applications[Sector],$A14,Applications[Company forecast cost
£m])</f>
        <v>398.74911999999995</v>
      </c>
    </row>
    <row r="15" spans="1:6">
      <c r="A15" s="298" t="s">
        <v>35</v>
      </c>
      <c r="B15" s="298"/>
      <c r="C15" s="303" t="str">
        <f>IF(ABS(Table3_DDs_Summary!C16-D15)&lt;0.001,"OK","Error")</f>
        <v>OK</v>
      </c>
      <c r="D15" s="298">
        <f>SUMIF(Applications[Sector],$A15,Applications[No. of projects])</f>
        <v>7</v>
      </c>
      <c r="E15" s="303" t="str">
        <f>IF(ABS(Table3_DDs_Summary!D16-F15)&lt;0.001,"OK","Error")</f>
        <v>OK</v>
      </c>
      <c r="F15" s="304">
        <f>SUMIF(Applications[Sector],$A15,Applications[Company forecast cost
£m])</f>
        <v>360.19</v>
      </c>
    </row>
    <row r="16" spans="1:6">
      <c r="A16" s="298" t="s">
        <v>76</v>
      </c>
      <c r="B16" s="298"/>
      <c r="C16" s="303" t="str">
        <f>IF(ABS(Table3_DDs_Summary!C21-D16)&lt;0.001,"OK","Error")</f>
        <v>OK</v>
      </c>
      <c r="D16" s="298">
        <f>SUMIF(Applications[Sector],$A16,Applications[No. of projects])</f>
        <v>16</v>
      </c>
      <c r="E16" s="303" t="str">
        <f>IF(ABS(Table3_DDs_Summary!D21-F16)&lt;0.001,"OK","Error")</f>
        <v>OK</v>
      </c>
      <c r="F16" s="304">
        <f>SUMIF(Applications[Sector],$A16,Applications[Company forecast cost
£m])</f>
        <v>215.09657999999999</v>
      </c>
    </row>
    <row r="17" spans="6:6">
      <c r="F17" s="304">
        <f>SUM(F14:F16)</f>
        <v>974.03570000000002</v>
      </c>
    </row>
  </sheetData>
  <conditionalFormatting sqref="C14:C16">
    <cfRule type="cellIs" dxfId="18" priority="2" operator="equal">
      <formula>"OK"</formula>
    </cfRule>
  </conditionalFormatting>
  <conditionalFormatting sqref="D12 F12">
    <cfRule type="cellIs" dxfId="17" priority="4" operator="equal">
      <formula>"OK"</formula>
    </cfRule>
  </conditionalFormatting>
  <conditionalFormatting sqref="E14:E16">
    <cfRule type="cellIs" dxfId="16" priority="1" operator="equal">
      <formula>"OK"</formula>
    </cfRule>
  </conditionalFormatting>
  <dataValidations count="1">
    <dataValidation type="list" allowBlank="1" showInputMessage="1" showErrorMessage="1" sqref="B4:B10" xr:uid="{AEB33505-0DC4-4D7F-92CB-C41659C6CE8A}">
      <formula1>list_Mechanisms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CE045-D43D-4361-BB70-88A3D79AD232}">
  <sheetPr>
    <tabColor theme="0" tint="-0.14999847407452621"/>
    <pageSetUpPr autoPageBreaks="0"/>
  </sheetPr>
  <dimension ref="A2:S22"/>
  <sheetViews>
    <sheetView workbookViewId="0">
      <selection activeCell="B26" sqref="B26"/>
    </sheetView>
  </sheetViews>
  <sheetFormatPr defaultRowHeight="13.5"/>
  <cols>
    <col min="1" max="1" width="5.84375" customWidth="1"/>
    <col min="2" max="2" width="17" customWidth="1"/>
    <col min="3" max="3" width="9.765625" customWidth="1"/>
    <col min="4" max="8" width="9.15234375" customWidth="1"/>
    <col min="9" max="9" width="3.84375" bestFit="1" customWidth="1"/>
    <col min="11" max="17" width="13.23046875" customWidth="1"/>
  </cols>
  <sheetData>
    <row r="2" spans="1:19">
      <c r="A2" t="s">
        <v>248</v>
      </c>
      <c r="J2" t="s">
        <v>249</v>
      </c>
    </row>
    <row r="3" spans="1:19" ht="52.5">
      <c r="A3" s="77" t="s">
        <v>17</v>
      </c>
      <c r="B3" s="78" t="s">
        <v>232</v>
      </c>
      <c r="C3" s="78" t="s">
        <v>250</v>
      </c>
      <c r="D3" s="79" t="s">
        <v>251</v>
      </c>
      <c r="E3" s="78" t="s">
        <v>252</v>
      </c>
      <c r="F3" s="78" t="s">
        <v>253</v>
      </c>
      <c r="G3" s="78" t="s">
        <v>254</v>
      </c>
      <c r="H3" s="80" t="s">
        <v>255</v>
      </c>
      <c r="J3" s="167" t="s">
        <v>256</v>
      </c>
      <c r="K3" s="167" t="s">
        <v>113</v>
      </c>
      <c r="L3" s="167" t="s">
        <v>108</v>
      </c>
      <c r="M3" s="167" t="s">
        <v>110</v>
      </c>
      <c r="N3" s="167" t="s">
        <v>103</v>
      </c>
      <c r="O3" s="167" t="s">
        <v>115</v>
      </c>
      <c r="P3" s="167" t="s">
        <v>125</v>
      </c>
      <c r="Q3" s="167" t="s">
        <v>120</v>
      </c>
    </row>
    <row r="4" spans="1:19" ht="21">
      <c r="A4" s="75" t="s">
        <v>21</v>
      </c>
      <c r="B4" s="56" t="s">
        <v>19</v>
      </c>
      <c r="C4" s="164">
        <f>COUNTIFS(Project_Data[Sector_Group],DD_Summary[[#This Row],[Sector Group]],Project_Data[Submitted_Cost_Submission],"&gt;0")</f>
        <v>13</v>
      </c>
      <c r="D4" s="160" cm="1">
        <f t="array" ref="D4">SUMIF(Project_Data[[Sector_Group]:[Sector_Group]],DD_Summary[[#This Row],[Sector Group]:[Sector Group]],Project_Data[Submitted_Cost_Submission])</f>
        <v>204.76488000000001</v>
      </c>
      <c r="E4" s="164" cm="1">
        <f t="array" ref="E4">SUMIF(Project_Data[[Sector_Group]:[Sector_Group]],DD_Summary[[#This Row],[Sector Group]:[Sector Group]],Project_Data[Approved_DD])</f>
        <v>11</v>
      </c>
      <c r="F4" s="164">
        <f>DD_Summary[[#This Row],[Company Requested Number of Projects]]-DD_Summary[[#This Row],[Ofgem’s DD - Projects Approved*]]</f>
        <v>2</v>
      </c>
      <c r="G4" s="160">
        <f>DD_Summary[[#This Row],[Ofgem’s DD - Allowances £m]]-DD_Summary[[#This Row],[Company Requested Forecast costs £m]]</f>
        <v>-82.098520000000022</v>
      </c>
      <c r="H4" s="160" cm="1">
        <f t="array" ref="H4">SUMIF(Project_Data[[Sector_Group]:[Sector_Group]],DD_Summary[[#This Row],[Sector Group]:[Sector Group]],Project_Data[Allowance_Draft])</f>
        <v>122.66635999999998</v>
      </c>
      <c r="I4" s="84" t="str">
        <f>IF(ABS(DD_Summary[[#This Row],[Ofgem’s DD - Cost adjustment £m]]-J4)&lt;0.0005,"OK","Error")</f>
        <v>OK</v>
      </c>
      <c r="J4" s="168">
        <f t="shared" ref="J4:J21" si="0">SUM(K4:Q4)</f>
        <v>-82.098520000000008</v>
      </c>
      <c r="K4" s="168" t="s">
        <v>257</v>
      </c>
      <c r="L4" s="168" t="s">
        <v>257</v>
      </c>
      <c r="M4" s="168" t="s">
        <v>257</v>
      </c>
      <c r="N4" s="168">
        <f>SUMIF(ET_MSIP_Projects[Sector Group],DD_Summary[[#This Row],[Sector Group]],ET_MSIP_Projects[Ofgem’s DD* - Cost adjustment £m])</f>
        <v>-82.098520000000008</v>
      </c>
      <c r="O4" s="168" t="s">
        <v>257</v>
      </c>
      <c r="P4" s="168" t="s">
        <v>257</v>
      </c>
      <c r="Q4" s="168" t="s">
        <v>257</v>
      </c>
      <c r="S4" s="174"/>
    </row>
    <row r="5" spans="1:19" ht="21">
      <c r="A5" s="75" t="s">
        <v>21</v>
      </c>
      <c r="B5" s="56" t="s">
        <v>23</v>
      </c>
      <c r="C5" s="164">
        <f>COUNTIFS(Project_Data[Sector_Group],DD_Summary[[#This Row],[Sector Group]],Project_Data[Submitted_Cost_Submission],"&gt;0")</f>
        <v>5</v>
      </c>
      <c r="D5" s="160">
        <f>SUMIF(Project_Data[[Sector_Group]:[Sector_Group]],DD_Summary[[#This Row],[Sector Group]],Project_Data[Submitted_Cost_Submission])</f>
        <v>112.52771</v>
      </c>
      <c r="E5" s="164" cm="1">
        <f t="array" ref="E5">SUMIF(Project_Data[[Sector_Group]:[Sector_Group]],DD_Summary[[#This Row],[Sector Group]:[Sector Group]],Project_Data[Approved_DD])</f>
        <v>5</v>
      </c>
      <c r="F5" s="164">
        <f>DD_Summary[[#This Row],[Company Requested Number of Projects]]-DD_Summary[[#This Row],[Ofgem’s DD - Projects Approved*]]</f>
        <v>0</v>
      </c>
      <c r="G5" s="160">
        <f>DD_Summary[[#This Row],[Ofgem’s DD - Allowances £m]]-DD_Summary[[#This Row],[Company Requested Forecast costs £m]]</f>
        <v>-27.518769999999989</v>
      </c>
      <c r="H5" s="161" cm="1">
        <f t="array" ref="H5">SUMIF(Project_Data[[Sector_Group]:[Sector_Group]],DD_Summary[[#This Row],[Sector Group]:[Sector Group]],Project_Data[Allowance_Draft])</f>
        <v>85.00894000000001</v>
      </c>
      <c r="I5" s="84" t="str">
        <f>IF(ABS(DD_Summary[[#This Row],[Ofgem’s DD - Cost adjustment £m]]-J5)&lt;0.0005,"OK","Error")</f>
        <v>OK</v>
      </c>
      <c r="J5" s="168">
        <f t="shared" si="0"/>
        <v>-27.519240000000003</v>
      </c>
      <c r="K5" s="168" t="s">
        <v>257</v>
      </c>
      <c r="L5" s="168" t="s">
        <v>257</v>
      </c>
      <c r="M5" s="168">
        <f>TableET13_Gremista_DD_Adjustm!C12</f>
        <v>-25.266000000000005</v>
      </c>
      <c r="N5" s="168">
        <f>SUMIF(ET_MSIP_Projects[Sector Group],DD_Summary[[#This Row],[Sector Group]],ET_MSIP_Projects[Ofgem’s DD* - Cost adjustment £m])</f>
        <v>-2.2532399999999999</v>
      </c>
      <c r="O5" s="168" t="s">
        <v>257</v>
      </c>
      <c r="P5" s="168" t="s">
        <v>257</v>
      </c>
      <c r="Q5" s="168" t="s">
        <v>257</v>
      </c>
      <c r="S5" s="174"/>
    </row>
    <row r="6" spans="1:19">
      <c r="A6" s="75" t="s">
        <v>21</v>
      </c>
      <c r="B6" s="56" t="s">
        <v>26</v>
      </c>
      <c r="C6" s="164">
        <f>COUNTIFS(Project_Data[Sector_Group],DD_Summary[[#This Row],[Sector Group]],Project_Data[Submitted_Cost_Submission],"&gt;0")</f>
        <v>7</v>
      </c>
      <c r="D6" s="160">
        <f>SUMIF(Project_Data[[Sector_Group]:[Sector_Group]],DD_Summary[[#This Row],[Sector Group]],Project_Data[Submitted_Cost_Submission])</f>
        <v>81.456530000000001</v>
      </c>
      <c r="E6" s="164" cm="1">
        <f t="array" ref="E6">SUMIF(Project_Data[[Sector_Group]:[Sector_Group]],DD_Summary[[#This Row],[Sector Group]:[Sector Group]],Project_Data[Approved_DD])</f>
        <v>7</v>
      </c>
      <c r="F6" s="164">
        <f>DD_Summary[[#This Row],[Company Requested Number of Projects]]-DD_Summary[[#This Row],[Ofgem’s DD - Projects Approved*]]</f>
        <v>0</v>
      </c>
      <c r="G6" s="160">
        <f>DD_Summary[[#This Row],[Ofgem’s DD - Allowances £m]]-DD_Summary[[#This Row],[Company Requested Forecast costs £m]]</f>
        <v>-7.1932499999999919</v>
      </c>
      <c r="H6" s="161" cm="1">
        <f t="array" ref="H6">SUMIF(Project_Data[[Sector_Group]:[Sector_Group]],DD_Summary[[#This Row],[Sector Group]:[Sector Group]],Project_Data[Allowance_Draft])</f>
        <v>74.263280000000009</v>
      </c>
      <c r="I6" s="84" t="str">
        <f>IF(ABS(DD_Summary[[#This Row],[Ofgem’s DD - Cost adjustment £m]]-J6)&lt;0.0005,"OK","Error")</f>
        <v>OK</v>
      </c>
      <c r="J6" s="168">
        <f t="shared" si="0"/>
        <v>-7.1932500000000026</v>
      </c>
      <c r="K6" s="168" t="s">
        <v>257</v>
      </c>
      <c r="L6" s="168" t="s">
        <v>257</v>
      </c>
      <c r="M6" s="168" t="s">
        <v>257</v>
      </c>
      <c r="N6" s="168">
        <f>SUMIF(ET_MSIP_Projects[Sector Group],DD_Summary[[#This Row],[Sector Group]],ET_MSIP_Projects[Ofgem’s DD* - Cost adjustment £m])</f>
        <v>-7.1932500000000026</v>
      </c>
      <c r="O6" s="168" t="s">
        <v>257</v>
      </c>
      <c r="P6" s="168" t="s">
        <v>257</v>
      </c>
      <c r="Q6" s="168" t="s">
        <v>257</v>
      </c>
      <c r="S6" s="174"/>
    </row>
    <row r="7" spans="1:19">
      <c r="A7" s="75" t="s">
        <v>21</v>
      </c>
      <c r="B7" s="54" t="s">
        <v>256</v>
      </c>
      <c r="C7" s="165">
        <f>SUM(C4:C6)</f>
        <v>25</v>
      </c>
      <c r="D7" s="162">
        <f>SUM(D4:D6)</f>
        <v>398.74912</v>
      </c>
      <c r="E7" s="165">
        <f t="shared" ref="E7:H7" si="1">SUM(E4:E6)</f>
        <v>23</v>
      </c>
      <c r="F7" s="165">
        <f t="shared" si="1"/>
        <v>2</v>
      </c>
      <c r="G7" s="162">
        <f t="shared" si="1"/>
        <v>-116.81054</v>
      </c>
      <c r="H7" s="162">
        <f t="shared" si="1"/>
        <v>281.93858</v>
      </c>
      <c r="I7" s="84" t="str">
        <f>IF(ABS(DD_Summary[[#This Row],[Ofgem’s DD - Cost adjustment £m]]-J7)&lt;0.0005,"OK","Error")</f>
        <v>OK</v>
      </c>
      <c r="J7" s="187">
        <f t="shared" si="0"/>
        <v>-116.81101000000002</v>
      </c>
      <c r="K7" s="187">
        <f t="shared" ref="K7:Q7" si="2">SUM(K4:K6)</f>
        <v>0</v>
      </c>
      <c r="L7" s="187">
        <f t="shared" si="2"/>
        <v>0</v>
      </c>
      <c r="M7" s="187">
        <f t="shared" si="2"/>
        <v>-25.266000000000005</v>
      </c>
      <c r="N7" s="187">
        <f t="shared" si="2"/>
        <v>-91.545010000000019</v>
      </c>
      <c r="O7" s="187">
        <f t="shared" si="2"/>
        <v>0</v>
      </c>
      <c r="P7" s="187">
        <f t="shared" si="2"/>
        <v>0</v>
      </c>
      <c r="Q7" s="187">
        <f t="shared" si="2"/>
        <v>0</v>
      </c>
      <c r="S7" s="184"/>
    </row>
    <row r="8" spans="1:19" ht="21">
      <c r="A8" s="75" t="s">
        <v>31</v>
      </c>
      <c r="B8" s="56" t="s">
        <v>29</v>
      </c>
      <c r="C8" s="164">
        <f>COUNTIFS(Project_Data[Sector_Group],DD_Summary[[#This Row],[Sector Group]],Project_Data[Submitted_Cost_Submission],"&gt;0")</f>
        <v>0</v>
      </c>
      <c r="D8" s="160">
        <f>SUMIF(Project_Data[[Sector_Group]:[Sector_Group]],DD_Summary[[#This Row],[Sector Group]],Project_Data[Submitted_Cost_Submission])</f>
        <v>0</v>
      </c>
      <c r="E8" s="164" cm="1">
        <f t="array" ref="E8">SUMIF(Project_Data[[Sector_Group]:[Sector_Group]],DD_Summary[[#This Row],[Sector Group]:[Sector Group]],Project_Data[Approved_DD])</f>
        <v>0</v>
      </c>
      <c r="F8" s="164">
        <f>DD_Summary[[#This Row],[Company Requested Number of Projects]]-DD_Summary[[#This Row],[Ofgem’s DD - Projects Approved*]]</f>
        <v>0</v>
      </c>
      <c r="G8" s="160">
        <f>DD_Summary[[#This Row],[Ofgem’s DD - Allowances £m]]-DD_Summary[[#This Row],[Company Requested Forecast costs £m]]</f>
        <v>0</v>
      </c>
      <c r="H8" s="161" cm="1">
        <f t="array" ref="H8">SUMIF(Project_Data[[Sector_Group]:[Sector_Group]],DD_Summary[[#This Row],[Sector Group]:[Sector Group]],Project_Data[Allowance_Draft])</f>
        <v>0</v>
      </c>
      <c r="I8" s="84" t="str">
        <f>IF(ABS(DD_Summary[[#This Row],[Ofgem’s DD - Cost adjustment £m]]-J8)&lt;0.0005,"OK","Error")</f>
        <v>OK</v>
      </c>
      <c r="J8" s="168">
        <f t="shared" si="0"/>
        <v>0</v>
      </c>
      <c r="K8" s="168" t="s">
        <v>257</v>
      </c>
      <c r="L8" s="168" t="s">
        <v>257</v>
      </c>
      <c r="M8" s="168" t="s">
        <v>257</v>
      </c>
      <c r="N8" s="168" t="s">
        <v>257</v>
      </c>
      <c r="O8" s="168" t="s">
        <v>257</v>
      </c>
      <c r="P8" s="168" t="s">
        <v>257</v>
      </c>
      <c r="Q8" s="168" t="s">
        <v>257</v>
      </c>
      <c r="S8" s="173"/>
    </row>
    <row r="9" spans="1:19">
      <c r="A9" s="75" t="s">
        <v>31</v>
      </c>
      <c r="B9" s="54" t="s">
        <v>256</v>
      </c>
      <c r="C9" s="165">
        <f>C8</f>
        <v>0</v>
      </c>
      <c r="D9" s="162">
        <f>D8</f>
        <v>0</v>
      </c>
      <c r="E9" s="165">
        <f t="shared" ref="E9:H9" si="3">E8</f>
        <v>0</v>
      </c>
      <c r="F9" s="165">
        <f t="shared" si="3"/>
        <v>0</v>
      </c>
      <c r="G9" s="162">
        <f t="shared" si="3"/>
        <v>0</v>
      </c>
      <c r="H9" s="162">
        <f t="shared" si="3"/>
        <v>0</v>
      </c>
      <c r="I9" s="84" t="str">
        <f>IF(ABS(DD_Summary[[#This Row],[Ofgem’s DD - Cost adjustment £m]]-J9)&lt;0.0005,"OK","Error")</f>
        <v>OK</v>
      </c>
      <c r="J9" s="187">
        <f t="shared" si="0"/>
        <v>0</v>
      </c>
      <c r="K9" s="187" t="str">
        <f t="shared" ref="K9:Q9" si="4">K8</f>
        <v>N/A</v>
      </c>
      <c r="L9" s="187" t="str">
        <f t="shared" si="4"/>
        <v>N/A</v>
      </c>
      <c r="M9" s="187" t="str">
        <f t="shared" si="4"/>
        <v>N/A</v>
      </c>
      <c r="N9" s="187" t="str">
        <f t="shared" si="4"/>
        <v>N/A</v>
      </c>
      <c r="O9" s="187" t="str">
        <f t="shared" si="4"/>
        <v>N/A</v>
      </c>
      <c r="P9" s="187" t="str">
        <f t="shared" si="4"/>
        <v>N/A</v>
      </c>
      <c r="Q9" s="187" t="str">
        <f t="shared" si="4"/>
        <v>N/A</v>
      </c>
      <c r="S9" s="173"/>
    </row>
    <row r="10" spans="1:19">
      <c r="A10" s="75" t="s">
        <v>35</v>
      </c>
      <c r="B10" s="56" t="s">
        <v>33</v>
      </c>
      <c r="C10" s="164">
        <f>COUNTIF(Project_Data[Sector_Group],DD_Summary[[#This Row],[Sector Group]])</f>
        <v>1</v>
      </c>
      <c r="D10" s="160">
        <f>SUMIF(Project_Data[[Sector_Group]:[Sector_Group]],DD_Summary[[#This Row],[Sector Group]],Project_Data[Submitted_Cost_Submission])</f>
        <v>201.6</v>
      </c>
      <c r="E10" s="164" cm="1">
        <f t="array" ref="E10">SUMIF(Project_Data[[Sector_Group]:[Sector_Group]],DD_Summary[[#This Row],[Sector Group]:[Sector Group]],Project_Data[Approved_DD])</f>
        <v>1</v>
      </c>
      <c r="F10" s="164">
        <f>DD_Summary[[#This Row],[Company Requested Number of Projects]]-DD_Summary[[#This Row],[Ofgem’s DD - Projects Approved*]]</f>
        <v>0</v>
      </c>
      <c r="G10" s="160">
        <f>DD_Summary[[#This Row],[Ofgem’s DD - Allowances £m]]-DD_Summary[[#This Row],[Company Requested Forecast costs £m]]</f>
        <v>-108.49495999999999</v>
      </c>
      <c r="H10" s="161" cm="1">
        <f t="array" ref="H10">SUMIF(Project_Data[[Sector_Group]:[Sector_Group]],DD_Summary[[#This Row],[Sector Group]:[Sector Group]],Project_Data[Allowance_Draft])</f>
        <v>93.105040000000002</v>
      </c>
      <c r="I10" s="84" t="str">
        <f>IF(ABS(DD_Summary[[#This Row],[Ofgem’s DD - Cost adjustment £m]]-J10)&lt;0.0005,"OK","Error")</f>
        <v>OK</v>
      </c>
      <c r="J10" s="168">
        <f t="shared" si="0"/>
        <v>-108.49495908300963</v>
      </c>
      <c r="K10" s="168" t="s">
        <v>257</v>
      </c>
      <c r="L10" s="168">
        <f>TableED5_LRE_DD_Summmary!E13</f>
        <v>-108.49495908300963</v>
      </c>
      <c r="M10" s="168" t="s">
        <v>257</v>
      </c>
      <c r="N10" s="168" t="s">
        <v>257</v>
      </c>
      <c r="O10" s="168" t="s">
        <v>257</v>
      </c>
      <c r="P10" s="168" t="s">
        <v>257</v>
      </c>
      <c r="Q10" s="168" t="s">
        <v>257</v>
      </c>
      <c r="S10" s="174"/>
    </row>
    <row r="11" spans="1:19">
      <c r="A11" s="75" t="s">
        <v>35</v>
      </c>
      <c r="B11" s="56" t="s">
        <v>37</v>
      </c>
      <c r="C11" s="164">
        <f>COUNTIFS(Project_Data[Sector_Group],DD_Summary[[#This Row],[Sector Group]],Project_Data[Submitted_Cost_Submission],"&gt;0")</f>
        <v>0</v>
      </c>
      <c r="D11" s="160">
        <f>SUMIF(Project_Data[[Sector_Group]:[Sector_Group]],DD_Summary[[#This Row],[Sector Group]],Project_Data[Submitted_Cost_Submission])</f>
        <v>0</v>
      </c>
      <c r="E11" s="164" cm="1">
        <f t="array" ref="E11">SUMIF(Project_Data[[Sector_Group]:[Sector_Group]],DD_Summary[[#This Row],[Sector Group]:[Sector Group]],Project_Data[Approved_DD])</f>
        <v>0</v>
      </c>
      <c r="F11" s="164">
        <f>DD_Summary[[#This Row],[Company Requested Number of Projects]]-DD_Summary[[#This Row],[Ofgem’s DD - Projects Approved*]]</f>
        <v>0</v>
      </c>
      <c r="G11" s="160">
        <f>DD_Summary[[#This Row],[Ofgem’s DD - Allowances £m]]-DD_Summary[[#This Row],[Company Requested Forecast costs £m]]</f>
        <v>0</v>
      </c>
      <c r="H11" s="161" cm="1">
        <f t="array" ref="H11">SUMIF(Project_Data[[Sector_Group]:[Sector_Group]],DD_Summary[[#This Row],[Sector Group]:[Sector Group]],Project_Data[Allowance_Draft])</f>
        <v>0</v>
      </c>
      <c r="I11" s="84" t="str">
        <f>IF(ABS(DD_Summary[[#This Row],[Ofgem’s DD - Cost adjustment £m]]-J11)&lt;0.0005,"OK","Error")</f>
        <v>OK</v>
      </c>
      <c r="J11" s="168">
        <f t="shared" si="0"/>
        <v>0</v>
      </c>
      <c r="K11" s="168" t="s">
        <v>257</v>
      </c>
      <c r="L11" s="168" t="s">
        <v>257</v>
      </c>
      <c r="M11" s="168" t="s">
        <v>257</v>
      </c>
      <c r="N11" s="168" t="s">
        <v>257</v>
      </c>
      <c r="O11" s="168" t="s">
        <v>257</v>
      </c>
      <c r="P11" s="168" t="s">
        <v>257</v>
      </c>
      <c r="Q11" s="168" t="s">
        <v>257</v>
      </c>
      <c r="S11" s="173"/>
    </row>
    <row r="12" spans="1:19" ht="21">
      <c r="A12" s="75" t="s">
        <v>35</v>
      </c>
      <c r="B12" s="56" t="s">
        <v>43</v>
      </c>
      <c r="C12" s="164">
        <f>COUNTIFS(Project_Data[Sector_Group],DD_Summary[[#This Row],[Sector Group]],Project_Data[Submitted_Cost_Submission],"&gt;0")</f>
        <v>0</v>
      </c>
      <c r="D12" s="160">
        <f>SUMIF(Project_Data[[Sector_Group]:[Sector_Group]],DD_Summary[[#This Row],[Sector Group]],Project_Data[Submitted_Cost_Submission])</f>
        <v>0</v>
      </c>
      <c r="E12" s="164" cm="1">
        <f t="array" ref="E12">SUMIF(Project_Data[[Sector_Group]:[Sector_Group]],DD_Summary[[#This Row],[Sector Group]:[Sector Group]],Project_Data[Approved_DD])</f>
        <v>0</v>
      </c>
      <c r="F12" s="164">
        <f>DD_Summary[[#This Row],[Company Requested Number of Projects]]-DD_Summary[[#This Row],[Ofgem’s DD - Projects Approved*]]</f>
        <v>0</v>
      </c>
      <c r="G12" s="160">
        <f>DD_Summary[[#This Row],[Ofgem’s DD - Allowances £m]]-DD_Summary[[#This Row],[Company Requested Forecast costs £m]]</f>
        <v>0</v>
      </c>
      <c r="H12" s="161" cm="1">
        <f t="array" ref="H12">SUMIF(Project_Data[[Sector_Group]:[Sector_Group]],DD_Summary[[#This Row],[Sector Group]:[Sector Group]],Project_Data[Allowance_Draft])</f>
        <v>0</v>
      </c>
      <c r="I12" s="84" t="str">
        <f>IF(ABS(DD_Summary[[#This Row],[Ofgem’s DD - Cost adjustment £m]]-J12)&lt;0.0005,"OK","Error")</f>
        <v>OK</v>
      </c>
      <c r="J12" s="168">
        <f t="shared" si="0"/>
        <v>0</v>
      </c>
      <c r="K12" s="168" t="s">
        <v>257</v>
      </c>
      <c r="L12" s="168" t="s">
        <v>257</v>
      </c>
      <c r="M12" s="168" t="s">
        <v>257</v>
      </c>
      <c r="N12" s="168" t="s">
        <v>257</v>
      </c>
      <c r="O12" s="168" t="s">
        <v>257</v>
      </c>
      <c r="P12" s="168" t="s">
        <v>257</v>
      </c>
      <c r="Q12" s="168" t="s">
        <v>257</v>
      </c>
      <c r="S12" s="173"/>
    </row>
    <row r="13" spans="1:19">
      <c r="A13" s="75" t="s">
        <v>35</v>
      </c>
      <c r="B13" s="56" t="s">
        <v>53</v>
      </c>
      <c r="C13" s="164">
        <f>COUNTIFS(Project_Data[Sector_Group],DD_Summary[[#This Row],[Sector Group]],Project_Data[Submitted_Cost_Submission],"&gt;0")</f>
        <v>0</v>
      </c>
      <c r="D13" s="160">
        <f>SUMIF(Project_Data[[Sector_Group]:[Sector_Group]],DD_Summary[[#This Row],[Sector Group]],Project_Data[Submitted_Cost_Submission])</f>
        <v>0</v>
      </c>
      <c r="E13" s="164" cm="1">
        <f t="array" ref="E13">SUMIF(Project_Data[[Sector_Group]:[Sector_Group]],DD_Summary[[#This Row],[Sector Group]:[Sector Group]],Project_Data[Approved_DD])</f>
        <v>0</v>
      </c>
      <c r="F13" s="164">
        <f>DD_Summary[[#This Row],[Company Requested Number of Projects]]-DD_Summary[[#This Row],[Ofgem’s DD - Projects Approved*]]</f>
        <v>0</v>
      </c>
      <c r="G13" s="160">
        <f>DD_Summary[[#This Row],[Ofgem’s DD - Allowances £m]]-DD_Summary[[#This Row],[Company Requested Forecast costs £m]]</f>
        <v>0</v>
      </c>
      <c r="H13" s="161" cm="1">
        <f t="array" ref="H13">SUMIF(Project_Data[[Sector_Group]:[Sector_Group]],DD_Summary[[#This Row],[Sector Group]:[Sector Group]],Project_Data[Allowance_Draft])</f>
        <v>0</v>
      </c>
      <c r="I13" s="84" t="str">
        <f>IF(ABS(DD_Summary[[#This Row],[Ofgem’s DD - Cost adjustment £m]]-J13)&lt;0.0005,"OK","Error")</f>
        <v>OK</v>
      </c>
      <c r="J13" s="168">
        <f t="shared" si="0"/>
        <v>0</v>
      </c>
      <c r="K13" s="168" t="s">
        <v>257</v>
      </c>
      <c r="L13" s="168" t="s">
        <v>257</v>
      </c>
      <c r="M13" s="168" t="s">
        <v>257</v>
      </c>
      <c r="N13" s="168" t="s">
        <v>257</v>
      </c>
      <c r="O13" s="168" t="s">
        <v>257</v>
      </c>
      <c r="P13" s="168" t="s">
        <v>257</v>
      </c>
      <c r="Q13" s="168" t="s">
        <v>257</v>
      </c>
      <c r="S13" s="173"/>
    </row>
    <row r="14" spans="1:19" ht="21">
      <c r="A14" s="75" t="s">
        <v>35</v>
      </c>
      <c r="B14" s="56" t="s">
        <v>59</v>
      </c>
      <c r="C14" s="164">
        <f>COUNTIFS(Project_Data[Sector_Group],DD_Summary[[#This Row],[Sector Group]],Project_Data[Submitted_Cost_Submission],"&gt;0")</f>
        <v>6</v>
      </c>
      <c r="D14" s="160">
        <f>SUMIF(Project_Data[[Sector_Group]:[Sector_Group]],DD_Summary[[#This Row],[Sector Group]],Project_Data[Submitted_Cost_Submission])</f>
        <v>158.59</v>
      </c>
      <c r="E14" s="164" cm="1">
        <f t="array" ref="E14">SUMIF(Project_Data[[Sector_Group]:[Sector_Group]],DD_Summary[[#This Row],[Sector Group]:[Sector Group]],Project_Data[Approved_DD])</f>
        <v>4</v>
      </c>
      <c r="F14" s="164">
        <f>DD_Summary[[#This Row],[Company Requested Number of Projects]]-DD_Summary[[#This Row],[Ofgem’s DD - Projects Approved*]]</f>
        <v>2</v>
      </c>
      <c r="G14" s="160">
        <f>DD_Summary[[#This Row],[Ofgem’s DD - Allowances £m]]-DD_Summary[[#This Row],[Company Requested Forecast costs £m]]</f>
        <v>-150.70000000000002</v>
      </c>
      <c r="H14" s="161" cm="1">
        <f t="array" ref="H14">SUMIF(Project_Data[[Sector_Group]:[Sector_Group]],DD_Summary[[#This Row],[Sector Group]:[Sector Group]],Project_Data[Allowance_Draft])</f>
        <v>7.89</v>
      </c>
      <c r="I14" s="84" t="str">
        <f>IF(ABS(DD_Summary[[#This Row],[Ofgem’s DD - Cost adjustment £m]]-J14)&lt;0.0005,"OK","Error")</f>
        <v>OK</v>
      </c>
      <c r="J14" s="168">
        <f t="shared" si="0"/>
        <v>-150.70000000000005</v>
      </c>
      <c r="K14" s="168">
        <f>TableED2_HOWSUM_Projects!C10</f>
        <v>-150.70000000000005</v>
      </c>
      <c r="L14" s="168" t="s">
        <v>257</v>
      </c>
      <c r="M14" s="168" t="s">
        <v>257</v>
      </c>
      <c r="N14" s="168" t="s">
        <v>257</v>
      </c>
      <c r="O14" s="168" t="s">
        <v>257</v>
      </c>
      <c r="P14" s="168" t="s">
        <v>257</v>
      </c>
      <c r="Q14" s="168" t="s">
        <v>257</v>
      </c>
      <c r="S14" s="173"/>
    </row>
    <row r="15" spans="1:19">
      <c r="A15" s="75" t="s">
        <v>35</v>
      </c>
      <c r="B15" s="56" t="s">
        <v>65</v>
      </c>
      <c r="C15" s="164">
        <f>COUNTIFS(Project_Data[Sector_Group],DD_Summary[[#This Row],[Sector Group]],Project_Data[Submitted_Cost_Submission],"&gt;0")</f>
        <v>0</v>
      </c>
      <c r="D15" s="160">
        <f>SUMIF(Project_Data[[Sector_Group]:[Sector_Group]],DD_Summary[[#This Row],[Sector Group]],Project_Data[Submitted_Cost_Submission])</f>
        <v>0</v>
      </c>
      <c r="E15" s="164" cm="1">
        <f t="array" ref="E15">SUMIF(Project_Data[[Sector_Group]:[Sector_Group]],DD_Summary[[#This Row],[Sector Group]:[Sector Group]],Project_Data[Approved_DD])</f>
        <v>0</v>
      </c>
      <c r="F15" s="164">
        <f>DD_Summary[[#This Row],[Company Requested Number of Projects]]-DD_Summary[[#This Row],[Ofgem’s DD - Projects Approved*]]</f>
        <v>0</v>
      </c>
      <c r="G15" s="160">
        <f>DD_Summary[[#This Row],[Ofgem’s DD - Allowances £m]]-DD_Summary[[#This Row],[Company Requested Forecast costs £m]]</f>
        <v>0</v>
      </c>
      <c r="H15" s="161" cm="1">
        <f t="array" ref="H15">SUMIF(Project_Data[[Sector_Group]:[Sector_Group]],DD_Summary[[#This Row],[Sector Group]:[Sector Group]],Project_Data[Allowance_Draft])</f>
        <v>0</v>
      </c>
      <c r="I15" s="84" t="str">
        <f>IF(ABS(DD_Summary[[#This Row],[Ofgem’s DD - Cost adjustment £m]]-J15)&lt;0.0005,"OK","Error")</f>
        <v>OK</v>
      </c>
      <c r="J15" s="168">
        <f t="shared" si="0"/>
        <v>0</v>
      </c>
      <c r="K15" s="168" t="s">
        <v>257</v>
      </c>
      <c r="L15" s="168" t="s">
        <v>257</v>
      </c>
      <c r="M15" s="168" t="s">
        <v>257</v>
      </c>
      <c r="N15" s="168" t="s">
        <v>257</v>
      </c>
      <c r="O15" s="168" t="s">
        <v>257</v>
      </c>
      <c r="P15" s="168" t="s">
        <v>257</v>
      </c>
      <c r="Q15" s="168" t="s">
        <v>257</v>
      </c>
      <c r="S15" s="173"/>
    </row>
    <row r="16" spans="1:19">
      <c r="A16" s="75" t="s">
        <v>35</v>
      </c>
      <c r="B16" s="54" t="s">
        <v>256</v>
      </c>
      <c r="C16" s="165">
        <f>SUM(C10:C15)</f>
        <v>7</v>
      </c>
      <c r="D16" s="160">
        <f>SUM(D10:D15)</f>
        <v>360.19</v>
      </c>
      <c r="E16" s="165">
        <f t="shared" ref="E16:H16" si="5">SUM(E10:E15)</f>
        <v>5</v>
      </c>
      <c r="F16" s="165">
        <f t="shared" si="5"/>
        <v>2</v>
      </c>
      <c r="G16" s="162">
        <f t="shared" si="5"/>
        <v>-259.19496000000004</v>
      </c>
      <c r="H16" s="162">
        <f t="shared" si="5"/>
        <v>100.99504</v>
      </c>
      <c r="I16" s="84" t="str">
        <f>IF(ABS(DD_Summary[[#This Row],[Ofgem’s DD - Cost adjustment £m]]-J16)&lt;0.0005,"OK","Error")</f>
        <v>OK</v>
      </c>
      <c r="J16" s="187">
        <f t="shared" si="0"/>
        <v>-259.19495908300968</v>
      </c>
      <c r="K16" s="187">
        <f t="shared" ref="K16:Q16" si="6">SUM(K8:K15)</f>
        <v>-150.70000000000005</v>
      </c>
      <c r="L16" s="187">
        <f t="shared" si="6"/>
        <v>-108.49495908300963</v>
      </c>
      <c r="M16" s="187">
        <f t="shared" si="6"/>
        <v>0</v>
      </c>
      <c r="N16" s="187">
        <f t="shared" si="6"/>
        <v>0</v>
      </c>
      <c r="O16" s="187">
        <f t="shared" si="6"/>
        <v>0</v>
      </c>
      <c r="P16" s="187">
        <f t="shared" si="6"/>
        <v>0</v>
      </c>
      <c r="Q16" s="187">
        <f t="shared" si="6"/>
        <v>0</v>
      </c>
      <c r="S16" s="173"/>
    </row>
    <row r="17" spans="1:19">
      <c r="A17" s="76" t="s">
        <v>76</v>
      </c>
      <c r="B17" s="56" t="s">
        <v>73</v>
      </c>
      <c r="C17" s="164">
        <f>COUNTIFS(Project_Data[Sector_Group],DD_Summary[[#This Row],[Sector Group]],Project_Data[Submitted_Cost_Submission],"&gt;0")</f>
        <v>9</v>
      </c>
      <c r="D17" s="160">
        <f>SUMIF(Project_Data[[Sector_Group]:[Sector_Group]],DD_Summary[[#This Row],[Sector Group]],Project_Data[Submitted_Cost_Submission])</f>
        <v>65.723939999999999</v>
      </c>
      <c r="E17" s="164" cm="1">
        <f t="array" ref="E17">SUMIF(Project_Data[[Sector_Group]:[Sector_Group]],DD_Summary[[#This Row],[Sector Group]:[Sector Group]],Project_Data[Approved_DD])</f>
        <v>8</v>
      </c>
      <c r="F17" s="164">
        <f>DD_Summary[[#This Row],[Company Requested Number of Projects]]-DD_Summary[[#This Row],[Ofgem’s DD - Projects Approved*]]</f>
        <v>1</v>
      </c>
      <c r="G17" s="160">
        <f>DD_Summary[[#This Row],[Ofgem’s DD - Allowances £m]]-DD_Summary[[#This Row],[Company Requested Forecast costs £m]]</f>
        <v>-21.237940000000002</v>
      </c>
      <c r="H17" s="161" cm="1">
        <f t="array" ref="H17">SUMIF(Project_Data[[Sector_Group]:[Sector_Group]],DD_Summary[[#This Row],[Sector Group]:[Sector Group]],Project_Data[Allowance_Draft])</f>
        <v>44.485999999999997</v>
      </c>
      <c r="I17" s="84" t="str">
        <f>IF(ABS(DD_Summary[[#This Row],[Ofgem’s DD - Cost adjustment £m]]-J17)&lt;0.0005,"OK","Error")</f>
        <v>OK</v>
      </c>
      <c r="J17" s="168">
        <f t="shared" si="0"/>
        <v>-21.237940000000002</v>
      </c>
      <c r="K17" s="168" t="s">
        <v>257</v>
      </c>
      <c r="L17" s="168" t="s">
        <v>257</v>
      </c>
      <c r="M17" s="168" t="s">
        <v>257</v>
      </c>
      <c r="N17" s="168" t="s">
        <v>257</v>
      </c>
      <c r="O17" s="168">
        <f>TableGD3_HSE_DD_Summary!C4</f>
        <v>-1.4879399999999983</v>
      </c>
      <c r="P17" s="168">
        <f>TableGD5_NetZero_DD_Summary!C8</f>
        <v>-4.1000000000000014</v>
      </c>
      <c r="Q17" s="168">
        <f>TableGD4_Streetworks_DD_Summary!C4</f>
        <v>-15.65</v>
      </c>
      <c r="S17" s="173"/>
    </row>
    <row r="18" spans="1:19">
      <c r="A18" s="76" t="s">
        <v>76</v>
      </c>
      <c r="B18" s="56" t="s">
        <v>84</v>
      </c>
      <c r="C18" s="164">
        <f>COUNTIFS(Project_Data[Sector_Group],DD_Summary[[#This Row],[Sector Group]],Project_Data[Submitted_Cost_Submission],"&gt;0")</f>
        <v>2</v>
      </c>
      <c r="D18" s="160">
        <f>SUMIF(Project_Data[[Sector_Group]:[Sector_Group]],DD_Summary[[#This Row],[Sector Group]],Project_Data[Submitted_Cost_Submission])</f>
        <v>33.69</v>
      </c>
      <c r="E18" s="164" cm="1">
        <f t="array" ref="E18">SUMIF(Project_Data[[Sector_Group]:[Sector_Group]],DD_Summary[[#This Row],[Sector Group]:[Sector Group]],Project_Data[Approved_DD])</f>
        <v>2</v>
      </c>
      <c r="F18" s="164">
        <f>DD_Summary[[#This Row],[Company Requested Number of Projects]]-DD_Summary[[#This Row],[Ofgem’s DD - Projects Approved*]]</f>
        <v>0</v>
      </c>
      <c r="G18" s="160">
        <f>DD_Summary[[#This Row],[Ofgem’s DD - Allowances £m]]-DD_Summary[[#This Row],[Company Requested Forecast costs £m]]</f>
        <v>-18.566039999999997</v>
      </c>
      <c r="H18" s="161" cm="1">
        <f t="array" ref="H18">SUMIF(Project_Data[[Sector_Group]:[Sector_Group]],DD_Summary[[#This Row],[Sector Group]:[Sector Group]],Project_Data[Allowance_Draft])</f>
        <v>15.12396</v>
      </c>
      <c r="I18" s="84" t="str">
        <f>IF(ABS(DD_Summary[[#This Row],[Ofgem’s DD - Cost adjustment £m]]-J18)&lt;0.0005,"OK","Error")</f>
        <v>OK</v>
      </c>
      <c r="J18" s="168">
        <f t="shared" si="0"/>
        <v>-18.566039999999997</v>
      </c>
      <c r="K18" s="168" t="s">
        <v>257</v>
      </c>
      <c r="L18" s="168" t="s">
        <v>257</v>
      </c>
      <c r="M18" s="168" t="s">
        <v>257</v>
      </c>
      <c r="N18" s="168" t="s">
        <v>257</v>
      </c>
      <c r="O18" s="168">
        <f>TableGD3_HSE_DD_Summary!C5</f>
        <v>-5.214439999999998</v>
      </c>
      <c r="P18" s="168" t="s">
        <v>257</v>
      </c>
      <c r="Q18" s="168">
        <f>TableGD4_Streetworks_DD_Summary!C5</f>
        <v>-13.351599999999999</v>
      </c>
      <c r="S18" s="173"/>
    </row>
    <row r="19" spans="1:19">
      <c r="A19" s="76" t="s">
        <v>76</v>
      </c>
      <c r="B19" s="56" t="s">
        <v>87</v>
      </c>
      <c r="C19" s="164">
        <f>COUNTIFS(Project_Data[Sector_Group],DD_Summary[[#This Row],[Sector Group]],Project_Data[Submitted_Cost_Submission],"&gt;0")</f>
        <v>3</v>
      </c>
      <c r="D19" s="160">
        <f>SUMIF(Project_Data[[Sector_Group]:[Sector_Group]],DD_Summary[[#This Row],[Sector Group]],Project_Data[Submitted_Cost_Submission])</f>
        <v>65.619799999999998</v>
      </c>
      <c r="E19" s="164" cm="1">
        <f t="array" ref="E19">SUMIF(Project_Data[[Sector_Group]:[Sector_Group]],DD_Summary[[#This Row],[Sector Group]:[Sector Group]],Project_Data[Approved_DD])</f>
        <v>3</v>
      </c>
      <c r="F19" s="164">
        <f>DD_Summary[[#This Row],[Company Requested Number of Projects]]-DD_Summary[[#This Row],[Ofgem’s DD - Projects Approved*]]</f>
        <v>0</v>
      </c>
      <c r="G19" s="160">
        <f>DD_Summary[[#This Row],[Ofgem’s DD - Allowances £m]]-DD_Summary[[#This Row],[Company Requested Forecast costs £m]]</f>
        <v>-25.278919999999999</v>
      </c>
      <c r="H19" s="161" cm="1">
        <f t="array" ref="H19">SUMIF(Project_Data[[Sector_Group]:[Sector_Group]],DD_Summary[[#This Row],[Sector Group]:[Sector Group]],Project_Data[Allowance_Draft])</f>
        <v>40.340879999999999</v>
      </c>
      <c r="I19" s="84" t="str">
        <f>IF(ABS(DD_Summary[[#This Row],[Ofgem’s DD - Cost adjustment £m]]-J19)&lt;0.0005,"OK","Error")</f>
        <v>OK</v>
      </c>
      <c r="J19" s="168">
        <f t="shared" si="0"/>
        <v>-25.278920000000006</v>
      </c>
      <c r="K19" s="168" t="s">
        <v>257</v>
      </c>
      <c r="L19" s="168" t="s">
        <v>257</v>
      </c>
      <c r="M19" s="168" t="s">
        <v>257</v>
      </c>
      <c r="N19" s="168" t="s">
        <v>257</v>
      </c>
      <c r="O19" s="168">
        <f>TableGD3_HSE_DD_Summary!C6</f>
        <v>-20.211920000000006</v>
      </c>
      <c r="P19" s="168" t="s">
        <v>257</v>
      </c>
      <c r="Q19" s="168">
        <f>TableGD4_Streetworks_DD_Summary!C6</f>
        <v>-5.0670000000000002</v>
      </c>
      <c r="S19" s="173"/>
    </row>
    <row r="20" spans="1:19">
      <c r="A20" s="76" t="s">
        <v>76</v>
      </c>
      <c r="B20" s="56" t="s">
        <v>93</v>
      </c>
      <c r="C20" s="164">
        <f>COUNTIFS(Project_Data[Sector_Group],DD_Summary[[#This Row],[Sector Group]],Project_Data[Submitted_Cost_Submission],"&gt;0")</f>
        <v>2</v>
      </c>
      <c r="D20" s="160">
        <f>SUMIF(Project_Data[[Sector_Group]:[Sector_Group]],DD_Summary[[#This Row],[Sector Group]],Project_Data[Submitted_Cost_Submission])</f>
        <v>50.062839999999994</v>
      </c>
      <c r="E20" s="164" cm="1">
        <f t="array" ref="E20">SUMIF(Project_Data[[Sector_Group]:[Sector_Group]],DD_Summary[[#This Row],[Sector Group]:[Sector Group]],Project_Data[Approved_DD])</f>
        <v>2</v>
      </c>
      <c r="F20" s="164">
        <f>DD_Summary[[#This Row],[Company Requested Number of Projects]]-DD_Summary[[#This Row],[Ofgem’s DD - Projects Approved*]]</f>
        <v>0</v>
      </c>
      <c r="G20" s="160">
        <f>DD_Summary[[#This Row],[Ofgem’s DD - Allowances £m]]-DD_Summary[[#This Row],[Company Requested Forecast costs £m]]</f>
        <v>-23.485019999999995</v>
      </c>
      <c r="H20" s="161" cm="1">
        <f t="array" ref="H20">SUMIF(Project_Data[[Sector_Group]:[Sector_Group]],DD_Summary[[#This Row],[Sector Group]:[Sector Group]],Project_Data[Allowance_Draft])</f>
        <v>26.577819999999999</v>
      </c>
      <c r="I20" s="84" t="str">
        <f>IF(ABS(DD_Summary[[#This Row],[Ofgem’s DD - Cost adjustment £m]]-J20)&lt;0.0005,"OK","Error")</f>
        <v>OK</v>
      </c>
      <c r="J20" s="168">
        <f t="shared" si="0"/>
        <v>-23.485019999999999</v>
      </c>
      <c r="K20" s="168" t="s">
        <v>257</v>
      </c>
      <c r="L20" s="168" t="s">
        <v>257</v>
      </c>
      <c r="M20" s="168" t="s">
        <v>257</v>
      </c>
      <c r="N20" s="168" t="s">
        <v>257</v>
      </c>
      <c r="O20" s="168">
        <f>TableGD3_HSE_DD_Summary!C7</f>
        <v>-1.0420200000000008</v>
      </c>
      <c r="P20" s="168" t="s">
        <v>257</v>
      </c>
      <c r="Q20" s="168">
        <f>TableGD4_Streetworks_DD_Summary!C7</f>
        <v>-22.442999999999998</v>
      </c>
      <c r="S20" s="173"/>
    </row>
    <row r="21" spans="1:19">
      <c r="A21" s="81" t="s">
        <v>76</v>
      </c>
      <c r="B21" s="82" t="s">
        <v>256</v>
      </c>
      <c r="C21" s="166">
        <f>SUM(C17:C20)</f>
        <v>16</v>
      </c>
      <c r="D21" s="163">
        <f>SUM(D17:D20)</f>
        <v>215.09657999999999</v>
      </c>
      <c r="E21" s="166">
        <f t="shared" ref="E21:H21" si="7">SUM(E17:E20)</f>
        <v>15</v>
      </c>
      <c r="F21" s="166">
        <f t="shared" si="7"/>
        <v>1</v>
      </c>
      <c r="G21" s="163">
        <f t="shared" si="7"/>
        <v>-88.567919999999987</v>
      </c>
      <c r="H21" s="163">
        <f t="shared" si="7"/>
        <v>126.52866</v>
      </c>
      <c r="I21" s="84" t="str">
        <f>IF(ABS(DD_Summary[[#This Row],[Ofgem’s DD - Cost adjustment £m]]-J21)&lt;0.0005,"OK","Error")</f>
        <v>OK</v>
      </c>
      <c r="J21" s="187">
        <f t="shared" si="0"/>
        <v>-88.567920000000015</v>
      </c>
      <c r="K21" s="187">
        <f t="shared" ref="K21:Q21" si="8">SUM(K17:K20)</f>
        <v>0</v>
      </c>
      <c r="L21" s="187">
        <f t="shared" si="8"/>
        <v>0</v>
      </c>
      <c r="M21" s="187">
        <f t="shared" si="8"/>
        <v>0</v>
      </c>
      <c r="N21" s="187">
        <f t="shared" si="8"/>
        <v>0</v>
      </c>
      <c r="O21" s="187">
        <f t="shared" si="8"/>
        <v>-27.956320000000005</v>
      </c>
      <c r="P21" s="187">
        <f t="shared" si="8"/>
        <v>-4.1000000000000014</v>
      </c>
      <c r="Q21" s="187">
        <f t="shared" si="8"/>
        <v>-56.511600000000001</v>
      </c>
      <c r="S21" s="173"/>
    </row>
    <row r="22" spans="1:19">
      <c r="A22" s="87" t="s">
        <v>258</v>
      </c>
    </row>
  </sheetData>
  <conditionalFormatting sqref="I4:I21">
    <cfRule type="cellIs" dxfId="15" priority="1" operator="equal">
      <formula>"OK"</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069E4-9A6E-4010-BDB6-5638E14859DC}">
  <sheetPr>
    <tabColor theme="0" tint="-0.14999847407452621"/>
    <pageSetUpPr autoPageBreaks="0"/>
  </sheetPr>
  <dimension ref="A2:I28"/>
  <sheetViews>
    <sheetView workbookViewId="0">
      <selection activeCell="D24" sqref="D24"/>
    </sheetView>
  </sheetViews>
  <sheetFormatPr defaultRowHeight="13.5"/>
  <cols>
    <col min="2" max="2" width="25.84375" bestFit="1" customWidth="1"/>
    <col min="4" max="9" width="12.61328125" customWidth="1"/>
    <col min="10" max="10" width="1" customWidth="1"/>
    <col min="11" max="11" width="12.61328125" customWidth="1"/>
  </cols>
  <sheetData>
    <row r="2" spans="1:9">
      <c r="A2" t="s">
        <v>142</v>
      </c>
    </row>
    <row r="3" spans="1:9" ht="52.5">
      <c r="A3" s="58" t="s">
        <v>17</v>
      </c>
      <c r="B3" s="59" t="s">
        <v>259</v>
      </c>
      <c r="C3" s="59" t="s">
        <v>260</v>
      </c>
      <c r="D3" s="58" t="s">
        <v>261</v>
      </c>
      <c r="E3" s="58" t="s">
        <v>262</v>
      </c>
      <c r="F3" s="58" t="s">
        <v>263</v>
      </c>
      <c r="G3" s="58" t="s">
        <v>264</v>
      </c>
      <c r="H3" s="58" t="s">
        <v>265</v>
      </c>
      <c r="I3" s="58" t="s">
        <v>266</v>
      </c>
    </row>
    <row r="4" spans="1:9">
      <c r="A4" s="61" t="s">
        <v>21</v>
      </c>
      <c r="B4" s="60" t="s">
        <v>19</v>
      </c>
      <c r="C4" s="60" t="s">
        <v>10</v>
      </c>
      <c r="D4" s="212">
        <v>206.51299999999998</v>
      </c>
      <c r="E4" s="212">
        <v>34.881000000000057</v>
      </c>
      <c r="F4" s="212">
        <v>47.239523831500023</v>
      </c>
      <c r="G4" s="212">
        <v>85.370927683500014</v>
      </c>
      <c r="H4" s="212">
        <v>374.00445151500003</v>
      </c>
      <c r="I4" s="212">
        <v>216.85205434221837</v>
      </c>
    </row>
    <row r="5" spans="1:9">
      <c r="A5" s="61" t="s">
        <v>21</v>
      </c>
      <c r="B5" s="60" t="s">
        <v>23</v>
      </c>
      <c r="C5" s="60" t="s">
        <v>10</v>
      </c>
      <c r="D5" s="212">
        <v>90.085999999999999</v>
      </c>
      <c r="E5" s="212">
        <v>1.1610000000000156</v>
      </c>
      <c r="F5" s="212">
        <v>15.599849578499997</v>
      </c>
      <c r="G5" s="212">
        <v>32.27001473699999</v>
      </c>
      <c r="H5" s="212">
        <v>139.11686431550001</v>
      </c>
      <c r="I5" s="212">
        <v>82.892884597988683</v>
      </c>
    </row>
    <row r="6" spans="1:9">
      <c r="A6" s="61" t="s">
        <v>21</v>
      </c>
      <c r="B6" s="60" t="s">
        <v>26</v>
      </c>
      <c r="C6" s="60" t="s">
        <v>10</v>
      </c>
      <c r="D6" s="212">
        <v>113.99</v>
      </c>
      <c r="E6" s="212">
        <v>15.297999999999988</v>
      </c>
      <c r="F6" s="212">
        <v>25.290512247000009</v>
      </c>
      <c r="G6" s="212">
        <v>45.704831822999992</v>
      </c>
      <c r="H6" s="212">
        <v>200.28334407</v>
      </c>
      <c r="I6" s="212">
        <v>115.33191489153049</v>
      </c>
    </row>
    <row r="7" spans="1:9">
      <c r="A7" s="58" t="s">
        <v>21</v>
      </c>
      <c r="B7" s="59" t="s">
        <v>267</v>
      </c>
      <c r="C7" s="59" t="s">
        <v>10</v>
      </c>
      <c r="D7" s="213">
        <v>410.589</v>
      </c>
      <c r="E7" s="213">
        <v>51.34000000000006</v>
      </c>
      <c r="F7" s="213">
        <v>88.129885657000031</v>
      </c>
      <c r="G7" s="213">
        <v>163.34577424349999</v>
      </c>
      <c r="H7" s="213">
        <v>713.40465990050006</v>
      </c>
      <c r="I7" s="213">
        <v>415.07685383173748</v>
      </c>
    </row>
    <row r="8" spans="1:9" ht="5.5" customHeight="1">
      <c r="A8" s="58"/>
      <c r="B8" s="59"/>
      <c r="C8" s="59"/>
      <c r="D8" s="214"/>
      <c r="E8" s="214"/>
      <c r="F8" s="214"/>
      <c r="G8" s="214"/>
      <c r="H8" s="214"/>
      <c r="I8" s="214"/>
    </row>
    <row r="9" spans="1:9">
      <c r="A9" s="61" t="s">
        <v>31</v>
      </c>
      <c r="B9" s="60" t="s">
        <v>29</v>
      </c>
      <c r="C9" s="60" t="s">
        <v>10</v>
      </c>
      <c r="D9" s="212">
        <v>0</v>
      </c>
      <c r="E9" s="212">
        <v>0</v>
      </c>
      <c r="F9" s="212">
        <v>0</v>
      </c>
      <c r="G9" s="212">
        <v>0</v>
      </c>
      <c r="H9" s="212">
        <v>0</v>
      </c>
      <c r="I9" s="212">
        <v>0</v>
      </c>
    </row>
    <row r="10" spans="1:9">
      <c r="A10" s="58" t="s">
        <v>31</v>
      </c>
      <c r="B10" s="59" t="s">
        <v>267</v>
      </c>
      <c r="C10" s="59" t="s">
        <v>10</v>
      </c>
      <c r="D10" s="213">
        <v>0</v>
      </c>
      <c r="E10" s="213">
        <v>0</v>
      </c>
      <c r="F10" s="213">
        <v>0</v>
      </c>
      <c r="G10" s="213">
        <v>0</v>
      </c>
      <c r="H10" s="213">
        <v>0</v>
      </c>
      <c r="I10" s="213">
        <v>0</v>
      </c>
    </row>
    <row r="11" spans="1:9" ht="5.5" customHeight="1">
      <c r="A11" s="58"/>
      <c r="B11" s="59"/>
      <c r="C11" s="60"/>
      <c r="D11" s="214"/>
      <c r="E11" s="214"/>
      <c r="F11" s="214"/>
      <c r="G11" s="214"/>
      <c r="H11" s="214"/>
      <c r="I11" s="214"/>
    </row>
    <row r="12" spans="1:9">
      <c r="A12" s="61" t="s">
        <v>35</v>
      </c>
      <c r="B12" s="60" t="s">
        <v>33</v>
      </c>
      <c r="C12" s="60" t="s">
        <v>12</v>
      </c>
      <c r="D12" s="212">
        <v>93.105000000000004</v>
      </c>
      <c r="E12" s="212">
        <v>10.054999999999993</v>
      </c>
      <c r="F12" s="212">
        <v>36.423363752999975</v>
      </c>
      <c r="G12" s="212">
        <v>42.191404745999975</v>
      </c>
      <c r="H12" s="212">
        <v>181.77476849899995</v>
      </c>
      <c r="I12" s="212">
        <v>103.76395353526532</v>
      </c>
    </row>
    <row r="13" spans="1:9">
      <c r="A13" s="61" t="s">
        <v>35</v>
      </c>
      <c r="B13" s="60" t="s">
        <v>37</v>
      </c>
      <c r="C13" s="60" t="s">
        <v>12</v>
      </c>
      <c r="D13" s="212">
        <v>0</v>
      </c>
      <c r="E13" s="212">
        <v>0</v>
      </c>
      <c r="F13" s="212">
        <v>0</v>
      </c>
      <c r="G13" s="212">
        <v>0</v>
      </c>
      <c r="H13" s="212">
        <v>0</v>
      </c>
      <c r="I13" s="212">
        <v>0</v>
      </c>
    </row>
    <row r="14" spans="1:9">
      <c r="A14" s="61" t="s">
        <v>35</v>
      </c>
      <c r="B14" s="60" t="s">
        <v>43</v>
      </c>
      <c r="C14" s="60" t="s">
        <v>12</v>
      </c>
      <c r="D14" s="212">
        <v>0</v>
      </c>
      <c r="E14" s="212">
        <v>0</v>
      </c>
      <c r="F14" s="212">
        <v>0</v>
      </c>
      <c r="G14" s="212">
        <v>0</v>
      </c>
      <c r="H14" s="212">
        <v>0</v>
      </c>
      <c r="I14" s="212">
        <v>0</v>
      </c>
    </row>
    <row r="15" spans="1:9">
      <c r="A15" s="61" t="s">
        <v>35</v>
      </c>
      <c r="B15" s="60" t="s">
        <v>53</v>
      </c>
      <c r="C15" s="60" t="s">
        <v>12</v>
      </c>
      <c r="D15" s="212">
        <v>0</v>
      </c>
      <c r="E15" s="212">
        <v>0</v>
      </c>
      <c r="F15" s="212">
        <v>0</v>
      </c>
      <c r="G15" s="212">
        <v>0</v>
      </c>
      <c r="H15" s="212">
        <v>0</v>
      </c>
      <c r="I15" s="212">
        <v>0</v>
      </c>
    </row>
    <row r="16" spans="1:9">
      <c r="A16" s="61" t="s">
        <v>35</v>
      </c>
      <c r="B16" s="60" t="s">
        <v>59</v>
      </c>
      <c r="C16" s="60" t="s">
        <v>12</v>
      </c>
      <c r="D16" s="212">
        <v>7.8900000000000006</v>
      </c>
      <c r="E16" s="212">
        <v>0</v>
      </c>
      <c r="F16" s="212">
        <v>2.7857459699999967</v>
      </c>
      <c r="G16" s="212">
        <v>3.226899539999998</v>
      </c>
      <c r="H16" s="212">
        <v>13.902645509999996</v>
      </c>
      <c r="I16" s="212">
        <v>7.6731935135593208</v>
      </c>
    </row>
    <row r="17" spans="1:9">
      <c r="A17" s="61" t="s">
        <v>35</v>
      </c>
      <c r="B17" s="60" t="s">
        <v>65</v>
      </c>
      <c r="C17" s="60" t="s">
        <v>12</v>
      </c>
      <c r="D17" s="212">
        <v>0</v>
      </c>
      <c r="E17" s="212">
        <v>0</v>
      </c>
      <c r="F17" s="212">
        <v>0</v>
      </c>
      <c r="G17" s="212">
        <v>0</v>
      </c>
      <c r="H17" s="212">
        <v>0</v>
      </c>
      <c r="I17" s="212">
        <v>0</v>
      </c>
    </row>
    <row r="18" spans="1:9">
      <c r="A18" s="58" t="s">
        <v>35</v>
      </c>
      <c r="B18" s="59" t="s">
        <v>267</v>
      </c>
      <c r="C18" s="59" t="s">
        <v>12</v>
      </c>
      <c r="D18" s="213">
        <v>100.995</v>
      </c>
      <c r="E18" s="213">
        <v>10.054999999999993</v>
      </c>
      <c r="F18" s="213">
        <v>39.209109722999969</v>
      </c>
      <c r="G18" s="213">
        <v>45.418304285999973</v>
      </c>
      <c r="H18" s="213">
        <v>195.67741400899993</v>
      </c>
      <c r="I18" s="213">
        <v>111.43714704882464</v>
      </c>
    </row>
    <row r="19" spans="1:9" ht="5.5" customHeight="1">
      <c r="A19" s="58"/>
      <c r="B19" s="59"/>
      <c r="C19" s="59"/>
      <c r="D19" s="214"/>
      <c r="E19" s="214"/>
      <c r="F19" s="214"/>
      <c r="G19" s="214"/>
      <c r="H19" s="214"/>
      <c r="I19" s="214"/>
    </row>
    <row r="20" spans="1:9">
      <c r="A20" s="61" t="s">
        <v>76</v>
      </c>
      <c r="B20" s="60" t="s">
        <v>73</v>
      </c>
      <c r="C20" s="60" t="s">
        <v>10</v>
      </c>
      <c r="D20" s="212">
        <v>44.484999999999999</v>
      </c>
      <c r="E20" s="212">
        <v>0</v>
      </c>
      <c r="F20" s="212">
        <v>7.8209968199999995</v>
      </c>
      <c r="G20" s="212">
        <v>12.318786199999998</v>
      </c>
      <c r="H20" s="212">
        <v>64.624783019999995</v>
      </c>
      <c r="I20" s="212">
        <v>41.099327621946593</v>
      </c>
    </row>
    <row r="21" spans="1:9">
      <c r="A21" s="61" t="s">
        <v>76</v>
      </c>
      <c r="B21" s="60" t="s">
        <v>84</v>
      </c>
      <c r="C21" s="60" t="s">
        <v>10</v>
      </c>
      <c r="D21" s="212">
        <v>15.123999999999999</v>
      </c>
      <c r="E21" s="212">
        <v>0</v>
      </c>
      <c r="F21" s="212">
        <v>2.7470026080000003</v>
      </c>
      <c r="G21" s="212">
        <v>4.1886919200000001</v>
      </c>
      <c r="H21" s="212">
        <v>22.059694527999998</v>
      </c>
      <c r="I21" s="212">
        <v>14.307411880479322</v>
      </c>
    </row>
    <row r="22" spans="1:9">
      <c r="A22" s="61" t="s">
        <v>76</v>
      </c>
      <c r="B22" s="60" t="s">
        <v>238</v>
      </c>
      <c r="C22" s="60" t="s">
        <v>10</v>
      </c>
      <c r="D22" s="212">
        <v>40.338000000000001</v>
      </c>
      <c r="E22" s="212">
        <v>0</v>
      </c>
      <c r="F22" s="212">
        <v>7.1512670880000027</v>
      </c>
      <c r="G22" s="212">
        <v>11.170398960000004</v>
      </c>
      <c r="H22" s="212">
        <v>58.659666048000005</v>
      </c>
      <c r="I22" s="212">
        <v>38.172043085820576</v>
      </c>
    </row>
    <row r="23" spans="1:9">
      <c r="A23" s="61" t="s">
        <v>76</v>
      </c>
      <c r="B23" s="60" t="s">
        <v>93</v>
      </c>
      <c r="C23" s="60" t="s">
        <v>10</v>
      </c>
      <c r="D23" s="212">
        <v>26.577999999999999</v>
      </c>
      <c r="E23" s="212">
        <v>0</v>
      </c>
      <c r="F23" s="212">
        <v>4.8267774239999941</v>
      </c>
      <c r="G23" s="212">
        <v>7.3599797599999928</v>
      </c>
      <c r="H23" s="212">
        <v>38.76475718399999</v>
      </c>
      <c r="I23" s="212">
        <v>25.402570803153193</v>
      </c>
    </row>
    <row r="24" spans="1:9">
      <c r="A24" s="58" t="s">
        <v>76</v>
      </c>
      <c r="B24" s="59" t="s">
        <v>267</v>
      </c>
      <c r="C24" s="59" t="s">
        <v>10</v>
      </c>
      <c r="D24" s="213">
        <v>126.52500000000001</v>
      </c>
      <c r="E24" s="213">
        <v>0</v>
      </c>
      <c r="F24" s="213">
        <v>22.546043939999997</v>
      </c>
      <c r="G24" s="213">
        <v>35.037856839999996</v>
      </c>
      <c r="H24" s="213">
        <v>184.10890077999997</v>
      </c>
      <c r="I24" s="213">
        <v>118.98135339139969</v>
      </c>
    </row>
    <row r="25" spans="1:9" ht="5.5" customHeight="1">
      <c r="A25" s="58"/>
      <c r="B25" s="59"/>
      <c r="C25" s="59"/>
      <c r="D25" s="214"/>
      <c r="E25" s="214"/>
      <c r="F25" s="214"/>
      <c r="G25" s="214"/>
      <c r="H25" s="214"/>
      <c r="I25" s="214"/>
    </row>
    <row r="26" spans="1:9">
      <c r="A26" s="58" t="s">
        <v>268</v>
      </c>
      <c r="B26" s="59" t="s">
        <v>269</v>
      </c>
      <c r="C26" s="59" t="s">
        <v>10</v>
      </c>
      <c r="D26" s="213">
        <v>634.38105424929176</v>
      </c>
      <c r="E26" s="213">
        <v>61.023848016997221</v>
      </c>
      <c r="F26" s="213">
        <v>148.43774555317083</v>
      </c>
      <c r="G26" s="213">
        <v>242.125446687215</v>
      </c>
      <c r="H26" s="213">
        <v>1085.9680945066748</v>
      </c>
      <c r="I26" s="213">
        <v>641.38196609619354</v>
      </c>
    </row>
    <row r="27" spans="1:9">
      <c r="A27" s="58" t="s">
        <v>268</v>
      </c>
      <c r="B27" s="59" t="s">
        <v>269</v>
      </c>
      <c r="C27" s="59" t="s">
        <v>12</v>
      </c>
      <c r="D27" s="213">
        <v>658.69492058122773</v>
      </c>
      <c r="E27" s="213">
        <v>63.36270362090778</v>
      </c>
      <c r="F27" s="213">
        <v>154.12690584542548</v>
      </c>
      <c r="G27" s="213">
        <v>251.40536718118332</v>
      </c>
      <c r="H27" s="213">
        <v>1127.5898972287443</v>
      </c>
      <c r="I27" s="213">
        <v>665.96415575479102</v>
      </c>
    </row>
    <row r="28" spans="1:9">
      <c r="A28" s="58" t="s">
        <v>268</v>
      </c>
      <c r="B28" s="59" t="s">
        <v>269</v>
      </c>
      <c r="C28" s="59" t="s">
        <v>270</v>
      </c>
      <c r="D28" s="213">
        <v>815.4672191526555</v>
      </c>
      <c r="E28" s="213">
        <v>78.443306765053151</v>
      </c>
      <c r="F28" s="213">
        <v>190.80978975132879</v>
      </c>
      <c r="G28" s="213">
        <v>311.24095427119732</v>
      </c>
      <c r="H28" s="213">
        <v>1395.9612699402348</v>
      </c>
      <c r="I28" s="213">
        <v>824.46656438386162</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CE9A-4A37-46A0-A603-50C56E77CAF1}">
  <sheetPr>
    <tabColor theme="0" tint="-0.14999847407452621"/>
    <pageSetUpPr autoPageBreaks="0"/>
  </sheetPr>
  <dimension ref="A2:D39"/>
  <sheetViews>
    <sheetView workbookViewId="0"/>
  </sheetViews>
  <sheetFormatPr defaultRowHeight="13.5"/>
  <cols>
    <col min="1" max="1" width="16.765625" customWidth="1"/>
    <col min="2" max="3" width="16.765625" style="6" customWidth="1"/>
    <col min="4" max="4" width="16.765625" customWidth="1"/>
  </cols>
  <sheetData>
    <row r="2" spans="1:4">
      <c r="A2" s="10" t="s">
        <v>144</v>
      </c>
      <c r="B2" s="52"/>
      <c r="C2" s="52"/>
      <c r="D2" s="10"/>
    </row>
    <row r="3" spans="1:4">
      <c r="A3" s="51" t="s">
        <v>271</v>
      </c>
      <c r="B3" s="50" t="s">
        <v>272</v>
      </c>
      <c r="C3" s="50" t="s">
        <v>273</v>
      </c>
      <c r="D3" s="49" t="s">
        <v>274</v>
      </c>
    </row>
    <row r="4" spans="1:4" ht="67.5">
      <c r="A4" s="209" t="s">
        <v>275</v>
      </c>
      <c r="B4" s="210" t="s">
        <v>276</v>
      </c>
      <c r="C4" s="210" t="s">
        <v>277</v>
      </c>
      <c r="D4" s="211" t="s">
        <v>278</v>
      </c>
    </row>
    <row r="5" spans="1:4">
      <c r="A5" s="208">
        <v>45856</v>
      </c>
      <c r="B5" s="207">
        <v>45895</v>
      </c>
      <c r="C5" s="16" t="s">
        <v>279</v>
      </c>
      <c r="D5" s="16" t="s">
        <v>280</v>
      </c>
    </row>
    <row r="30" spans="3:3">
      <c r="C30"/>
    </row>
    <row r="31" spans="3:3">
      <c r="C31"/>
    </row>
    <row r="32" spans="3:3">
      <c r="C32"/>
    </row>
    <row r="33" spans="3:3">
      <c r="C33"/>
    </row>
    <row r="34" spans="3:3">
      <c r="C34"/>
    </row>
    <row r="35" spans="3:3">
      <c r="C35"/>
    </row>
    <row r="36" spans="3:3">
      <c r="C36"/>
    </row>
    <row r="37" spans="3:3">
      <c r="C37"/>
    </row>
    <row r="38" spans="3:3">
      <c r="C38"/>
    </row>
    <row r="39" spans="3:3">
      <c r="C39"/>
    </row>
  </sheetData>
  <conditionalFormatting sqref="D4:D5">
    <cfRule type="duplicateValues" dxfId="14" priority="4"/>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E8660-E735-4293-B114-6BEEDD2AB086}">
  <sheetPr>
    <tabColor theme="0" tint="-0.14999847407452621"/>
    <pageSetUpPr autoPageBreaks="0"/>
  </sheetPr>
  <dimension ref="A2:D17"/>
  <sheetViews>
    <sheetView workbookViewId="0"/>
  </sheetViews>
  <sheetFormatPr defaultColWidth="9" defaultRowHeight="11.5"/>
  <cols>
    <col min="1" max="1" width="9" style="62"/>
    <col min="2" max="2" width="18.3828125" style="62" customWidth="1"/>
    <col min="3" max="3" width="51.84375" style="62" customWidth="1"/>
    <col min="4" max="4" width="33.23046875" style="62" customWidth="1"/>
    <col min="5" max="16384" width="9" style="62"/>
  </cols>
  <sheetData>
    <row r="2" spans="1:4" ht="13.5">
      <c r="A2" s="10" t="s">
        <v>146</v>
      </c>
      <c r="B2" s="10"/>
      <c r="C2" s="10"/>
      <c r="D2" s="10"/>
    </row>
    <row r="3" spans="1:4" ht="27">
      <c r="A3" s="51" t="s">
        <v>17</v>
      </c>
      <c r="B3" s="49" t="s">
        <v>281</v>
      </c>
      <c r="C3" s="49" t="s">
        <v>282</v>
      </c>
      <c r="D3" s="48" t="s">
        <v>283</v>
      </c>
    </row>
    <row r="4" spans="1:4" ht="27">
      <c r="A4" s="275" t="s">
        <v>21</v>
      </c>
      <c r="B4" s="276" t="s">
        <v>22</v>
      </c>
      <c r="C4" s="276" t="s">
        <v>284</v>
      </c>
      <c r="D4" s="277" t="s">
        <v>285</v>
      </c>
    </row>
    <row r="5" spans="1:4" ht="27">
      <c r="A5" s="275" t="s">
        <v>21</v>
      </c>
      <c r="B5" s="276" t="s">
        <v>28</v>
      </c>
      <c r="C5" s="276" t="s">
        <v>284</v>
      </c>
      <c r="D5" s="277" t="s">
        <v>285</v>
      </c>
    </row>
    <row r="6" spans="1:4" ht="27">
      <c r="A6" s="275" t="s">
        <v>21</v>
      </c>
      <c r="B6" s="276" t="s">
        <v>25</v>
      </c>
      <c r="C6" s="276" t="s">
        <v>284</v>
      </c>
      <c r="D6" s="277" t="s">
        <v>285</v>
      </c>
    </row>
    <row r="7" spans="1:4" ht="18" customHeight="1">
      <c r="A7" s="275" t="s">
        <v>35</v>
      </c>
      <c r="B7" s="276" t="s">
        <v>62</v>
      </c>
      <c r="C7" s="276" t="s">
        <v>286</v>
      </c>
      <c r="D7" s="277" t="s">
        <v>287</v>
      </c>
    </row>
    <row r="8" spans="1:4" ht="13.5">
      <c r="A8" s="275" t="s">
        <v>35</v>
      </c>
      <c r="B8" s="276" t="s">
        <v>36</v>
      </c>
      <c r="C8" s="276" t="s">
        <v>288</v>
      </c>
      <c r="D8" s="277" t="s">
        <v>285</v>
      </c>
    </row>
    <row r="9" spans="1:4" ht="40.5">
      <c r="A9" s="275" t="s">
        <v>76</v>
      </c>
      <c r="B9" s="276" t="s">
        <v>73</v>
      </c>
      <c r="C9" s="276" t="s">
        <v>289</v>
      </c>
      <c r="D9" s="277" t="s">
        <v>290</v>
      </c>
    </row>
    <row r="10" spans="1:4" ht="40.5">
      <c r="A10" s="275" t="s">
        <v>76</v>
      </c>
      <c r="B10" s="276" t="s">
        <v>84</v>
      </c>
      <c r="C10" s="276" t="s">
        <v>289</v>
      </c>
      <c r="D10" s="277" t="s">
        <v>290</v>
      </c>
    </row>
    <row r="11" spans="1:4" ht="40.5">
      <c r="A11" s="275" t="s">
        <v>76</v>
      </c>
      <c r="B11" s="276" t="s">
        <v>291</v>
      </c>
      <c r="C11" s="276" t="s">
        <v>289</v>
      </c>
      <c r="D11" s="277" t="s">
        <v>290</v>
      </c>
    </row>
    <row r="12" spans="1:4" ht="40.5">
      <c r="A12" s="275" t="s">
        <v>76</v>
      </c>
      <c r="B12" s="276" t="s">
        <v>292</v>
      </c>
      <c r="C12" s="276" t="s">
        <v>289</v>
      </c>
      <c r="D12" s="277" t="s">
        <v>290</v>
      </c>
    </row>
    <row r="13" spans="1:4" ht="40.5">
      <c r="A13" s="275" t="s">
        <v>76</v>
      </c>
      <c r="B13" s="276" t="s">
        <v>96</v>
      </c>
      <c r="C13" s="276" t="s">
        <v>289</v>
      </c>
      <c r="D13" s="277" t="s">
        <v>290</v>
      </c>
    </row>
    <row r="14" spans="1:4" ht="27">
      <c r="A14" s="278" t="s">
        <v>76</v>
      </c>
      <c r="B14" s="279" t="s">
        <v>73</v>
      </c>
      <c r="C14" s="279" t="s">
        <v>293</v>
      </c>
      <c r="D14" s="280" t="s">
        <v>290</v>
      </c>
    </row>
    <row r="15" spans="1:4">
      <c r="A15" s="64"/>
      <c r="B15" s="64"/>
      <c r="C15" s="64"/>
      <c r="D15" s="64"/>
    </row>
    <row r="17" spans="1:4" ht="12">
      <c r="A17" s="63"/>
      <c r="B17" s="63"/>
      <c r="C17" s="63"/>
      <c r="D17" s="63"/>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92B59-3844-4B0B-A256-AB57F0A49A84}">
  <sheetPr>
    <tabColor theme="0" tint="-0.14999847407452621"/>
    <pageSetUpPr autoPageBreaks="0"/>
  </sheetPr>
  <dimension ref="A2:G46"/>
  <sheetViews>
    <sheetView zoomScaleNormal="100" workbookViewId="0">
      <selection activeCell="A2" sqref="A2"/>
    </sheetView>
  </sheetViews>
  <sheetFormatPr defaultRowHeight="13.5"/>
  <cols>
    <col min="1" max="1" width="20" customWidth="1"/>
    <col min="2" max="2" width="7.84375" style="6" customWidth="1"/>
    <col min="3" max="3" width="30.4609375" style="6" bestFit="1" customWidth="1"/>
    <col min="4" max="4" width="45.23046875" customWidth="1"/>
    <col min="5" max="6" width="21.61328125" customWidth="1"/>
    <col min="7" max="7" width="18.15234375" customWidth="1"/>
  </cols>
  <sheetData>
    <row r="2" spans="1:7">
      <c r="A2" s="10" t="s">
        <v>148</v>
      </c>
      <c r="B2" s="52"/>
      <c r="C2" s="52"/>
      <c r="D2" s="10"/>
      <c r="E2" s="10"/>
    </row>
    <row r="3" spans="1:7" ht="46.5" customHeight="1">
      <c r="A3" s="281" t="s">
        <v>241</v>
      </c>
      <c r="B3" s="282" t="s">
        <v>17</v>
      </c>
      <c r="C3" s="282" t="s">
        <v>294</v>
      </c>
      <c r="D3" s="282" t="s">
        <v>295</v>
      </c>
      <c r="E3" s="282" t="s">
        <v>296</v>
      </c>
      <c r="F3" s="282" t="s">
        <v>297</v>
      </c>
      <c r="G3" s="283" t="s">
        <v>298</v>
      </c>
    </row>
    <row r="4" spans="1:7" ht="69">
      <c r="A4" s="284" t="s">
        <v>299</v>
      </c>
      <c r="B4" s="285" t="s">
        <v>21</v>
      </c>
      <c r="C4" s="285" t="s">
        <v>300</v>
      </c>
      <c r="D4" s="285" t="s">
        <v>301</v>
      </c>
      <c r="E4" s="285" t="s">
        <v>302</v>
      </c>
      <c r="F4" s="285" t="s">
        <v>303</v>
      </c>
      <c r="G4" s="286" t="s">
        <v>304</v>
      </c>
    </row>
    <row r="5" spans="1:7" ht="69">
      <c r="A5" s="284" t="s">
        <v>305</v>
      </c>
      <c r="B5" s="285" t="s">
        <v>21</v>
      </c>
      <c r="C5" s="285" t="s">
        <v>306</v>
      </c>
      <c r="D5" s="285" t="s">
        <v>307</v>
      </c>
      <c r="E5" s="285" t="s">
        <v>308</v>
      </c>
      <c r="F5" s="285" t="s">
        <v>309</v>
      </c>
      <c r="G5" s="286" t="s">
        <v>304</v>
      </c>
    </row>
    <row r="6" spans="1:7" ht="46">
      <c r="A6" s="284" t="s">
        <v>310</v>
      </c>
      <c r="B6" s="285" t="s">
        <v>35</v>
      </c>
      <c r="C6" s="285" t="s">
        <v>311</v>
      </c>
      <c r="D6" s="285" t="s">
        <v>312</v>
      </c>
      <c r="E6" s="285" t="s">
        <v>313</v>
      </c>
      <c r="F6" s="285" t="s">
        <v>314</v>
      </c>
      <c r="G6" s="286" t="s">
        <v>315</v>
      </c>
    </row>
    <row r="7" spans="1:7" ht="46">
      <c r="A7" s="284" t="s">
        <v>316</v>
      </c>
      <c r="B7" s="285" t="s">
        <v>35</v>
      </c>
      <c r="C7" s="285" t="s">
        <v>317</v>
      </c>
      <c r="D7" s="285" t="s">
        <v>318</v>
      </c>
      <c r="E7" s="285" t="s">
        <v>313</v>
      </c>
      <c r="F7" s="285" t="s">
        <v>319</v>
      </c>
      <c r="G7" s="286" t="s">
        <v>320</v>
      </c>
    </row>
    <row r="8" spans="1:7" ht="57.5">
      <c r="A8" s="284" t="s">
        <v>321</v>
      </c>
      <c r="B8" s="285" t="s">
        <v>76</v>
      </c>
      <c r="C8" s="285" t="s">
        <v>322</v>
      </c>
      <c r="D8" s="285" t="s">
        <v>323</v>
      </c>
      <c r="E8" s="285" t="s">
        <v>324</v>
      </c>
      <c r="F8" s="285" t="s">
        <v>325</v>
      </c>
      <c r="G8" s="286" t="s">
        <v>326</v>
      </c>
    </row>
    <row r="9" spans="1:7" ht="69">
      <c r="A9" s="284" t="s">
        <v>327</v>
      </c>
      <c r="B9" s="285" t="s">
        <v>76</v>
      </c>
      <c r="C9" s="285" t="s">
        <v>328</v>
      </c>
      <c r="D9" s="285" t="s">
        <v>329</v>
      </c>
      <c r="E9" s="285" t="s">
        <v>330</v>
      </c>
      <c r="F9" s="285" t="s">
        <v>331</v>
      </c>
      <c r="G9" s="286" t="s">
        <v>332</v>
      </c>
    </row>
    <row r="10" spans="1:7" ht="69">
      <c r="A10" s="287" t="s">
        <v>333</v>
      </c>
      <c r="B10" s="288" t="s">
        <v>76</v>
      </c>
      <c r="C10" s="288" t="s">
        <v>334</v>
      </c>
      <c r="D10" s="288" t="s">
        <v>335</v>
      </c>
      <c r="E10" s="288" t="s">
        <v>336</v>
      </c>
      <c r="F10" s="288" t="s">
        <v>337</v>
      </c>
      <c r="G10" s="289" t="s">
        <v>326</v>
      </c>
    </row>
    <row r="37" spans="3:3">
      <c r="C37"/>
    </row>
    <row r="38" spans="3:3">
      <c r="C38"/>
    </row>
    <row r="39" spans="3:3">
      <c r="C39"/>
    </row>
    <row r="40" spans="3:3">
      <c r="C40"/>
    </row>
    <row r="41" spans="3:3">
      <c r="C41"/>
    </row>
    <row r="42" spans="3:3">
      <c r="C42"/>
    </row>
    <row r="43" spans="3:3">
      <c r="C43"/>
    </row>
    <row r="44" spans="3:3">
      <c r="C44"/>
    </row>
    <row r="45" spans="3:3">
      <c r="C45"/>
    </row>
    <row r="46" spans="3:3">
      <c r="C46"/>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CE03-5A26-4EE4-B97D-64433B6ACA85}">
  <sheetPr>
    <tabColor theme="0" tint="-0.14999847407452621"/>
    <pageSetUpPr autoPageBreaks="0"/>
  </sheetPr>
  <dimension ref="A2:D47"/>
  <sheetViews>
    <sheetView workbookViewId="0"/>
  </sheetViews>
  <sheetFormatPr defaultRowHeight="13.5"/>
  <cols>
    <col min="1" max="1" width="7.84375" customWidth="1"/>
    <col min="2" max="2" width="27" style="6" customWidth="1"/>
    <col min="3" max="3" width="30.4609375" style="6" bestFit="1" customWidth="1"/>
    <col min="4" max="4" width="45.23046875" customWidth="1"/>
  </cols>
  <sheetData>
    <row r="2" spans="1:4">
      <c r="A2" s="10" t="s">
        <v>150</v>
      </c>
      <c r="B2" s="52"/>
      <c r="C2" s="52"/>
      <c r="D2" s="10"/>
    </row>
    <row r="3" spans="1:4">
      <c r="A3" s="51" t="s">
        <v>17</v>
      </c>
      <c r="B3" s="50" t="s">
        <v>338</v>
      </c>
      <c r="C3" s="50" t="s">
        <v>339</v>
      </c>
      <c r="D3" s="49" t="s">
        <v>340</v>
      </c>
    </row>
    <row r="4" spans="1:4" ht="27">
      <c r="A4" s="34" t="s">
        <v>21</v>
      </c>
      <c r="B4" s="16" t="s">
        <v>22</v>
      </c>
      <c r="C4" s="16" t="s">
        <v>299</v>
      </c>
      <c r="D4" s="38" t="s">
        <v>341</v>
      </c>
    </row>
    <row r="5" spans="1:4" ht="27">
      <c r="A5" s="34" t="s">
        <v>21</v>
      </c>
      <c r="B5" s="16" t="s">
        <v>25</v>
      </c>
      <c r="C5" s="16" t="s">
        <v>299</v>
      </c>
      <c r="D5" s="38" t="s">
        <v>342</v>
      </c>
    </row>
    <row r="6" spans="1:4" ht="27">
      <c r="A6" s="34" t="s">
        <v>21</v>
      </c>
      <c r="B6" s="16" t="s">
        <v>28</v>
      </c>
      <c r="C6" s="16" t="s">
        <v>299</v>
      </c>
      <c r="D6" s="16" t="s">
        <v>343</v>
      </c>
    </row>
    <row r="7" spans="1:4" ht="27">
      <c r="A7" s="34" t="s">
        <v>21</v>
      </c>
      <c r="B7" s="38" t="s">
        <v>25</v>
      </c>
      <c r="C7" s="38" t="s">
        <v>344</v>
      </c>
      <c r="D7" s="16" t="s">
        <v>345</v>
      </c>
    </row>
    <row r="8" spans="1:4" ht="27" customHeight="1">
      <c r="A8" s="34" t="s">
        <v>35</v>
      </c>
      <c r="B8" s="38" t="s">
        <v>346</v>
      </c>
      <c r="C8" s="38" t="s">
        <v>347</v>
      </c>
      <c r="D8" s="16" t="s">
        <v>348</v>
      </c>
    </row>
    <row r="9" spans="1:4" ht="27" customHeight="1">
      <c r="A9" s="34" t="s">
        <v>35</v>
      </c>
      <c r="B9" s="38" t="s">
        <v>36</v>
      </c>
      <c r="C9" s="38" t="s">
        <v>349</v>
      </c>
      <c r="D9" s="16" t="s">
        <v>350</v>
      </c>
    </row>
    <row r="10" spans="1:4" ht="27">
      <c r="A10" s="34" t="s">
        <v>76</v>
      </c>
      <c r="B10" s="38" t="s">
        <v>73</v>
      </c>
      <c r="C10" s="38" t="s">
        <v>321</v>
      </c>
      <c r="D10" s="16" t="s">
        <v>351</v>
      </c>
    </row>
    <row r="11" spans="1:4" ht="27">
      <c r="A11" s="34" t="s">
        <v>76</v>
      </c>
      <c r="B11" s="38" t="s">
        <v>86</v>
      </c>
      <c r="C11" s="38" t="s">
        <v>321</v>
      </c>
      <c r="D11" s="16" t="s">
        <v>352</v>
      </c>
    </row>
    <row r="12" spans="1:4" ht="27">
      <c r="A12" s="34" t="s">
        <v>76</v>
      </c>
      <c r="B12" s="38" t="s">
        <v>353</v>
      </c>
      <c r="C12" s="38" t="s">
        <v>321</v>
      </c>
      <c r="D12" s="16" t="s">
        <v>354</v>
      </c>
    </row>
    <row r="13" spans="1:4" ht="27">
      <c r="A13" s="34" t="s">
        <v>76</v>
      </c>
      <c r="B13" s="38" t="s">
        <v>96</v>
      </c>
      <c r="C13" s="38" t="s">
        <v>321</v>
      </c>
      <c r="D13" s="38" t="s">
        <v>355</v>
      </c>
    </row>
    <row r="14" spans="1:4" ht="40.5">
      <c r="A14" s="34" t="s">
        <v>76</v>
      </c>
      <c r="B14" s="38" t="s">
        <v>73</v>
      </c>
      <c r="C14" s="38" t="s">
        <v>327</v>
      </c>
      <c r="D14" s="38" t="s">
        <v>356</v>
      </c>
    </row>
    <row r="15" spans="1:4" ht="27">
      <c r="A15" s="34" t="s">
        <v>76</v>
      </c>
      <c r="B15" s="16" t="s">
        <v>73</v>
      </c>
      <c r="C15" s="16" t="s">
        <v>333</v>
      </c>
      <c r="D15" s="38" t="s">
        <v>357</v>
      </c>
    </row>
    <row r="16" spans="1:4" ht="27">
      <c r="A16" s="34" t="s">
        <v>76</v>
      </c>
      <c r="B16" s="38" t="s">
        <v>86</v>
      </c>
      <c r="C16" s="38" t="s">
        <v>333</v>
      </c>
      <c r="D16" s="38" t="s">
        <v>358</v>
      </c>
    </row>
    <row r="17" spans="1:4" ht="27">
      <c r="A17" s="34" t="s">
        <v>76</v>
      </c>
      <c r="B17" s="38" t="s">
        <v>353</v>
      </c>
      <c r="C17" s="38" t="s">
        <v>333</v>
      </c>
      <c r="D17" s="38" t="s">
        <v>359</v>
      </c>
    </row>
    <row r="18" spans="1:4" ht="27">
      <c r="A18" s="34" t="s">
        <v>76</v>
      </c>
      <c r="B18" s="38" t="s">
        <v>96</v>
      </c>
      <c r="C18" s="38" t="s">
        <v>333</v>
      </c>
      <c r="D18" s="38" t="s">
        <v>360</v>
      </c>
    </row>
    <row r="38" spans="3:3">
      <c r="C38"/>
    </row>
    <row r="39" spans="3:3">
      <c r="C39"/>
    </row>
    <row r="40" spans="3:3">
      <c r="C40"/>
    </row>
    <row r="41" spans="3:3">
      <c r="C41"/>
    </row>
    <row r="42" spans="3:3">
      <c r="C42"/>
    </row>
    <row r="43" spans="3:3">
      <c r="C43"/>
    </row>
    <row r="44" spans="3:3">
      <c r="C44"/>
    </row>
    <row r="45" spans="3:3">
      <c r="C45"/>
    </row>
    <row r="46" spans="3:3">
      <c r="C46"/>
    </row>
    <row r="47" spans="3:3">
      <c r="C47"/>
    </row>
  </sheetData>
  <conditionalFormatting sqref="D4:D18">
    <cfRule type="duplicateValues" dxfId="13" priority="19"/>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F8A4-6B97-4AD8-8215-B86BFC18122D}">
  <sheetPr>
    <tabColor theme="7" tint="0.59999389629810485"/>
    <pageSetUpPr autoPageBreaks="0"/>
  </sheetPr>
  <dimension ref="A1:A3"/>
  <sheetViews>
    <sheetView workbookViewId="0"/>
  </sheetViews>
  <sheetFormatPr defaultColWidth="9.23046875" defaultRowHeight="13.5"/>
  <sheetData>
    <row r="1" spans="1:1" s="2" customFormat="1" ht="32.15" customHeight="1">
      <c r="A1" s="1"/>
    </row>
    <row r="2" spans="1:1" s="2" customFormat="1" ht="23.15" customHeight="1">
      <c r="A2" s="3"/>
    </row>
    <row r="3" spans="1:1" s="2" customFormat="1" ht="27" customHeight="1">
      <c r="A3" s="4"/>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31CE-5AC7-4527-9FCE-20C428BD1C58}">
  <sheetPr>
    <tabColor theme="7" tint="0.59999389629810485"/>
    <pageSetUpPr autoPageBreaks="0"/>
  </sheetPr>
  <dimension ref="A2:H18"/>
  <sheetViews>
    <sheetView workbookViewId="0">
      <selection activeCell="A8" sqref="A8"/>
    </sheetView>
  </sheetViews>
  <sheetFormatPr defaultRowHeight="13.5"/>
  <cols>
    <col min="1" max="1" width="25.23046875" customWidth="1"/>
    <col min="2" max="2" width="10.4609375" customWidth="1"/>
    <col min="3" max="8" width="13.4609375" customWidth="1"/>
  </cols>
  <sheetData>
    <row r="2" spans="1:8">
      <c r="A2" t="s">
        <v>153</v>
      </c>
    </row>
    <row r="3" spans="1:8" ht="40">
      <c r="A3" s="90" t="s">
        <v>232</v>
      </c>
      <c r="B3" s="91" t="s">
        <v>233</v>
      </c>
      <c r="C3" s="92" t="s">
        <v>250</v>
      </c>
      <c r="D3" s="92" t="s">
        <v>251</v>
      </c>
      <c r="E3" s="92" t="s">
        <v>252</v>
      </c>
      <c r="F3" s="92" t="s">
        <v>253</v>
      </c>
      <c r="G3" s="92" t="s">
        <v>254</v>
      </c>
      <c r="H3" s="93" t="s">
        <v>255</v>
      </c>
    </row>
    <row r="4" spans="1:8" ht="14.15" customHeight="1">
      <c r="A4" s="89" t="s">
        <v>19</v>
      </c>
      <c r="B4" s="86" t="s">
        <v>22</v>
      </c>
      <c r="C4" s="55">
        <f>INDEX(DD_Summary[],MATCH($A4,DD_Summary[[Sector Group]:[Sector Group]],0),MATCH(C$3,DD_Summary[#Headers],0))</f>
        <v>13</v>
      </c>
      <c r="D4" s="190">
        <f>INDEX(DD_Summary[],MATCH($A4,DD_Summary[[Sector Group]:[Sector Group]],0),MATCH(D$3,DD_Summary[#Headers],0))</f>
        <v>204.76488000000001</v>
      </c>
      <c r="E4" s="55">
        <f>INDEX(DD_Summary[],MATCH($A4,DD_Summary[[Sector Group]:[Sector Group]],0),MATCH(E$3,DD_Summary[#Headers],0))</f>
        <v>11</v>
      </c>
      <c r="F4" s="55">
        <f>INDEX(DD_Summary[],MATCH($A4,DD_Summary[[Sector Group]:[Sector Group]],0),MATCH(F$3,DD_Summary[#Headers],0))</f>
        <v>2</v>
      </c>
      <c r="G4" s="190">
        <f>INDEX(DD_Summary[],MATCH($A4,DD_Summary[[Sector Group]:[Sector Group]],0),MATCH(G$3,DD_Summary[#Headers],0))</f>
        <v>-82.098520000000022</v>
      </c>
      <c r="H4" s="190">
        <f>INDEX(DD_Summary[],MATCH($A4,DD_Summary[[Sector Group]:[Sector Group]],0),MATCH(H$3,DD_Summary[#Headers],0))</f>
        <v>122.66635999999998</v>
      </c>
    </row>
    <row r="5" spans="1:8" ht="14.15" customHeight="1">
      <c r="A5" s="89" t="s">
        <v>23</v>
      </c>
      <c r="B5" s="86" t="s">
        <v>25</v>
      </c>
      <c r="C5" s="55">
        <f>INDEX(DD_Summary[],MATCH($A5,DD_Summary[[Sector Group]:[Sector Group]],0),MATCH(C$3,DD_Summary[#Headers],0))</f>
        <v>5</v>
      </c>
      <c r="D5" s="190">
        <f>INDEX(DD_Summary[],MATCH($A5,DD_Summary[Sector Group],0),MATCH(D$3,DD_Summary[#Headers],0))</f>
        <v>112.52771</v>
      </c>
      <c r="E5" s="55">
        <f>INDEX(DD_Summary[],MATCH($A5,DD_Summary[[Sector Group]:[Sector Group]],0),MATCH(E$3,DD_Summary[#Headers],0))</f>
        <v>5</v>
      </c>
      <c r="F5" s="55">
        <f>INDEX(DD_Summary[],MATCH($A5,DD_Summary[[Sector Group]:[Sector Group]],0),MATCH(F$3,DD_Summary[#Headers],0))</f>
        <v>0</v>
      </c>
      <c r="G5" s="190">
        <f>INDEX(DD_Summary[],MATCH($A5,DD_Summary[[Sector Group]:[Sector Group]],0),MATCH(G$3,DD_Summary[#Headers],0))</f>
        <v>-27.518769999999989</v>
      </c>
      <c r="H5" s="190">
        <f>INDEX(DD_Summary[],MATCH($A5,DD_Summary[Sector Group],0),MATCH(H$3,DD_Summary[#Headers],0))</f>
        <v>85.00894000000001</v>
      </c>
    </row>
    <row r="6" spans="1:8" ht="14.15" customHeight="1">
      <c r="A6" s="89" t="s">
        <v>26</v>
      </c>
      <c r="B6" s="86" t="s">
        <v>28</v>
      </c>
      <c r="C6" s="55">
        <f>INDEX(DD_Summary[],MATCH($A6,DD_Summary[[Sector Group]:[Sector Group]],0),MATCH(C$3,DD_Summary[#Headers],0))</f>
        <v>7</v>
      </c>
      <c r="D6" s="190">
        <f>INDEX(DD_Summary[],MATCH($A6,DD_Summary[[Sector Group]:[Sector Group]],0),MATCH(D$3,DD_Summary[#Headers],0))</f>
        <v>81.456530000000001</v>
      </c>
      <c r="E6" s="55">
        <f>INDEX(DD_Summary[],MATCH($A6,DD_Summary[[Sector Group]:[Sector Group]],0),MATCH(E$3,DD_Summary[#Headers],0))</f>
        <v>7</v>
      </c>
      <c r="F6" s="55">
        <f>INDEX(DD_Summary[],MATCH($A6,DD_Summary[[Sector Group]:[Sector Group]],0),MATCH(F$3,DD_Summary[#Headers],0))</f>
        <v>0</v>
      </c>
      <c r="G6" s="190">
        <f>INDEX(DD_Summary[],MATCH($A6,DD_Summary[[Sector Group]:[Sector Group]],0),MATCH(G$3,DD_Summary[#Headers],0))</f>
        <v>-7.1932499999999919</v>
      </c>
      <c r="H6" s="190">
        <f>INDEX(DD_Summary[],MATCH($A6,DD_Summary[[Sector Group]:[Sector Group]],0),MATCH(H$3,DD_Summary[#Headers],0))</f>
        <v>74.263280000000009</v>
      </c>
    </row>
    <row r="7" spans="1:8" ht="14.15" customHeight="1">
      <c r="A7" s="94" t="s">
        <v>256</v>
      </c>
      <c r="B7" s="95"/>
      <c r="C7" s="83">
        <f>SUM(C4:C6)</f>
        <v>25</v>
      </c>
      <c r="D7" s="191">
        <f t="shared" ref="D7:H7" si="0">SUM(D4:D6)</f>
        <v>398.74912</v>
      </c>
      <c r="E7" s="83">
        <f t="shared" si="0"/>
        <v>23</v>
      </c>
      <c r="F7" s="83">
        <f t="shared" si="0"/>
        <v>2</v>
      </c>
      <c r="G7" s="191">
        <f t="shared" si="0"/>
        <v>-116.81054</v>
      </c>
      <c r="H7" s="191">
        <f t="shared" si="0"/>
        <v>281.93858</v>
      </c>
    </row>
    <row r="8" spans="1:8">
      <c r="A8" s="305" t="s">
        <v>361</v>
      </c>
    </row>
    <row r="9" spans="1:8">
      <c r="A9" s="2"/>
    </row>
    <row r="10" spans="1:8">
      <c r="A10" s="2"/>
    </row>
    <row r="11" spans="1:8">
      <c r="A11" s="2"/>
    </row>
    <row r="12" spans="1:8" ht="14.5">
      <c r="A12" s="85"/>
      <c r="D12" s="215"/>
    </row>
    <row r="13" spans="1:8">
      <c r="A13" s="66"/>
      <c r="D13" s="215"/>
      <c r="E13" s="215"/>
      <c r="F13" s="215"/>
      <c r="G13" s="215"/>
    </row>
    <row r="14" spans="1:8">
      <c r="A14" s="66"/>
      <c r="D14" s="215"/>
      <c r="E14" s="215"/>
      <c r="F14" s="215"/>
      <c r="G14" s="215"/>
    </row>
    <row r="15" spans="1:8">
      <c r="D15" s="215"/>
      <c r="E15" s="215"/>
      <c r="F15" s="215"/>
      <c r="G15" s="215"/>
    </row>
    <row r="17" spans="4:4">
      <c r="D17" s="215"/>
    </row>
    <row r="18" spans="4:4">
      <c r="D18" s="215"/>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91F8D-B6DC-4DF0-9256-8C6594E3ACF3}">
  <sheetPr>
    <tabColor theme="7" tint="0.59999389629810485"/>
    <pageSetUpPr autoPageBreaks="0"/>
  </sheetPr>
  <dimension ref="A2:F28"/>
  <sheetViews>
    <sheetView workbookViewId="0">
      <selection activeCell="C1" sqref="C1:C1048576"/>
    </sheetView>
  </sheetViews>
  <sheetFormatPr defaultRowHeight="13.5"/>
  <cols>
    <col min="1" max="1" width="25.84375" customWidth="1"/>
    <col min="2" max="2" width="9.23046875" customWidth="1"/>
    <col min="3" max="3" width="21.765625" customWidth="1"/>
    <col min="4" max="6" width="12.15234375" customWidth="1"/>
  </cols>
  <sheetData>
    <row r="2" spans="1:6">
      <c r="A2" t="s">
        <v>155</v>
      </c>
    </row>
    <row r="3" spans="1:6" ht="40">
      <c r="A3" s="90" t="s">
        <v>232</v>
      </c>
      <c r="B3" s="91" t="s">
        <v>233</v>
      </c>
      <c r="C3" s="91" t="s">
        <v>362</v>
      </c>
      <c r="D3" s="92" t="s">
        <v>251</v>
      </c>
      <c r="E3" s="92" t="s">
        <v>363</v>
      </c>
      <c r="F3" s="93" t="s">
        <v>255</v>
      </c>
    </row>
    <row r="4" spans="1:6" ht="20">
      <c r="A4" s="89" t="str">
        <f>INDEX(Project_Data[], MATCH($C4, Project_Data[[Project_Name]:[Project_Name]], 0), MATCH("Sector_Group",Project_Data[#Headers],0))</f>
        <v>National Grid Electricity Transmission</v>
      </c>
      <c r="B4" s="89" t="str">
        <f>INDEX(Project_Data[], MATCH($C4, Project_Data[[Project_Name]:[Project_Name]], 0), MATCH("Licensee",Project_Data[#Headers],0))</f>
        <v>NGET</v>
      </c>
      <c r="C4" s="313" t="s">
        <v>364</v>
      </c>
      <c r="D4" s="185">
        <f>INDEX(Project_Data[], MATCH($C4, Project_Data[[Project_Name]:[Project_Name]], 0), MATCH("Submitted_Cost_Submission",Project_Data[#Headers],0))</f>
        <v>8.1218000000000004</v>
      </c>
      <c r="E4" s="185">
        <f>F4-D4</f>
        <v>-0.22465000000000046</v>
      </c>
      <c r="F4" s="186">
        <f>INDEX(Project_Data[], MATCH($C4, Project_Data[[Project_Name]:[Project_Name]], 0), MATCH("Allowance_Draft",Project_Data[#Headers],0))</f>
        <v>7.8971499999999999</v>
      </c>
    </row>
    <row r="5" spans="1:6" ht="20">
      <c r="A5" s="89" t="str">
        <f>INDEX(Project_Data[], MATCH($C5, Project_Data[[Project_Name]:[Project_Name]], 0), MATCH("Sector_Group",Project_Data[#Headers],0))</f>
        <v>National Grid Electricity Transmission</v>
      </c>
      <c r="B5" s="89" t="str">
        <f>INDEX(Project_Data[], MATCH($C5, Project_Data[[Project_Name]:[Project_Name]], 0), MATCH("Licensee",Project_Data[#Headers],0))</f>
        <v>NGET</v>
      </c>
      <c r="C5" s="313" t="s">
        <v>365</v>
      </c>
      <c r="D5" s="185">
        <f>INDEX(Project_Data[], MATCH($C5, Project_Data[[Project_Name]:[Project_Name]], 0), MATCH("Submitted_Cost_Submission",Project_Data[#Headers],0))</f>
        <v>7.8385300000000004</v>
      </c>
      <c r="E5" s="185">
        <f t="shared" ref="E5:E27" si="0">F5-D5</f>
        <v>-0.44201000000000068</v>
      </c>
      <c r="F5" s="186">
        <f>INDEX(Project_Data[], MATCH($C5, Project_Data[[Project_Name]:[Project_Name]], 0), MATCH("Allowance_Draft",Project_Data[#Headers],0))</f>
        <v>7.3965199999999998</v>
      </c>
    </row>
    <row r="6" spans="1:6" ht="20">
      <c r="A6" s="89" t="str">
        <f>INDEX(Project_Data[], MATCH($C6, Project_Data[[Project_Name]:[Project_Name]], 0), MATCH("Sector_Group",Project_Data[#Headers],0))</f>
        <v>National Grid Electricity Transmission</v>
      </c>
      <c r="B6" s="89" t="str">
        <f>INDEX(Project_Data[], MATCH($C6, Project_Data[[Project_Name]:[Project_Name]], 0), MATCH("Licensee",Project_Data[#Headers],0))</f>
        <v>NGET</v>
      </c>
      <c r="C6" s="313" t="s">
        <v>366</v>
      </c>
      <c r="D6" s="185">
        <f>INDEX(Project_Data[], MATCH($C6, Project_Data[[Project_Name]:[Project_Name]], 0), MATCH("Submitted_Cost_Submission",Project_Data[#Headers],0))</f>
        <v>1.3228800000000001</v>
      </c>
      <c r="E6" s="185">
        <f t="shared" si="0"/>
        <v>-0.62028000000000005</v>
      </c>
      <c r="F6" s="186">
        <f>INDEX(Project_Data[], MATCH($C6, Project_Data[[Project_Name]:[Project_Name]], 0), MATCH("Allowance_Draft",Project_Data[#Headers],0))</f>
        <v>0.7026</v>
      </c>
    </row>
    <row r="7" spans="1:6">
      <c r="A7" s="89" t="str">
        <f>INDEX(Project_Data[], MATCH($C7, Project_Data[[Project_Name]:[Project_Name]], 0), MATCH("Sector_Group",Project_Data[#Headers],0))</f>
        <v>National Grid Electricity Transmission</v>
      </c>
      <c r="B7" s="89" t="str">
        <f>INDEX(Project_Data[], MATCH($C7, Project_Data[[Project_Name]:[Project_Name]], 0), MATCH("Licensee",Project_Data[#Headers],0))</f>
        <v>NGET</v>
      </c>
      <c r="C7" s="313" t="s">
        <v>367</v>
      </c>
      <c r="D7" s="185">
        <f>INDEX(Project_Data[], MATCH($C7, Project_Data[[Project_Name]:[Project_Name]], 0), MATCH("Submitted_Cost_Submission",Project_Data[#Headers],0))</f>
        <v>20.9419</v>
      </c>
      <c r="E7" s="185">
        <f t="shared" si="0"/>
        <v>-20.9419</v>
      </c>
      <c r="F7" s="186">
        <f>INDEX(Project_Data[], MATCH($C7, Project_Data[[Project_Name]:[Project_Name]], 0), MATCH("Allowance_Draft",Project_Data[#Headers],0))</f>
        <v>0</v>
      </c>
    </row>
    <row r="8" spans="1:6" ht="20">
      <c r="A8" s="89" t="str">
        <f>INDEX(Project_Data[], MATCH($C8, Project_Data[[Project_Name]:[Project_Name]], 0), MATCH("Sector_Group",Project_Data[#Headers],0))</f>
        <v>National Grid Electricity Transmission</v>
      </c>
      <c r="B8" s="89" t="str">
        <f>INDEX(Project_Data[], MATCH($C8, Project_Data[[Project_Name]:[Project_Name]], 0), MATCH("Licensee",Project_Data[#Headers],0))</f>
        <v>NGET</v>
      </c>
      <c r="C8" s="313" t="s">
        <v>368</v>
      </c>
      <c r="D8" s="185">
        <f>INDEX(Project_Data[], MATCH($C8, Project_Data[[Project_Name]:[Project_Name]], 0), MATCH("Submitted_Cost_Submission",Project_Data[#Headers],0))</f>
        <v>45.030709999999999</v>
      </c>
      <c r="E8" s="185">
        <f t="shared" si="0"/>
        <v>-7.388930000000002</v>
      </c>
      <c r="F8" s="186">
        <f>INDEX(Project_Data[], MATCH($C8, Project_Data[[Project_Name]:[Project_Name]], 0), MATCH("Allowance_Draft",Project_Data[#Headers],0))</f>
        <v>37.641779999999997</v>
      </c>
    </row>
    <row r="9" spans="1:6" ht="20">
      <c r="A9" s="89" t="str">
        <f>INDEX(Project_Data[], MATCH($C9, Project_Data[[Project_Name]:[Project_Name]], 0), MATCH("Sector_Group",Project_Data[#Headers],0))</f>
        <v>National Grid Electricity Transmission</v>
      </c>
      <c r="B9" s="89" t="str">
        <f>INDEX(Project_Data[], MATCH($C9, Project_Data[[Project_Name]:[Project_Name]], 0), MATCH("Licensee",Project_Data[#Headers],0))</f>
        <v>NGET</v>
      </c>
      <c r="C9" s="313" t="s">
        <v>369</v>
      </c>
      <c r="D9" s="185">
        <f>INDEX(Project_Data[], MATCH($C9, Project_Data[[Project_Name]:[Project_Name]], 0), MATCH("Submitted_Cost_Submission",Project_Data[#Headers],0))</f>
        <v>28.45168</v>
      </c>
      <c r="E9" s="185">
        <f t="shared" si="0"/>
        <v>-28.45168</v>
      </c>
      <c r="F9" s="186">
        <f>INDEX(Project_Data[], MATCH($C9, Project_Data[[Project_Name]:[Project_Name]], 0), MATCH("Allowance_Draft",Project_Data[#Headers],0))</f>
        <v>0</v>
      </c>
    </row>
    <row r="10" spans="1:6">
      <c r="A10" s="89" t="str">
        <f>INDEX(Project_Data[], MATCH($C10, Project_Data[[Project_Name]:[Project_Name]], 0), MATCH("Sector_Group",Project_Data[#Headers],0))</f>
        <v>National Grid Electricity Transmission</v>
      </c>
      <c r="B10" s="89" t="str">
        <f>INDEX(Project_Data[], MATCH($C10, Project_Data[[Project_Name]:[Project_Name]], 0), MATCH("Licensee",Project_Data[#Headers],0))</f>
        <v>NGET</v>
      </c>
      <c r="C10" s="313" t="s">
        <v>370</v>
      </c>
      <c r="D10" s="185">
        <f>INDEX(Project_Data[], MATCH($C10, Project_Data[[Project_Name]:[Project_Name]], 0), MATCH("Submitted_Cost_Submission",Project_Data[#Headers],0))</f>
        <v>1.6055200000000001</v>
      </c>
      <c r="E10" s="185">
        <f t="shared" si="0"/>
        <v>0.12041999999999997</v>
      </c>
      <c r="F10" s="186">
        <f>INDEX(Project_Data[], MATCH($C10, Project_Data[[Project_Name]:[Project_Name]], 0), MATCH("Allowance_Draft",Project_Data[#Headers],0))</f>
        <v>1.72594</v>
      </c>
    </row>
    <row r="11" spans="1:6">
      <c r="A11" s="89" t="str">
        <f>INDEX(Project_Data[], MATCH($C11, Project_Data[[Project_Name]:[Project_Name]], 0), MATCH("Sector_Group",Project_Data[#Headers],0))</f>
        <v>National Grid Electricity Transmission</v>
      </c>
      <c r="B11" s="89" t="str">
        <f>INDEX(Project_Data[], MATCH($C11, Project_Data[[Project_Name]:[Project_Name]], 0), MATCH("Licensee",Project_Data[#Headers],0))</f>
        <v>NGET</v>
      </c>
      <c r="C11" s="313" t="s">
        <v>371</v>
      </c>
      <c r="D11" s="185">
        <f>INDEX(Project_Data[], MATCH($C11, Project_Data[[Project_Name]:[Project_Name]], 0), MATCH("Submitted_Cost_Submission",Project_Data[#Headers],0))</f>
        <v>2.8541699999999999</v>
      </c>
      <c r="E11" s="185">
        <f t="shared" si="0"/>
        <v>-5.8300000000000018E-2</v>
      </c>
      <c r="F11" s="186">
        <f>INDEX(Project_Data[], MATCH($C11, Project_Data[[Project_Name]:[Project_Name]], 0), MATCH("Allowance_Draft",Project_Data[#Headers],0))</f>
        <v>2.7958699999999999</v>
      </c>
    </row>
    <row r="12" spans="1:6">
      <c r="A12" s="89" t="str">
        <f>INDEX(Project_Data[], MATCH($C12, Project_Data[[Project_Name]:[Project_Name]], 0), MATCH("Sector_Group",Project_Data[#Headers],0))</f>
        <v>National Grid Electricity Transmission</v>
      </c>
      <c r="B12" s="89" t="str">
        <f>INDEX(Project_Data[], MATCH($C12, Project_Data[[Project_Name]:[Project_Name]], 0), MATCH("Licensee",Project_Data[#Headers],0))</f>
        <v>NGET</v>
      </c>
      <c r="C12" s="313" t="s">
        <v>372</v>
      </c>
      <c r="D12" s="185">
        <f>INDEX(Project_Data[], MATCH($C12, Project_Data[[Project_Name]:[Project_Name]], 0), MATCH("Submitted_Cost_Submission",Project_Data[#Headers],0))</f>
        <v>0.84775999999999996</v>
      </c>
      <c r="E12" s="185">
        <f t="shared" si="0"/>
        <v>-2.2749999999999937E-2</v>
      </c>
      <c r="F12" s="186">
        <f>INDEX(Project_Data[], MATCH($C12, Project_Data[[Project_Name]:[Project_Name]], 0), MATCH("Allowance_Draft",Project_Data[#Headers],0))</f>
        <v>0.82501000000000002</v>
      </c>
    </row>
    <row r="13" spans="1:6" ht="20">
      <c r="A13" s="89" t="str">
        <f>INDEX(Project_Data[], MATCH($C13, Project_Data[[Project_Name]:[Project_Name]], 0), MATCH("Sector_Group",Project_Data[#Headers],0))</f>
        <v>National Grid Electricity Transmission</v>
      </c>
      <c r="B13" s="89" t="str">
        <f>INDEX(Project_Data[], MATCH($C13, Project_Data[[Project_Name]:[Project_Name]], 0), MATCH("Licensee",Project_Data[#Headers],0))</f>
        <v>NGET</v>
      </c>
      <c r="C13" s="313" t="s">
        <v>373</v>
      </c>
      <c r="D13" s="185">
        <f>INDEX(Project_Data[], MATCH($C13, Project_Data[[Project_Name]:[Project_Name]], 0), MATCH("Submitted_Cost_Submission",Project_Data[#Headers],0))</f>
        <v>6.7997399999999999</v>
      </c>
      <c r="E13" s="185">
        <f t="shared" si="0"/>
        <v>-1.6416199999999996</v>
      </c>
      <c r="F13" s="186">
        <f>INDEX(Project_Data[], MATCH($C13, Project_Data[[Project_Name]:[Project_Name]], 0), MATCH("Allowance_Draft",Project_Data[#Headers],0))</f>
        <v>5.1581200000000003</v>
      </c>
    </row>
    <row r="14" spans="1:6">
      <c r="A14" s="89" t="str">
        <f>INDEX(Project_Data[], MATCH($C14, Project_Data[[Project_Name]:[Project_Name]], 0), MATCH("Sector_Group",Project_Data[#Headers],0))</f>
        <v>National Grid Electricity Transmission</v>
      </c>
      <c r="B14" s="89" t="str">
        <f>INDEX(Project_Data[], MATCH($C14, Project_Data[[Project_Name]:[Project_Name]], 0), MATCH("Licensee",Project_Data[#Headers],0))</f>
        <v>NGET</v>
      </c>
      <c r="C14" s="313" t="s">
        <v>374</v>
      </c>
      <c r="D14" s="185">
        <f>INDEX(Project_Data[], MATCH($C14, Project_Data[[Project_Name]:[Project_Name]], 0), MATCH("Submitted_Cost_Submission",Project_Data[#Headers],0))</f>
        <v>6.0673599999999999</v>
      </c>
      <c r="E14" s="185">
        <f t="shared" si="0"/>
        <v>-0.27456999999999976</v>
      </c>
      <c r="F14" s="186">
        <f>INDEX(Project_Data[], MATCH($C14, Project_Data[[Project_Name]:[Project_Name]], 0), MATCH("Allowance_Draft",Project_Data[#Headers],0))</f>
        <v>5.7927900000000001</v>
      </c>
    </row>
    <row r="15" spans="1:6" ht="20">
      <c r="A15" s="89" t="str">
        <f>INDEX(Project_Data[], MATCH($C15, Project_Data[[Project_Name]:[Project_Name]], 0), MATCH("Sector_Group",Project_Data[#Headers],0))</f>
        <v>National Grid Electricity Transmission</v>
      </c>
      <c r="B15" s="89" t="str">
        <f>INDEX(Project_Data[], MATCH($C15, Project_Data[[Project_Name]:[Project_Name]], 0), MATCH("Licensee",Project_Data[#Headers],0))</f>
        <v>NGET</v>
      </c>
      <c r="C15" s="313" t="s">
        <v>375</v>
      </c>
      <c r="D15" s="185">
        <f>INDEX(Project_Data[], MATCH($C15, Project_Data[[Project_Name]:[Project_Name]], 0), MATCH("Submitted_Cost_Submission",Project_Data[#Headers],0))</f>
        <v>17.03444</v>
      </c>
      <c r="E15" s="185">
        <f t="shared" si="0"/>
        <v>-0.81361000000000061</v>
      </c>
      <c r="F15" s="186">
        <f>INDEX(Project_Data[], MATCH($C15, Project_Data[[Project_Name]:[Project_Name]], 0), MATCH("Allowance_Draft",Project_Data[#Headers],0))</f>
        <v>16.220829999999999</v>
      </c>
    </row>
    <row r="16" spans="1:6">
      <c r="A16" s="89" t="str">
        <f>INDEX(Project_Data[], MATCH($C16, Project_Data[[Project_Name]:[Project_Name]], 0), MATCH("Sector_Group",Project_Data[#Headers],0))</f>
        <v>National Grid Electricity Transmission</v>
      </c>
      <c r="B16" s="89" t="str">
        <f>INDEX(Project_Data[], MATCH($C16, Project_Data[[Project_Name]:[Project_Name]], 0), MATCH("Licensee",Project_Data[#Headers],0))</f>
        <v>NGET</v>
      </c>
      <c r="C16" s="313" t="s">
        <v>376</v>
      </c>
      <c r="D16" s="185">
        <f>INDEX(Project_Data[], MATCH($C16, Project_Data[[Project_Name]:[Project_Name]], 0), MATCH("Submitted_Cost_Submission",Project_Data[#Headers],0))</f>
        <v>57.848390000000002</v>
      </c>
      <c r="E16" s="185">
        <f t="shared" si="0"/>
        <v>-21.338640000000005</v>
      </c>
      <c r="F16" s="186">
        <f>INDEX(Project_Data[], MATCH($C16, Project_Data[[Project_Name]:[Project_Name]], 0), MATCH("Allowance_Draft",Project_Data[#Headers],0))</f>
        <v>36.509749999999997</v>
      </c>
    </row>
    <row r="17" spans="1:6" ht="20">
      <c r="A17" s="89" t="str">
        <f>INDEX(Project_Data[], MATCH($C17, Project_Data[[Project_Name]:[Project_Name]], 0), MATCH("Sector_Group",Project_Data[#Headers],0))</f>
        <v>Scottish Hydro Electric Transmission</v>
      </c>
      <c r="B17" s="89" t="str">
        <f>INDEX(Project_Data[], MATCH($C17, Project_Data[[Project_Name]:[Project_Name]], 0), MATCH("Licensee",Project_Data[#Headers],0))</f>
        <v>SHET</v>
      </c>
      <c r="C17" s="313" t="s">
        <v>377</v>
      </c>
      <c r="D17" s="185">
        <f>INDEX(Project_Data[], MATCH($C17, Project_Data[[Project_Name]:[Project_Name]], 0), MATCH("Submitted_Cost_Submission",Project_Data[#Headers],0))</f>
        <v>0.40899999999999997</v>
      </c>
      <c r="E17" s="185">
        <f t="shared" si="0"/>
        <v>-6.2E-2</v>
      </c>
      <c r="F17" s="186">
        <f>INDEX(Project_Data[], MATCH($C17, Project_Data[[Project_Name]:[Project_Name]], 0), MATCH("Allowance_Draft",Project_Data[#Headers],0))</f>
        <v>0.34699999999999998</v>
      </c>
    </row>
    <row r="18" spans="1:6" ht="20">
      <c r="A18" s="89" t="str">
        <f>INDEX(Project_Data[], MATCH($C18, Project_Data[[Project_Name]:[Project_Name]], 0), MATCH("Sector_Group",Project_Data[#Headers],0))</f>
        <v>Scottish Hydro Electric Transmission</v>
      </c>
      <c r="B18" s="89" t="str">
        <f>INDEX(Project_Data[], MATCH($C18, Project_Data[[Project_Name]:[Project_Name]], 0), MATCH("Licensee",Project_Data[#Headers],0))</f>
        <v>SHET</v>
      </c>
      <c r="C18" s="313" t="s">
        <v>378</v>
      </c>
      <c r="D18" s="185">
        <f>INDEX(Project_Data[], MATCH($C18, Project_Data[[Project_Name]:[Project_Name]], 0), MATCH("Submitted_Cost_Submission",Project_Data[#Headers],0))</f>
        <v>1.4855100000000001</v>
      </c>
      <c r="E18" s="185">
        <f t="shared" si="0"/>
        <v>-0.46692</v>
      </c>
      <c r="F18" s="186">
        <f>INDEX(Project_Data[], MATCH($C18, Project_Data[[Project_Name]:[Project_Name]], 0), MATCH("Allowance_Draft",Project_Data[#Headers],0))</f>
        <v>1.0185900000000001</v>
      </c>
    </row>
    <row r="19" spans="1:6" ht="20">
      <c r="A19" s="89" t="str">
        <f>INDEX(Project_Data[], MATCH($C19, Project_Data[[Project_Name]:[Project_Name]], 0), MATCH("Sector_Group",Project_Data[#Headers],0))</f>
        <v>Scottish Hydro Electric Transmission</v>
      </c>
      <c r="B19" s="89" t="str">
        <f>INDEX(Project_Data[], MATCH($C19, Project_Data[[Project_Name]:[Project_Name]], 0), MATCH("Licensee",Project_Data[#Headers],0))</f>
        <v>SHET</v>
      </c>
      <c r="C19" s="313" t="s">
        <v>379</v>
      </c>
      <c r="D19" s="185">
        <f>INDEX(Project_Data[], MATCH($C19, Project_Data[[Project_Name]:[Project_Name]], 0), MATCH("Submitted_Cost_Submission",Project_Data[#Headers],0))</f>
        <v>1.0434399999999999</v>
      </c>
      <c r="E19" s="185">
        <f t="shared" si="0"/>
        <v>-0.32231999999999994</v>
      </c>
      <c r="F19" s="186">
        <f>INDEX(Project_Data[], MATCH($C19, Project_Data[[Project_Name]:[Project_Name]], 0), MATCH("Allowance_Draft",Project_Data[#Headers],0))</f>
        <v>0.72111999999999998</v>
      </c>
    </row>
    <row r="20" spans="1:6">
      <c r="A20" s="89" t="str">
        <f>INDEX(Project_Data[], MATCH($C20, Project_Data[[Project_Name]:[Project_Name]], 0), MATCH("Sector_Group",Project_Data[#Headers],0))</f>
        <v>Scottish Hydro Electric Transmission</v>
      </c>
      <c r="B20" s="89" t="str">
        <f>INDEX(Project_Data[], MATCH($C20, Project_Data[[Project_Name]:[Project_Name]], 0), MATCH("Licensee",Project_Data[#Headers],0))</f>
        <v>SHET</v>
      </c>
      <c r="C20" s="313" t="s">
        <v>380</v>
      </c>
      <c r="D20" s="185">
        <f>INDEX(Project_Data[], MATCH($C20, Project_Data[[Project_Name]:[Project_Name]], 0), MATCH("Submitted_Cost_Submission",Project_Data[#Headers],0))</f>
        <v>4.9744599999999997</v>
      </c>
      <c r="E20" s="185">
        <f t="shared" si="0"/>
        <v>-1.4019999999999997</v>
      </c>
      <c r="F20" s="186">
        <f>INDEX(Project_Data[], MATCH($C20, Project_Data[[Project_Name]:[Project_Name]], 0), MATCH("Allowance_Draft",Project_Data[#Headers],0))</f>
        <v>3.57246</v>
      </c>
    </row>
    <row r="21" spans="1:6">
      <c r="A21" s="89" t="str">
        <f>INDEX(Project_Data[], MATCH($C21, Project_Data[[Project_Name]:[Project_Name]], 0), MATCH("Sector_Group",Project_Data[#Headers],0))</f>
        <v>SP Transmission</v>
      </c>
      <c r="B21" s="89" t="str">
        <f>INDEX(Project_Data[], MATCH($C21, Project_Data[[Project_Name]:[Project_Name]], 0), MATCH("Licensee",Project_Data[#Headers],0))</f>
        <v>SPT</v>
      </c>
      <c r="C21" s="313" t="s">
        <v>381</v>
      </c>
      <c r="D21" s="185">
        <f>INDEX(Project_Data[], MATCH($C21, Project_Data[[Project_Name]:[Project_Name]], 0), MATCH("Submitted_Cost_Submission",Project_Data[#Headers],0))</f>
        <v>51.029000000000003</v>
      </c>
      <c r="E21" s="185">
        <f t="shared" si="0"/>
        <v>-2.8624300000000034</v>
      </c>
      <c r="F21" s="186">
        <f>INDEX(Project_Data[], MATCH($C21, Project_Data[[Project_Name]:[Project_Name]], 0), MATCH("Allowance_Draft",Project_Data[#Headers],0))</f>
        <v>48.16657</v>
      </c>
    </row>
    <row r="22" spans="1:6" ht="30">
      <c r="A22" s="89" t="str">
        <f>INDEX(Project_Data[], MATCH($C22, Project_Data[[Project_Name]:[Project_Name]], 0), MATCH("Sector_Group",Project_Data[#Headers],0))</f>
        <v>SP Transmission</v>
      </c>
      <c r="B22" s="89" t="str">
        <f>INDEX(Project_Data[], MATCH($C22, Project_Data[[Project_Name]:[Project_Name]], 0), MATCH("Licensee",Project_Data[#Headers],0))</f>
        <v>SPT</v>
      </c>
      <c r="C22" s="313" t="s">
        <v>382</v>
      </c>
      <c r="D22" s="185">
        <f>INDEX(Project_Data[], MATCH($C22, Project_Data[[Project_Name]:[Project_Name]], 0), MATCH("Submitted_Cost_Submission",Project_Data[#Headers],0))</f>
        <v>0.23599999999999999</v>
      </c>
      <c r="E22" s="185">
        <f t="shared" si="0"/>
        <v>-1.5799999999999981E-3</v>
      </c>
      <c r="F22" s="186">
        <f>INDEX(Project_Data[], MATCH($C22, Project_Data[[Project_Name]:[Project_Name]], 0), MATCH("Allowance_Draft",Project_Data[#Headers],0))</f>
        <v>0.23441999999999999</v>
      </c>
    </row>
    <row r="23" spans="1:6" ht="20">
      <c r="A23" s="89" t="str">
        <f>INDEX(Project_Data[], MATCH($C23, Project_Data[[Project_Name]:[Project_Name]], 0), MATCH("Sector_Group",Project_Data[#Headers],0))</f>
        <v>SP Transmission</v>
      </c>
      <c r="B23" s="89" t="str">
        <f>INDEX(Project_Data[], MATCH($C23, Project_Data[[Project_Name]:[Project_Name]], 0), MATCH("Licensee",Project_Data[#Headers],0))</f>
        <v>SPT</v>
      </c>
      <c r="C23" s="313" t="s">
        <v>383</v>
      </c>
      <c r="D23" s="185">
        <f>INDEX(Project_Data[], MATCH($C23, Project_Data[[Project_Name]:[Project_Name]], 0), MATCH("Submitted_Cost_Submission",Project_Data[#Headers],0))</f>
        <v>3.7702399999999998</v>
      </c>
      <c r="E23" s="185">
        <f t="shared" si="0"/>
        <v>-6.8779999999999841E-2</v>
      </c>
      <c r="F23" s="186">
        <f>INDEX(Project_Data[], MATCH($C23, Project_Data[[Project_Name]:[Project_Name]], 0), MATCH("Allowance_Draft",Project_Data[#Headers],0))</f>
        <v>3.70146</v>
      </c>
    </row>
    <row r="24" spans="1:6" ht="20">
      <c r="A24" s="89" t="str">
        <f>INDEX(Project_Data[], MATCH($C24, Project_Data[[Project_Name]:[Project_Name]], 0), MATCH("Sector_Group",Project_Data[#Headers],0))</f>
        <v>SP Transmission</v>
      </c>
      <c r="B24" s="89" t="str">
        <f>INDEX(Project_Data[], MATCH($C24, Project_Data[[Project_Name]:[Project_Name]], 0), MATCH("Licensee",Project_Data[#Headers],0))</f>
        <v>SPT</v>
      </c>
      <c r="C24" s="313" t="s">
        <v>384</v>
      </c>
      <c r="D24" s="185">
        <f>INDEX(Project_Data[], MATCH($C24, Project_Data[[Project_Name]:[Project_Name]], 0), MATCH("Submitted_Cost_Submission",Project_Data[#Headers],0))</f>
        <v>0.40600000000000003</v>
      </c>
      <c r="E24" s="185">
        <f t="shared" si="0"/>
        <v>-9.4000000000000195E-3</v>
      </c>
      <c r="F24" s="186">
        <f>INDEX(Project_Data[], MATCH($C24, Project_Data[[Project_Name]:[Project_Name]], 0), MATCH("Allowance_Draft",Project_Data[#Headers],0))</f>
        <v>0.39660000000000001</v>
      </c>
    </row>
    <row r="25" spans="1:6">
      <c r="A25" s="89" t="str">
        <f>INDEX(Project_Data[], MATCH($C25, Project_Data[[Project_Name]:[Project_Name]], 0), MATCH("Sector_Group",Project_Data[#Headers],0))</f>
        <v>SP Transmission</v>
      </c>
      <c r="B25" s="89" t="str">
        <f>INDEX(Project_Data[], MATCH($C25, Project_Data[[Project_Name]:[Project_Name]], 0), MATCH("Licensee",Project_Data[#Headers],0))</f>
        <v>SPT</v>
      </c>
      <c r="C25" s="313" t="s">
        <v>385</v>
      </c>
      <c r="D25" s="185">
        <f>INDEX(Project_Data[], MATCH($C25, Project_Data[[Project_Name]:[Project_Name]], 0), MATCH("Submitted_Cost_Submission",Project_Data[#Headers],0))</f>
        <v>4.2949999999999999</v>
      </c>
      <c r="E25" s="185">
        <f t="shared" si="0"/>
        <v>0</v>
      </c>
      <c r="F25" s="186">
        <f>INDEX(Project_Data[], MATCH($C25, Project_Data[[Project_Name]:[Project_Name]], 0), MATCH("Allowance_Draft",Project_Data[#Headers],0))</f>
        <v>4.2949999999999999</v>
      </c>
    </row>
    <row r="26" spans="1:6" ht="20">
      <c r="A26" s="89" t="str">
        <f>INDEX(Project_Data[], MATCH($C26, Project_Data[[Project_Name]:[Project_Name]], 0), MATCH("Sector_Group",Project_Data[#Headers],0))</f>
        <v>SP Transmission</v>
      </c>
      <c r="B26" s="89" t="str">
        <f>INDEX(Project_Data[], MATCH($C26, Project_Data[[Project_Name]:[Project_Name]], 0), MATCH("Licensee",Project_Data[#Headers],0))</f>
        <v>SPT</v>
      </c>
      <c r="C26" s="313" t="s">
        <v>386</v>
      </c>
      <c r="D26" s="185">
        <f>INDEX(Project_Data[], MATCH($C26, Project_Data[[Project_Name]:[Project_Name]], 0), MATCH("Submitted_Cost_Submission",Project_Data[#Headers],0))</f>
        <v>13.539289999999999</v>
      </c>
      <c r="E26" s="185">
        <f t="shared" si="0"/>
        <v>-0.52567999999999948</v>
      </c>
      <c r="F26" s="186">
        <f>INDEX(Project_Data[], MATCH($C26, Project_Data[[Project_Name]:[Project_Name]], 0), MATCH("Allowance_Draft",Project_Data[#Headers],0))</f>
        <v>13.01361</v>
      </c>
    </row>
    <row r="27" spans="1:6" ht="20">
      <c r="A27" s="89" t="str">
        <f>INDEX(Project_Data[], MATCH($C27, Project_Data[[Project_Name]:[Project_Name]], 0), MATCH("Sector_Group",Project_Data[#Headers],0))</f>
        <v>SP Transmission</v>
      </c>
      <c r="B27" s="89" t="str">
        <f>INDEX(Project_Data[], MATCH($C27, Project_Data[[Project_Name]:[Project_Name]], 0), MATCH("Licensee",Project_Data[#Headers],0))</f>
        <v>SPT</v>
      </c>
      <c r="C27" s="314" t="s">
        <v>387</v>
      </c>
      <c r="D27" s="188">
        <f>INDEX(Project_Data[], MATCH($C27, Project_Data[[Project_Name]:[Project_Name]], 0), MATCH("Submitted_Cost_Submission",Project_Data[#Headers],0))</f>
        <v>8.1809999999999992</v>
      </c>
      <c r="E27" s="188">
        <f t="shared" si="0"/>
        <v>-3.7253799999999995</v>
      </c>
      <c r="F27" s="189">
        <f>INDEX(Project_Data[], MATCH($C27, Project_Data[[Project_Name]:[Project_Name]], 0), MATCH("Allowance_Draft",Project_Data[#Headers],0))</f>
        <v>4.4556199999999997</v>
      </c>
    </row>
    <row r="28" spans="1:6">
      <c r="A28" s="305" t="s">
        <v>388</v>
      </c>
    </row>
  </sheetData>
  <dataValidations count="1">
    <dataValidation type="list" allowBlank="1" showInputMessage="1" showErrorMessage="1" sqref="C4:C27" xr:uid="{DDABBC6D-6A08-4FA1-96AA-1F6240A5D635}">
      <formula1>list_Projects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44364-FEEC-45F5-80F6-536F6674884F}">
  <sheetPr>
    <tabColor theme="7" tint="0.59999389629810485"/>
    <pageSetUpPr autoPageBreaks="0"/>
  </sheetPr>
  <dimension ref="A2:G13"/>
  <sheetViews>
    <sheetView workbookViewId="0">
      <selection activeCell="D28" sqref="D28"/>
    </sheetView>
  </sheetViews>
  <sheetFormatPr defaultRowHeight="13.5"/>
  <cols>
    <col min="1" max="1" width="26.765625" customWidth="1"/>
    <col min="2" max="5" width="18.15234375" customWidth="1"/>
  </cols>
  <sheetData>
    <row r="2" spans="1:7">
      <c r="A2" t="s">
        <v>157</v>
      </c>
    </row>
    <row r="3" spans="1:7" ht="40.5">
      <c r="A3" s="96" t="s">
        <v>389</v>
      </c>
      <c r="B3" s="96" t="s">
        <v>390</v>
      </c>
      <c r="C3" s="96" t="s">
        <v>391</v>
      </c>
      <c r="D3" s="96" t="s">
        <v>392</v>
      </c>
      <c r="E3" s="96" t="s">
        <v>393</v>
      </c>
    </row>
    <row r="4" spans="1:7">
      <c r="A4" s="97">
        <v>12</v>
      </c>
      <c r="B4" s="315">
        <v>12</v>
      </c>
      <c r="C4" s="97">
        <v>0</v>
      </c>
      <c r="D4" s="97">
        <v>9</v>
      </c>
      <c r="E4" s="315">
        <v>3</v>
      </c>
      <c r="G4" s="172"/>
    </row>
    <row r="10" spans="1:7">
      <c r="A10" s="67"/>
    </row>
    <row r="11" spans="1:7">
      <c r="A11" s="66"/>
    </row>
    <row r="12" spans="1:7">
      <c r="A12" s="66"/>
    </row>
    <row r="13" spans="1:7">
      <c r="A13" s="66"/>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A40D-E237-4220-B6EB-43C3F417ED6F}">
  <sheetPr>
    <tabColor theme="7" tint="0.59999389629810485"/>
    <pageSetUpPr autoPageBreaks="0"/>
  </sheetPr>
  <dimension ref="A1:M53"/>
  <sheetViews>
    <sheetView zoomScaleNormal="100" workbookViewId="0">
      <selection activeCell="I1" sqref="I1"/>
    </sheetView>
  </sheetViews>
  <sheetFormatPr defaultRowHeight="13.5"/>
  <cols>
    <col min="1" max="1" width="26.765625" customWidth="1"/>
    <col min="2" max="9" width="10.84375" customWidth="1"/>
    <col min="10" max="10" width="3.84375" bestFit="1" customWidth="1"/>
    <col min="11" max="11" width="10.23046875" customWidth="1"/>
  </cols>
  <sheetData>
    <row r="1" spans="1:13">
      <c r="I1" s="316"/>
    </row>
    <row r="2" spans="1:13">
      <c r="A2" t="s">
        <v>159</v>
      </c>
    </row>
    <row r="3" spans="1:13" ht="40">
      <c r="A3" s="90" t="s">
        <v>394</v>
      </c>
      <c r="B3" s="92" t="s">
        <v>395</v>
      </c>
      <c r="C3" s="92" t="s">
        <v>396</v>
      </c>
      <c r="D3" s="92" t="s">
        <v>397</v>
      </c>
      <c r="E3" s="92" t="s">
        <v>398</v>
      </c>
      <c r="F3" s="92" t="s">
        <v>399</v>
      </c>
      <c r="G3" s="92" t="s">
        <v>400</v>
      </c>
      <c r="H3" s="92" t="s">
        <v>401</v>
      </c>
      <c r="I3" s="93" t="s">
        <v>402</v>
      </c>
      <c r="K3" s="308" t="s">
        <v>403</v>
      </c>
    </row>
    <row r="4" spans="1:13" ht="20">
      <c r="A4" s="101" t="s">
        <v>364</v>
      </c>
      <c r="B4" s="317">
        <f>VLOOKUP($A4,ET_MSIP_Projects[[Company Requested Project]:[Ofgem’s DD - Allowances £m]],2,FALSE)</f>
        <v>8.1218000000000004</v>
      </c>
      <c r="C4" s="318">
        <v>-0.2566342392490889</v>
      </c>
      <c r="D4" s="318">
        <v>-8.8230031390978906E-3</v>
      </c>
      <c r="E4" s="318">
        <v>4.0804759644610167E-2</v>
      </c>
      <c r="F4" s="318">
        <v>0</v>
      </c>
      <c r="G4" s="318">
        <v>0</v>
      </c>
      <c r="H4" s="318">
        <v>0</v>
      </c>
      <c r="I4" s="319">
        <f>VLOOKUP($A4,ET_MSIP_Projects[[Company Requested Project]:[Ofgem’s DD - Allowances £m]],4,FALSE)</f>
        <v>7.8971499999999999</v>
      </c>
      <c r="J4" s="84" t="str">
        <f>IFERROR(IF(ABS(B4 - K4) &lt; 0.005, "OK", "Error"),"Error")</f>
        <v>OK</v>
      </c>
      <c r="K4" s="309">
        <f>I4-SUM(C4:H4)</f>
        <v>8.1218024827435773</v>
      </c>
    </row>
    <row r="5" spans="1:13" ht="20">
      <c r="A5" s="101" t="s">
        <v>365</v>
      </c>
      <c r="B5" s="317">
        <f>VLOOKUP($A5,ET_MSIP_Projects[[Company Requested Project]:[Ofgem’s DD - Allowances £m]],2,FALSE)</f>
        <v>7.8385300000000004</v>
      </c>
      <c r="C5" s="318">
        <v>-6.2987966175240287E-2</v>
      </c>
      <c r="D5" s="318">
        <v>-0.15830784678692134</v>
      </c>
      <c r="E5" s="318">
        <v>-0.22070725215778284</v>
      </c>
      <c r="F5" s="318">
        <v>0</v>
      </c>
      <c r="G5" s="318">
        <v>0</v>
      </c>
      <c r="H5" s="318">
        <v>0</v>
      </c>
      <c r="I5" s="319">
        <f>VLOOKUP($A5,ET_MSIP_Projects[[Company Requested Project]:[Ofgem’s DD - Allowances £m]],4,FALSE)</f>
        <v>7.3965199999999998</v>
      </c>
      <c r="J5" s="84" t="str">
        <f t="shared" ref="J5:J17" si="0">IFERROR(IF(ABS(B5 - K5) &lt; 0.005, "OK", "Error"),"Error")</f>
        <v>OK</v>
      </c>
      <c r="K5" s="309">
        <f t="shared" ref="K5:K16" si="1">I5-SUM(C5:H5)</f>
        <v>7.8385230651199445</v>
      </c>
      <c r="M5" s="172"/>
    </row>
    <row r="6" spans="1:13">
      <c r="A6" s="101" t="s">
        <v>366</v>
      </c>
      <c r="B6" s="317">
        <f>VLOOKUP($A6,ET_MSIP_Projects[[Company Requested Project]:[Ofgem’s DD - Allowances £m]],2,FALSE)</f>
        <v>1.3228800000000001</v>
      </c>
      <c r="C6" s="318">
        <v>0</v>
      </c>
      <c r="D6" s="318">
        <v>0</v>
      </c>
      <c r="E6" s="318">
        <v>-0.25541945529192173</v>
      </c>
      <c r="F6" s="318">
        <v>0</v>
      </c>
      <c r="G6" s="318">
        <v>-0.36485888487055501</v>
      </c>
      <c r="H6" s="318">
        <v>0</v>
      </c>
      <c r="I6" s="319">
        <f>VLOOKUP($A6,ET_MSIP_Projects[[Company Requested Project]:[Ofgem’s DD - Allowances £m]],4,FALSE)</f>
        <v>0.7026</v>
      </c>
      <c r="J6" s="84" t="str">
        <f t="shared" si="0"/>
        <v>OK</v>
      </c>
      <c r="K6" s="309">
        <f t="shared" si="1"/>
        <v>1.3228783401624766</v>
      </c>
    </row>
    <row r="7" spans="1:13">
      <c r="A7" s="101" t="s">
        <v>367</v>
      </c>
      <c r="B7" s="317">
        <f>VLOOKUP($A7,ET_MSIP_Projects[[Company Requested Project]:[Ofgem’s DD - Allowances £m]],2,FALSE)</f>
        <v>20.9419</v>
      </c>
      <c r="C7" s="318">
        <v>0</v>
      </c>
      <c r="D7" s="318">
        <v>0</v>
      </c>
      <c r="E7" s="318">
        <v>0</v>
      </c>
      <c r="F7" s="318">
        <v>-20.941902416283057</v>
      </c>
      <c r="G7" s="318">
        <v>0</v>
      </c>
      <c r="H7" s="318">
        <v>0</v>
      </c>
      <c r="I7" s="319">
        <f>VLOOKUP($A7,ET_MSIP_Projects[[Company Requested Project]:[Ofgem’s DD - Allowances £m]],4,FALSE)</f>
        <v>0</v>
      </c>
      <c r="J7" s="84" t="str">
        <f t="shared" si="0"/>
        <v>OK</v>
      </c>
      <c r="K7" s="309">
        <f t="shared" si="1"/>
        <v>20.941902416283057</v>
      </c>
      <c r="M7" s="172"/>
    </row>
    <row r="8" spans="1:13">
      <c r="A8" s="101" t="s">
        <v>368</v>
      </c>
      <c r="B8" s="317">
        <f>VLOOKUP($A8,ET_MSIP_Projects[[Company Requested Project]:[Ofgem’s DD - Allowances £m]],2,FALSE)</f>
        <v>45.030709999999999</v>
      </c>
      <c r="C8" s="318">
        <v>-0.15506142214894572</v>
      </c>
      <c r="D8" s="318">
        <v>-0.11845187594797725</v>
      </c>
      <c r="E8" s="318">
        <v>-7.1155187382984568</v>
      </c>
      <c r="F8" s="318">
        <v>0</v>
      </c>
      <c r="G8" s="318">
        <v>0</v>
      </c>
      <c r="H8" s="318">
        <v>0</v>
      </c>
      <c r="I8" s="319">
        <f>VLOOKUP($A8,ET_MSIP_Projects[[Company Requested Project]:[Ofgem’s DD - Allowances £m]],4,FALSE)</f>
        <v>37.641779999999997</v>
      </c>
      <c r="J8" s="84" t="str">
        <f t="shared" si="0"/>
        <v>OK</v>
      </c>
      <c r="K8" s="309">
        <f t="shared" si="1"/>
        <v>45.030812036395375</v>
      </c>
      <c r="M8" s="172"/>
    </row>
    <row r="9" spans="1:13">
      <c r="A9" s="101" t="s">
        <v>369</v>
      </c>
      <c r="B9" s="317">
        <f>VLOOKUP($A9,ET_MSIP_Projects[[Company Requested Project]:[Ofgem’s DD - Allowances £m]],2,FALSE)</f>
        <v>28.45168</v>
      </c>
      <c r="C9" s="318">
        <v>0</v>
      </c>
      <c r="D9" s="318">
        <v>0</v>
      </c>
      <c r="E9" s="318">
        <v>0</v>
      </c>
      <c r="F9" s="318">
        <v>0</v>
      </c>
      <c r="G9" s="318">
        <v>0</v>
      </c>
      <c r="H9" s="318">
        <v>-28.451675888429886</v>
      </c>
      <c r="I9" s="319">
        <f>VLOOKUP($A9,ET_MSIP_Projects[[Company Requested Project]:[Ofgem’s DD - Allowances £m]],4,FALSE)</f>
        <v>0</v>
      </c>
      <c r="J9" s="84" t="str">
        <f t="shared" si="0"/>
        <v>OK</v>
      </c>
      <c r="K9" s="309">
        <f t="shared" si="1"/>
        <v>28.451675888429886</v>
      </c>
      <c r="M9" s="172"/>
    </row>
    <row r="10" spans="1:13">
      <c r="A10" s="101" t="s">
        <v>370</v>
      </c>
      <c r="B10" s="317">
        <f>VLOOKUP($A10,ET_MSIP_Projects[[Company Requested Project]:[Ofgem’s DD - Allowances £m]],2,FALSE)</f>
        <v>1.6055200000000001</v>
      </c>
      <c r="C10" s="318">
        <v>0</v>
      </c>
      <c r="D10" s="318">
        <v>0</v>
      </c>
      <c r="E10" s="318">
        <v>0.1204142767500094</v>
      </c>
      <c r="F10" s="318">
        <v>0</v>
      </c>
      <c r="G10" s="318">
        <v>0</v>
      </c>
      <c r="H10" s="318">
        <v>0</v>
      </c>
      <c r="I10" s="319">
        <f>VLOOKUP($A10,ET_MSIP_Projects[[Company Requested Project]:[Ofgem’s DD - Allowances £m]],4,FALSE)</f>
        <v>1.72594</v>
      </c>
      <c r="J10" s="84" t="str">
        <f t="shared" si="0"/>
        <v>OK</v>
      </c>
      <c r="K10" s="309">
        <f t="shared" si="1"/>
        <v>1.6055257232499907</v>
      </c>
    </row>
    <row r="11" spans="1:13">
      <c r="A11" s="101" t="s">
        <v>371</v>
      </c>
      <c r="B11" s="317">
        <f>VLOOKUP($A11,ET_MSIP_Projects[[Company Requested Project]:[Ofgem’s DD - Allowances £m]],2,FALSE)</f>
        <v>2.8541699999999999</v>
      </c>
      <c r="C11" s="318">
        <v>-2.1275732186001378E-3</v>
      </c>
      <c r="D11" s="318">
        <v>-1.7891025896735104E-2</v>
      </c>
      <c r="E11" s="318">
        <v>-3.8282341694466766E-2</v>
      </c>
      <c r="F11" s="318">
        <v>0</v>
      </c>
      <c r="G11" s="318">
        <v>0</v>
      </c>
      <c r="H11" s="318">
        <v>0</v>
      </c>
      <c r="I11" s="319">
        <f>VLOOKUP($A11,ET_MSIP_Projects[[Company Requested Project]:[Ofgem’s DD - Allowances £m]],4,FALSE)</f>
        <v>2.7958699999999999</v>
      </c>
      <c r="J11" s="84" t="str">
        <f t="shared" si="0"/>
        <v>OK</v>
      </c>
      <c r="K11" s="309">
        <f t="shared" si="1"/>
        <v>2.8541709408098019</v>
      </c>
    </row>
    <row r="12" spans="1:13">
      <c r="A12" s="101" t="s">
        <v>372</v>
      </c>
      <c r="B12" s="317">
        <f>VLOOKUP($A12,ET_MSIP_Projects[[Company Requested Project]:[Ofgem’s DD - Allowances £m]],2,FALSE)</f>
        <v>0.84775999999999996</v>
      </c>
      <c r="C12" s="318">
        <v>-2.0224717607401146E-3</v>
      </c>
      <c r="D12" s="318">
        <v>0</v>
      </c>
      <c r="E12" s="318">
        <v>-2.0722145721515373E-2</v>
      </c>
      <c r="F12" s="318">
        <v>0</v>
      </c>
      <c r="G12" s="318">
        <v>0</v>
      </c>
      <c r="H12" s="318">
        <v>0</v>
      </c>
      <c r="I12" s="319">
        <f>VLOOKUP($A12,ET_MSIP_Projects[[Company Requested Project]:[Ofgem’s DD - Allowances £m]],4,FALSE)</f>
        <v>0.82501000000000002</v>
      </c>
      <c r="J12" s="84" t="str">
        <f t="shared" si="0"/>
        <v>OK</v>
      </c>
      <c r="K12" s="309">
        <f t="shared" si="1"/>
        <v>0.84775461748225556</v>
      </c>
    </row>
    <row r="13" spans="1:13">
      <c r="A13" s="101" t="s">
        <v>373</v>
      </c>
      <c r="B13" s="317">
        <f>VLOOKUP($A13,ET_MSIP_Projects[[Company Requested Project]:[Ofgem’s DD - Allowances £m]],2,FALSE)</f>
        <v>6.7997399999999999</v>
      </c>
      <c r="C13" s="318">
        <v>-2.4489133250052718E-2</v>
      </c>
      <c r="D13" s="318">
        <v>-1.3844646243082206E-2</v>
      </c>
      <c r="E13" s="318">
        <v>-1.6032880962541729</v>
      </c>
      <c r="F13" s="318">
        <v>0</v>
      </c>
      <c r="G13" s="318">
        <v>0</v>
      </c>
      <c r="H13" s="318">
        <v>0</v>
      </c>
      <c r="I13" s="319">
        <f>VLOOKUP($A13,ET_MSIP_Projects[[Company Requested Project]:[Ofgem’s DD - Allowances £m]],4,FALSE)</f>
        <v>5.1581200000000003</v>
      </c>
      <c r="J13" s="84" t="str">
        <f t="shared" si="0"/>
        <v>OK</v>
      </c>
      <c r="K13" s="309">
        <f t="shared" si="1"/>
        <v>6.7997418757473085</v>
      </c>
      <c r="M13" s="172"/>
    </row>
    <row r="14" spans="1:13">
      <c r="A14" s="101" t="s">
        <v>374</v>
      </c>
      <c r="B14" s="317">
        <f>VLOOKUP($A14,ET_MSIP_Projects[[Company Requested Project]:[Ofgem’s DD - Allowances £m]],2,FALSE)</f>
        <v>6.0673599999999999</v>
      </c>
      <c r="C14" s="318">
        <v>-3.5816215343912759E-4</v>
      </c>
      <c r="D14" s="318">
        <v>-3.6996306260086972E-2</v>
      </c>
      <c r="E14" s="318">
        <v>-0.23721617797135416</v>
      </c>
      <c r="F14" s="318">
        <v>0</v>
      </c>
      <c r="G14" s="318">
        <v>0</v>
      </c>
      <c r="H14" s="318">
        <v>0</v>
      </c>
      <c r="I14" s="319">
        <f>VLOOKUP($A14,ET_MSIP_Projects[[Company Requested Project]:[Ofgem’s DD - Allowances £m]],4,FALSE)</f>
        <v>5.7927900000000001</v>
      </c>
      <c r="J14" s="84" t="str">
        <f t="shared" si="0"/>
        <v>OK</v>
      </c>
      <c r="K14" s="309">
        <f t="shared" si="1"/>
        <v>6.0673606463848806</v>
      </c>
    </row>
    <row r="15" spans="1:13">
      <c r="A15" s="101" t="s">
        <v>375</v>
      </c>
      <c r="B15" s="317">
        <f>VLOOKUP($A15,ET_MSIP_Projects[[Company Requested Project]:[Ofgem’s DD - Allowances £m]],2,FALSE)</f>
        <v>17.03444</v>
      </c>
      <c r="C15" s="318">
        <v>-0.48474595544594917</v>
      </c>
      <c r="D15" s="318">
        <v>-0.14047001270569029</v>
      </c>
      <c r="E15" s="318">
        <v>-0.18838813679740671</v>
      </c>
      <c r="F15" s="318">
        <v>0</v>
      </c>
      <c r="G15" s="318">
        <v>0</v>
      </c>
      <c r="H15" s="318">
        <v>0</v>
      </c>
      <c r="I15" s="319">
        <f>VLOOKUP($A15,ET_MSIP_Projects[[Company Requested Project]:[Ofgem’s DD - Allowances £m]],4,FALSE)</f>
        <v>16.220829999999999</v>
      </c>
      <c r="J15" s="84" t="str">
        <f t="shared" si="0"/>
        <v>OK</v>
      </c>
      <c r="K15" s="309">
        <f t="shared" si="1"/>
        <v>17.034434104949046</v>
      </c>
      <c r="M15" s="172"/>
    </row>
    <row r="16" spans="1:13">
      <c r="A16" s="101" t="s">
        <v>376</v>
      </c>
      <c r="B16" s="317">
        <f>VLOOKUP($A16,ET_MSIP_Projects[[Company Requested Project]:[Ofgem’s DD - Allowances £m]],2,FALSE)</f>
        <v>57.848390000000002</v>
      </c>
      <c r="C16" s="318">
        <v>0</v>
      </c>
      <c r="D16" s="318">
        <v>0</v>
      </c>
      <c r="E16" s="318">
        <v>-3.0769258120029503</v>
      </c>
      <c r="F16" s="318">
        <v>-18.261714789228304</v>
      </c>
      <c r="G16" s="318">
        <v>0</v>
      </c>
      <c r="H16" s="318">
        <v>0</v>
      </c>
      <c r="I16" s="319">
        <f>VLOOKUP($A16,ET_MSIP_Projects[[Company Requested Project]:[Ofgem’s DD - Allowances £m]],4,FALSE)</f>
        <v>36.509749999999997</v>
      </c>
      <c r="J16" s="84" t="str">
        <f t="shared" si="0"/>
        <v>OK</v>
      </c>
      <c r="K16" s="309">
        <f t="shared" si="1"/>
        <v>57.848390601231252</v>
      </c>
    </row>
    <row r="17" spans="1:13">
      <c r="A17" s="94" t="s">
        <v>256</v>
      </c>
      <c r="B17" s="320">
        <f>SUM(B4:B16)</f>
        <v>204.76487999999998</v>
      </c>
      <c r="C17" s="320">
        <f t="shared" ref="C17:H17" si="2">SUM(C4:C16)</f>
        <v>-0.98842692340205618</v>
      </c>
      <c r="D17" s="320">
        <f t="shared" si="2"/>
        <v>-0.49478471697959103</v>
      </c>
      <c r="E17" s="320">
        <f t="shared" si="2"/>
        <v>-12.595249119795408</v>
      </c>
      <c r="F17" s="320">
        <f t="shared" si="2"/>
        <v>-39.203617205511364</v>
      </c>
      <c r="G17" s="320">
        <f t="shared" si="2"/>
        <v>-0.36485888487055501</v>
      </c>
      <c r="H17" s="320">
        <f t="shared" si="2"/>
        <v>-28.451675888429886</v>
      </c>
      <c r="I17" s="320">
        <v>122.666</v>
      </c>
      <c r="J17" s="84" t="str">
        <f t="shared" si="0"/>
        <v>OK</v>
      </c>
      <c r="K17" s="309">
        <f>I17-SUM(C17:H17)</f>
        <v>204.76461273898886</v>
      </c>
      <c r="M17" s="172"/>
    </row>
    <row r="19" spans="1:13">
      <c r="A19" s="8" t="s">
        <v>404</v>
      </c>
    </row>
    <row r="20" spans="1:13" ht="40">
      <c r="A20" s="90" t="s">
        <v>394</v>
      </c>
      <c r="B20" s="92" t="s">
        <v>395</v>
      </c>
      <c r="C20" s="92" t="s">
        <v>396</v>
      </c>
      <c r="D20" s="92" t="s">
        <v>397</v>
      </c>
      <c r="E20" s="92" t="s">
        <v>398</v>
      </c>
      <c r="F20" s="92" t="s">
        <v>399</v>
      </c>
      <c r="G20" s="92" t="s">
        <v>400</v>
      </c>
      <c r="H20" s="92" t="s">
        <v>401</v>
      </c>
      <c r="I20" s="93" t="s">
        <v>402</v>
      </c>
    </row>
    <row r="21" spans="1:13" ht="20">
      <c r="A21" s="101" t="str">
        <f>A4</f>
        <v>NGET Central Reactive Voltage - Ironbridge</v>
      </c>
      <c r="B21" s="318">
        <v>0</v>
      </c>
      <c r="C21" s="318">
        <v>0</v>
      </c>
      <c r="D21" s="318">
        <v>0</v>
      </c>
      <c r="E21" s="318">
        <v>0</v>
      </c>
      <c r="F21" s="318">
        <v>0</v>
      </c>
      <c r="G21" s="318">
        <v>0</v>
      </c>
      <c r="H21" s="318">
        <v>0</v>
      </c>
      <c r="I21" s="318">
        <v>0</v>
      </c>
    </row>
    <row r="22" spans="1:13" ht="20">
      <c r="A22" s="101" t="str">
        <f t="shared" ref="A22:A33" si="3">A5</f>
        <v>NGET Central Reactive Voltage - Willington</v>
      </c>
      <c r="B22" s="318">
        <v>0</v>
      </c>
      <c r="C22" s="318">
        <v>0</v>
      </c>
      <c r="D22" s="318">
        <v>0</v>
      </c>
      <c r="E22" s="318">
        <v>0</v>
      </c>
      <c r="F22" s="318">
        <v>0</v>
      </c>
      <c r="G22" s="318">
        <v>0</v>
      </c>
      <c r="H22" s="318">
        <v>0</v>
      </c>
      <c r="I22" s="318">
        <v>0</v>
      </c>
    </row>
    <row r="23" spans="1:13">
      <c r="A23" s="101" t="str">
        <f t="shared" si="3"/>
        <v>NGET Heysham OPS scheme for ENWL</v>
      </c>
      <c r="B23" s="318">
        <v>0</v>
      </c>
      <c r="C23" s="318">
        <v>0</v>
      </c>
      <c r="D23" s="318">
        <v>0</v>
      </c>
      <c r="E23" s="318">
        <v>0</v>
      </c>
      <c r="F23" s="318">
        <v>0</v>
      </c>
      <c r="G23" s="318">
        <v>0</v>
      </c>
      <c r="H23" s="318">
        <v>0</v>
      </c>
      <c r="I23" s="318">
        <v>0</v>
      </c>
    </row>
    <row r="24" spans="1:13">
      <c r="A24" s="101" t="str">
        <f t="shared" si="3"/>
        <v>NGET Marston Vale (Millbrook)</v>
      </c>
      <c r="B24" s="318"/>
      <c r="C24" s="318">
        <v>0</v>
      </c>
      <c r="D24" s="318">
        <v>0</v>
      </c>
      <c r="E24" s="318">
        <v>0</v>
      </c>
      <c r="F24" s="318">
        <v>0</v>
      </c>
      <c r="G24" s="318">
        <v>0</v>
      </c>
      <c r="H24" s="318">
        <v>0</v>
      </c>
      <c r="I24" s="318">
        <v>0</v>
      </c>
    </row>
    <row r="25" spans="1:13">
      <c r="A25" s="101" t="str">
        <f t="shared" si="3"/>
        <v>NGET Necton 400kV site strategy</v>
      </c>
      <c r="B25" s="318">
        <v>10.400359257562668</v>
      </c>
      <c r="C25" s="318">
        <v>-2.032154859232236E-2</v>
      </c>
      <c r="D25" s="318">
        <v>-0.15141245047748386</v>
      </c>
      <c r="E25" s="318">
        <v>-3.4186122193249631</v>
      </c>
      <c r="F25" s="318">
        <v>0</v>
      </c>
      <c r="G25" s="318">
        <v>0</v>
      </c>
      <c r="H25" s="318">
        <v>0</v>
      </c>
      <c r="I25" s="318">
        <v>6.8100130391678961</v>
      </c>
    </row>
    <row r="26" spans="1:13">
      <c r="A26" s="101" t="str">
        <f t="shared" si="3"/>
        <v>NGET Norwich 400kV site strategy</v>
      </c>
      <c r="B26" s="318">
        <v>1.7867319201059491</v>
      </c>
      <c r="C26" s="318">
        <v>0</v>
      </c>
      <c r="D26" s="318">
        <v>0</v>
      </c>
      <c r="E26" s="318">
        <v>0</v>
      </c>
      <c r="F26" s="318">
        <v>0</v>
      </c>
      <c r="G26" s="318">
        <v>0</v>
      </c>
      <c r="H26" s="318">
        <v>-1.7867319201059491</v>
      </c>
      <c r="I26" s="318">
        <v>0</v>
      </c>
    </row>
    <row r="27" spans="1:13">
      <c r="A27" s="101" t="str">
        <f t="shared" si="3"/>
        <v>NGET OTS - East Anglia</v>
      </c>
      <c r="B27" s="318">
        <v>0</v>
      </c>
      <c r="C27" s="318">
        <v>0</v>
      </c>
      <c r="D27" s="318">
        <v>0</v>
      </c>
      <c r="E27" s="318">
        <v>0</v>
      </c>
      <c r="F27" s="318">
        <v>0</v>
      </c>
      <c r="G27" s="318">
        <v>0</v>
      </c>
      <c r="H27" s="318">
        <v>0</v>
      </c>
      <c r="I27" s="318">
        <v>0</v>
      </c>
    </row>
    <row r="28" spans="1:13">
      <c r="A28" s="101" t="str">
        <f t="shared" si="3"/>
        <v>NGET OTS - Lackenby</v>
      </c>
      <c r="B28" s="318">
        <v>0</v>
      </c>
      <c r="C28" s="318">
        <v>0</v>
      </c>
      <c r="D28" s="318">
        <v>0</v>
      </c>
      <c r="E28" s="318">
        <v>0</v>
      </c>
      <c r="F28" s="318">
        <v>0</v>
      </c>
      <c r="G28" s="318">
        <v>0</v>
      </c>
      <c r="H28" s="318">
        <v>0</v>
      </c>
      <c r="I28" s="318">
        <v>0</v>
      </c>
    </row>
    <row r="29" spans="1:13">
      <c r="A29" s="101" t="str">
        <f t="shared" si="3"/>
        <v>NGET OTS Killingholme</v>
      </c>
      <c r="B29" s="318">
        <v>0</v>
      </c>
      <c r="C29" s="318">
        <v>0</v>
      </c>
      <c r="D29" s="318">
        <v>0</v>
      </c>
      <c r="E29" s="318">
        <v>0</v>
      </c>
      <c r="F29" s="318">
        <v>0</v>
      </c>
      <c r="G29" s="318">
        <v>0</v>
      </c>
      <c r="H29" s="318">
        <v>0</v>
      </c>
      <c r="I29" s="318">
        <v>0</v>
      </c>
    </row>
    <row r="30" spans="1:13">
      <c r="A30" s="101" t="str">
        <f t="shared" si="3"/>
        <v>NGET Pathfinder - East Anglia OTS</v>
      </c>
      <c r="B30" s="318">
        <v>2.7290676677755545</v>
      </c>
      <c r="C30" s="318">
        <v>0</v>
      </c>
      <c r="D30" s="318">
        <v>-1.6833487200459112E-2</v>
      </c>
      <c r="E30" s="318">
        <v>-0.66059109412264805</v>
      </c>
      <c r="F30" s="318">
        <v>0</v>
      </c>
      <c r="G30" s="318">
        <v>0</v>
      </c>
      <c r="H30" s="318">
        <v>0</v>
      </c>
      <c r="I30" s="318">
        <v>2.0516430864524478</v>
      </c>
    </row>
    <row r="31" spans="1:13">
      <c r="A31" s="101" t="str">
        <f t="shared" si="3"/>
        <v>NGET Pathfinder - Yaxley</v>
      </c>
      <c r="B31" s="318">
        <v>0.28969342661810948</v>
      </c>
      <c r="C31" s="318">
        <v>0</v>
      </c>
      <c r="D31" s="318">
        <v>-4.2214799184453877E-3</v>
      </c>
      <c r="E31" s="318">
        <v>0</v>
      </c>
      <c r="F31" s="318">
        <v>0</v>
      </c>
      <c r="G31" s="318">
        <v>0</v>
      </c>
      <c r="H31" s="318">
        <v>0</v>
      </c>
      <c r="I31" s="318">
        <v>0.28547194669966397</v>
      </c>
    </row>
    <row r="32" spans="1:13">
      <c r="A32" s="101" t="str">
        <f t="shared" si="3"/>
        <v>NGET Penrhos 132kV site strategy</v>
      </c>
      <c r="B32" s="318">
        <v>56.130056370438723</v>
      </c>
      <c r="C32" s="318">
        <v>-0.62515766747044488</v>
      </c>
      <c r="D32" s="318">
        <v>-0.90010801890168102</v>
      </c>
      <c r="E32" s="318">
        <v>-0.72192200592586397</v>
      </c>
      <c r="F32" s="318">
        <v>0</v>
      </c>
      <c r="G32" s="318">
        <v>0</v>
      </c>
      <c r="H32" s="318">
        <v>0</v>
      </c>
      <c r="I32" s="318">
        <v>53.882868678140731</v>
      </c>
    </row>
    <row r="33" spans="1:13">
      <c r="A33" s="101" t="str">
        <f t="shared" si="3"/>
        <v>NGET Wallend</v>
      </c>
      <c r="B33" s="318">
        <v>34.16268738093347</v>
      </c>
      <c r="C33" s="318">
        <v>0</v>
      </c>
      <c r="D33" s="318">
        <v>0</v>
      </c>
      <c r="E33" s="318">
        <v>-2.5367881013699582</v>
      </c>
      <c r="F33" s="318">
        <v>-10.772698616331239</v>
      </c>
      <c r="G33" s="318">
        <v>0</v>
      </c>
      <c r="H33" s="318">
        <v>0</v>
      </c>
      <c r="I33" s="318">
        <v>20.815634141957208</v>
      </c>
    </row>
    <row r="34" spans="1:13">
      <c r="A34" s="94" t="s">
        <v>256</v>
      </c>
      <c r="B34" s="320">
        <f>SUM(B21:B33)</f>
        <v>105.49859602343449</v>
      </c>
      <c r="C34" s="320">
        <f t="shared" ref="C34:I34" si="4">SUM(C21:C33)</f>
        <v>-0.64547921606276726</v>
      </c>
      <c r="D34" s="320">
        <f t="shared" si="4"/>
        <v>-1.0725754364980693</v>
      </c>
      <c r="E34" s="320">
        <f t="shared" si="4"/>
        <v>-7.3379134207434324</v>
      </c>
      <c r="F34" s="320">
        <f t="shared" si="4"/>
        <v>-10.772698616331239</v>
      </c>
      <c r="G34" s="320">
        <f t="shared" si="4"/>
        <v>0</v>
      </c>
      <c r="H34" s="320">
        <f t="shared" si="4"/>
        <v>-1.7867319201059491</v>
      </c>
      <c r="I34" s="320">
        <f t="shared" si="4"/>
        <v>83.845630892417944</v>
      </c>
    </row>
    <row r="36" spans="1:13">
      <c r="A36" s="8" t="s">
        <v>256</v>
      </c>
    </row>
    <row r="37" spans="1:13" ht="40">
      <c r="A37" s="90" t="s">
        <v>394</v>
      </c>
      <c r="B37" s="92" t="s">
        <v>395</v>
      </c>
      <c r="C37" s="92" t="s">
        <v>396</v>
      </c>
      <c r="D37" s="92" t="s">
        <v>397</v>
      </c>
      <c r="E37" s="92" t="s">
        <v>398</v>
      </c>
      <c r="F37" s="92" t="s">
        <v>399</v>
      </c>
      <c r="G37" s="92" t="s">
        <v>400</v>
      </c>
      <c r="H37" s="92" t="s">
        <v>401</v>
      </c>
      <c r="I37" s="93" t="s">
        <v>402</v>
      </c>
    </row>
    <row r="38" spans="1:13" ht="20">
      <c r="A38" s="101" t="str">
        <f>A4</f>
        <v>NGET Central Reactive Voltage - Ironbridge</v>
      </c>
      <c r="B38" s="318">
        <f>B4+B21</f>
        <v>8.1218000000000004</v>
      </c>
      <c r="C38" s="318">
        <f>C4+C21</f>
        <v>-0.2566342392490889</v>
      </c>
      <c r="D38" s="318">
        <f t="shared" ref="D38:I38" si="5">D4+D21</f>
        <v>-8.8230031390978906E-3</v>
      </c>
      <c r="E38" s="318">
        <f t="shared" si="5"/>
        <v>4.0804759644610167E-2</v>
      </c>
      <c r="F38" s="318">
        <f t="shared" si="5"/>
        <v>0</v>
      </c>
      <c r="G38" s="318">
        <f t="shared" si="5"/>
        <v>0</v>
      </c>
      <c r="H38" s="318">
        <f t="shared" si="5"/>
        <v>0</v>
      </c>
      <c r="I38" s="318">
        <f t="shared" si="5"/>
        <v>7.8971499999999999</v>
      </c>
      <c r="M38" s="172"/>
    </row>
    <row r="39" spans="1:13" ht="20">
      <c r="A39" s="101" t="str">
        <f t="shared" ref="A39:A50" si="6">A5</f>
        <v>NGET Central Reactive Voltage - Willington</v>
      </c>
      <c r="B39" s="318">
        <f t="shared" ref="B39:I39" si="7">B5+B22</f>
        <v>7.8385300000000004</v>
      </c>
      <c r="C39" s="318">
        <f t="shared" si="7"/>
        <v>-6.2987966175240287E-2</v>
      </c>
      <c r="D39" s="318">
        <f t="shared" si="7"/>
        <v>-0.15830784678692134</v>
      </c>
      <c r="E39" s="318">
        <f t="shared" si="7"/>
        <v>-0.22070725215778284</v>
      </c>
      <c r="F39" s="318">
        <f t="shared" si="7"/>
        <v>0</v>
      </c>
      <c r="G39" s="318">
        <f t="shared" si="7"/>
        <v>0</v>
      </c>
      <c r="H39" s="318">
        <f t="shared" si="7"/>
        <v>0</v>
      </c>
      <c r="I39" s="318">
        <f t="shared" si="7"/>
        <v>7.3965199999999998</v>
      </c>
      <c r="M39" s="172"/>
    </row>
    <row r="40" spans="1:13">
      <c r="A40" s="101" t="str">
        <f t="shared" si="6"/>
        <v>NGET Heysham OPS scheme for ENWL</v>
      </c>
      <c r="B40" s="318">
        <f t="shared" ref="B40:I40" si="8">B6+B23</f>
        <v>1.3228800000000001</v>
      </c>
      <c r="C40" s="318">
        <f t="shared" si="8"/>
        <v>0</v>
      </c>
      <c r="D40" s="318">
        <f t="shared" si="8"/>
        <v>0</v>
      </c>
      <c r="E40" s="318">
        <f t="shared" si="8"/>
        <v>-0.25541945529192173</v>
      </c>
      <c r="F40" s="318">
        <f t="shared" si="8"/>
        <v>0</v>
      </c>
      <c r="G40" s="318">
        <f t="shared" si="8"/>
        <v>-0.36485888487055501</v>
      </c>
      <c r="H40" s="318">
        <f t="shared" si="8"/>
        <v>0</v>
      </c>
      <c r="I40" s="318">
        <f t="shared" si="8"/>
        <v>0.7026</v>
      </c>
      <c r="M40" s="172"/>
    </row>
    <row r="41" spans="1:13">
      <c r="A41" s="101" t="str">
        <f t="shared" si="6"/>
        <v>NGET Marston Vale (Millbrook)</v>
      </c>
      <c r="B41" s="318">
        <f t="shared" ref="B41:I41" si="9">B7+B24</f>
        <v>20.9419</v>
      </c>
      <c r="C41" s="318">
        <f t="shared" si="9"/>
        <v>0</v>
      </c>
      <c r="D41" s="318">
        <f t="shared" si="9"/>
        <v>0</v>
      </c>
      <c r="E41" s="318">
        <f t="shared" si="9"/>
        <v>0</v>
      </c>
      <c r="F41" s="318">
        <f t="shared" si="9"/>
        <v>-20.941902416283057</v>
      </c>
      <c r="G41" s="318">
        <f t="shared" si="9"/>
        <v>0</v>
      </c>
      <c r="H41" s="318">
        <f t="shared" si="9"/>
        <v>0</v>
      </c>
      <c r="I41" s="318">
        <f t="shared" si="9"/>
        <v>0</v>
      </c>
      <c r="M41" s="172"/>
    </row>
    <row r="42" spans="1:13">
      <c r="A42" s="101" t="str">
        <f t="shared" si="6"/>
        <v>NGET Necton 400kV site strategy</v>
      </c>
      <c r="B42" s="318">
        <f t="shared" ref="B42:I42" si="10">B8+B25</f>
        <v>55.431069257562669</v>
      </c>
      <c r="C42" s="318">
        <f t="shared" si="10"/>
        <v>-0.17538297074126807</v>
      </c>
      <c r="D42" s="318">
        <f t="shared" si="10"/>
        <v>-0.2698643264254611</v>
      </c>
      <c r="E42" s="318">
        <f t="shared" si="10"/>
        <v>-10.53413095762342</v>
      </c>
      <c r="F42" s="318">
        <f t="shared" si="10"/>
        <v>0</v>
      </c>
      <c r="G42" s="318">
        <f t="shared" si="10"/>
        <v>0</v>
      </c>
      <c r="H42" s="318">
        <f t="shared" si="10"/>
        <v>0</v>
      </c>
      <c r="I42" s="318">
        <f t="shared" si="10"/>
        <v>44.451793039167896</v>
      </c>
      <c r="M42" s="172"/>
    </row>
    <row r="43" spans="1:13">
      <c r="A43" s="101" t="str">
        <f t="shared" si="6"/>
        <v>NGET Norwich 400kV site strategy</v>
      </c>
      <c r="B43" s="318">
        <f t="shared" ref="B43:I43" si="11">B9+B26</f>
        <v>30.23841192010595</v>
      </c>
      <c r="C43" s="318">
        <f t="shared" si="11"/>
        <v>0</v>
      </c>
      <c r="D43" s="318">
        <f t="shared" si="11"/>
        <v>0</v>
      </c>
      <c r="E43" s="318">
        <f t="shared" si="11"/>
        <v>0</v>
      </c>
      <c r="F43" s="318">
        <f t="shared" si="11"/>
        <v>0</v>
      </c>
      <c r="G43" s="318">
        <f t="shared" si="11"/>
        <v>0</v>
      </c>
      <c r="H43" s="318">
        <f t="shared" si="11"/>
        <v>-30.238407808535836</v>
      </c>
      <c r="I43" s="318">
        <f t="shared" si="11"/>
        <v>0</v>
      </c>
      <c r="M43" s="172"/>
    </row>
    <row r="44" spans="1:13">
      <c r="A44" s="101" t="str">
        <f t="shared" si="6"/>
        <v>NGET OTS - East Anglia</v>
      </c>
      <c r="B44" s="318">
        <f t="shared" ref="B44:I44" si="12">B10+B27</f>
        <v>1.6055200000000001</v>
      </c>
      <c r="C44" s="318">
        <f t="shared" si="12"/>
        <v>0</v>
      </c>
      <c r="D44" s="318">
        <f t="shared" si="12"/>
        <v>0</v>
      </c>
      <c r="E44" s="318">
        <f t="shared" si="12"/>
        <v>0.1204142767500094</v>
      </c>
      <c r="F44" s="318">
        <f t="shared" si="12"/>
        <v>0</v>
      </c>
      <c r="G44" s="318">
        <f t="shared" si="12"/>
        <v>0</v>
      </c>
      <c r="H44" s="318">
        <f t="shared" si="12"/>
        <v>0</v>
      </c>
      <c r="I44" s="318">
        <f t="shared" si="12"/>
        <v>1.72594</v>
      </c>
      <c r="M44" s="172"/>
    </row>
    <row r="45" spans="1:13">
      <c r="A45" s="101" t="str">
        <f t="shared" si="6"/>
        <v>NGET OTS - Lackenby</v>
      </c>
      <c r="B45" s="318">
        <f t="shared" ref="B45:I45" si="13">B11+B28</f>
        <v>2.8541699999999999</v>
      </c>
      <c r="C45" s="318">
        <f t="shared" si="13"/>
        <v>-2.1275732186001378E-3</v>
      </c>
      <c r="D45" s="318">
        <f t="shared" si="13"/>
        <v>-1.7891025896735104E-2</v>
      </c>
      <c r="E45" s="318">
        <f t="shared" si="13"/>
        <v>-3.8282341694466766E-2</v>
      </c>
      <c r="F45" s="318">
        <f t="shared" si="13"/>
        <v>0</v>
      </c>
      <c r="G45" s="318">
        <f t="shared" si="13"/>
        <v>0</v>
      </c>
      <c r="H45" s="318">
        <f t="shared" si="13"/>
        <v>0</v>
      </c>
      <c r="I45" s="318">
        <f t="shared" si="13"/>
        <v>2.7958699999999999</v>
      </c>
      <c r="M45" s="172"/>
    </row>
    <row r="46" spans="1:13">
      <c r="A46" s="101" t="str">
        <f t="shared" si="6"/>
        <v>NGET OTS Killingholme</v>
      </c>
      <c r="B46" s="318">
        <f t="shared" ref="B46:I46" si="14">B12+B29</f>
        <v>0.84775999999999996</v>
      </c>
      <c r="C46" s="318">
        <f t="shared" si="14"/>
        <v>-2.0224717607401146E-3</v>
      </c>
      <c r="D46" s="318">
        <f t="shared" si="14"/>
        <v>0</v>
      </c>
      <c r="E46" s="318">
        <f t="shared" si="14"/>
        <v>-2.0722145721515373E-2</v>
      </c>
      <c r="F46" s="318">
        <f t="shared" si="14"/>
        <v>0</v>
      </c>
      <c r="G46" s="318">
        <f t="shared" si="14"/>
        <v>0</v>
      </c>
      <c r="H46" s="318">
        <f t="shared" si="14"/>
        <v>0</v>
      </c>
      <c r="I46" s="318">
        <f t="shared" si="14"/>
        <v>0.82501000000000002</v>
      </c>
      <c r="M46" s="172"/>
    </row>
    <row r="47" spans="1:13">
      <c r="A47" s="101" t="str">
        <f t="shared" si="6"/>
        <v>NGET Pathfinder - East Anglia OTS</v>
      </c>
      <c r="B47" s="318">
        <f t="shared" ref="B47:I47" si="15">B13+B30</f>
        <v>9.5288076677755544</v>
      </c>
      <c r="C47" s="318">
        <f t="shared" si="15"/>
        <v>-2.4489133250052718E-2</v>
      </c>
      <c r="D47" s="318">
        <f t="shared" si="15"/>
        <v>-3.0678133443541318E-2</v>
      </c>
      <c r="E47" s="318">
        <f t="shared" si="15"/>
        <v>-2.2638791903768212</v>
      </c>
      <c r="F47" s="318">
        <f t="shared" si="15"/>
        <v>0</v>
      </c>
      <c r="G47" s="318">
        <f t="shared" si="15"/>
        <v>0</v>
      </c>
      <c r="H47" s="318">
        <f t="shared" si="15"/>
        <v>0</v>
      </c>
      <c r="I47" s="318">
        <f t="shared" si="15"/>
        <v>7.2097630864524476</v>
      </c>
      <c r="M47" s="172"/>
    </row>
    <row r="48" spans="1:13">
      <c r="A48" s="101" t="str">
        <f t="shared" si="6"/>
        <v>NGET Pathfinder - Yaxley</v>
      </c>
      <c r="B48" s="318">
        <f t="shared" ref="B48:I48" si="16">B14+B31</f>
        <v>6.3570534266181093</v>
      </c>
      <c r="C48" s="318">
        <f t="shared" si="16"/>
        <v>-3.5816215343912759E-4</v>
      </c>
      <c r="D48" s="318">
        <f t="shared" si="16"/>
        <v>-4.1217786178532362E-2</v>
      </c>
      <c r="E48" s="318">
        <f t="shared" si="16"/>
        <v>-0.23721617797135416</v>
      </c>
      <c r="F48" s="318">
        <f t="shared" si="16"/>
        <v>0</v>
      </c>
      <c r="G48" s="318">
        <f t="shared" si="16"/>
        <v>0</v>
      </c>
      <c r="H48" s="318">
        <f t="shared" si="16"/>
        <v>0</v>
      </c>
      <c r="I48" s="318">
        <f t="shared" si="16"/>
        <v>6.0782619466996639</v>
      </c>
      <c r="M48" s="172"/>
    </row>
    <row r="49" spans="1:13">
      <c r="A49" s="101" t="str">
        <f t="shared" si="6"/>
        <v>NGET Penrhos 132kV site strategy</v>
      </c>
      <c r="B49" s="318">
        <f t="shared" ref="B49:I49" si="17">B15+B32</f>
        <v>73.164496370438727</v>
      </c>
      <c r="C49" s="318">
        <f t="shared" si="17"/>
        <v>-1.1099036229163941</v>
      </c>
      <c r="D49" s="318">
        <f t="shared" si="17"/>
        <v>-1.0405780316073714</v>
      </c>
      <c r="E49" s="318">
        <f t="shared" si="17"/>
        <v>-0.91031014272327071</v>
      </c>
      <c r="F49" s="318">
        <f t="shared" si="17"/>
        <v>0</v>
      </c>
      <c r="G49" s="318">
        <f t="shared" si="17"/>
        <v>0</v>
      </c>
      <c r="H49" s="318">
        <f t="shared" si="17"/>
        <v>0</v>
      </c>
      <c r="I49" s="318">
        <f t="shared" si="17"/>
        <v>70.103698678140731</v>
      </c>
      <c r="M49" s="172"/>
    </row>
    <row r="50" spans="1:13">
      <c r="A50" s="101" t="str">
        <f t="shared" si="6"/>
        <v>NGET Wallend</v>
      </c>
      <c r="B50" s="318">
        <f t="shared" ref="B50:I50" si="18">B16+B33</f>
        <v>92.011077380933472</v>
      </c>
      <c r="C50" s="318">
        <f t="shared" si="18"/>
        <v>0</v>
      </c>
      <c r="D50" s="318">
        <f t="shared" si="18"/>
        <v>0</v>
      </c>
      <c r="E50" s="318">
        <f t="shared" si="18"/>
        <v>-5.6137139133729086</v>
      </c>
      <c r="F50" s="318">
        <f t="shared" si="18"/>
        <v>-29.03441340555954</v>
      </c>
      <c r="G50" s="318">
        <f t="shared" si="18"/>
        <v>0</v>
      </c>
      <c r="H50" s="318">
        <f t="shared" si="18"/>
        <v>0</v>
      </c>
      <c r="I50" s="318">
        <f t="shared" si="18"/>
        <v>57.325384141957201</v>
      </c>
      <c r="M50" s="172"/>
    </row>
    <row r="51" spans="1:13">
      <c r="A51" s="94" t="s">
        <v>256</v>
      </c>
      <c r="B51" s="320">
        <f t="shared" ref="B51:I51" si="19">B17+B34</f>
        <v>310.26347602343446</v>
      </c>
      <c r="C51" s="320">
        <f t="shared" si="19"/>
        <v>-1.6339061394648233</v>
      </c>
      <c r="D51" s="320">
        <f t="shared" si="19"/>
        <v>-1.5673601534776602</v>
      </c>
      <c r="E51" s="320">
        <f t="shared" si="19"/>
        <v>-19.933162540538842</v>
      </c>
      <c r="F51" s="320">
        <f t="shared" si="19"/>
        <v>-49.976315821842604</v>
      </c>
      <c r="G51" s="320">
        <f t="shared" si="19"/>
        <v>-0.36485888487055501</v>
      </c>
      <c r="H51" s="320">
        <f t="shared" si="19"/>
        <v>-30.238407808535836</v>
      </c>
      <c r="I51" s="320">
        <f t="shared" si="19"/>
        <v>206.51163089241794</v>
      </c>
    </row>
    <row r="53" spans="1:13">
      <c r="B53" s="321"/>
    </row>
  </sheetData>
  <conditionalFormatting sqref="J4:J17">
    <cfRule type="cellIs" dxfId="12" priority="3" operator="equal">
      <formula>"OK"</formula>
    </cfRule>
  </conditionalFormatting>
  <dataValidations count="1">
    <dataValidation type="list" allowBlank="1" showInputMessage="1" showErrorMessage="1" sqref="A4:A16" xr:uid="{BD8D484A-0BC2-41C7-8F85-AF58D1BB2BDA}">
      <formula1>list_Projects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A7065-ADFC-46D9-BB0D-BB67A2D19C74}">
  <sheetPr>
    <tabColor theme="7" tint="0.59999389629810485"/>
    <pageSetUpPr autoPageBreaks="0"/>
  </sheetPr>
  <dimension ref="A1:I18"/>
  <sheetViews>
    <sheetView zoomScaleNormal="100" workbookViewId="0">
      <selection activeCell="F21" sqref="F21"/>
    </sheetView>
  </sheetViews>
  <sheetFormatPr defaultRowHeight="13.5"/>
  <cols>
    <col min="1" max="1" width="26.765625" customWidth="1"/>
    <col min="2" max="9" width="10.84375" customWidth="1"/>
    <col min="10" max="10" width="3.84375" bestFit="1" customWidth="1"/>
    <col min="11" max="11" width="10.23046875" customWidth="1"/>
  </cols>
  <sheetData>
    <row r="1" spans="1:9">
      <c r="I1" s="316"/>
    </row>
    <row r="2" spans="1:9">
      <c r="A2" t="s">
        <v>161</v>
      </c>
    </row>
    <row r="3" spans="1:9" ht="40">
      <c r="A3" s="90" t="s">
        <v>394</v>
      </c>
      <c r="B3" s="92" t="s">
        <v>395</v>
      </c>
      <c r="C3" s="92" t="s">
        <v>396</v>
      </c>
      <c r="D3" s="92" t="s">
        <v>397</v>
      </c>
      <c r="E3" s="92" t="s">
        <v>398</v>
      </c>
      <c r="F3" s="92" t="s">
        <v>399</v>
      </c>
      <c r="G3" s="92" t="s">
        <v>400</v>
      </c>
      <c r="H3" s="92" t="s">
        <v>401</v>
      </c>
      <c r="I3" s="93" t="s">
        <v>402</v>
      </c>
    </row>
    <row r="4" spans="1:9" ht="20">
      <c r="A4" s="98" t="s">
        <v>364</v>
      </c>
      <c r="B4" s="318">
        <v>0</v>
      </c>
      <c r="C4" s="318">
        <v>0</v>
      </c>
      <c r="D4" s="318">
        <v>0</v>
      </c>
      <c r="E4" s="318">
        <v>0</v>
      </c>
      <c r="F4" s="318">
        <v>0</v>
      </c>
      <c r="G4" s="318">
        <v>0</v>
      </c>
      <c r="H4" s="318">
        <v>0</v>
      </c>
      <c r="I4" s="318">
        <v>0</v>
      </c>
    </row>
    <row r="5" spans="1:9" ht="20">
      <c r="A5" s="98" t="s">
        <v>365</v>
      </c>
      <c r="B5" s="318">
        <v>0</v>
      </c>
      <c r="C5" s="318">
        <v>0</v>
      </c>
      <c r="D5" s="318">
        <v>0</v>
      </c>
      <c r="E5" s="318">
        <v>0</v>
      </c>
      <c r="F5" s="318">
        <v>0</v>
      </c>
      <c r="G5" s="318">
        <v>0</v>
      </c>
      <c r="H5" s="318">
        <v>0</v>
      </c>
      <c r="I5" s="318">
        <v>0</v>
      </c>
    </row>
    <row r="6" spans="1:9">
      <c r="A6" s="98" t="s">
        <v>366</v>
      </c>
      <c r="B6" s="318">
        <v>0</v>
      </c>
      <c r="C6" s="318">
        <v>0</v>
      </c>
      <c r="D6" s="318">
        <v>0</v>
      </c>
      <c r="E6" s="318">
        <v>0</v>
      </c>
      <c r="F6" s="318">
        <v>0</v>
      </c>
      <c r="G6" s="318">
        <v>0</v>
      </c>
      <c r="H6" s="318">
        <v>0</v>
      </c>
      <c r="I6" s="318">
        <v>0</v>
      </c>
    </row>
    <row r="7" spans="1:9">
      <c r="A7" s="98" t="s">
        <v>367</v>
      </c>
      <c r="B7" s="318">
        <v>0</v>
      </c>
      <c r="C7" s="318">
        <v>0</v>
      </c>
      <c r="D7" s="318">
        <v>0</v>
      </c>
      <c r="E7" s="318">
        <v>0</v>
      </c>
      <c r="F7" s="318">
        <v>0</v>
      </c>
      <c r="G7" s="318">
        <v>0</v>
      </c>
      <c r="H7" s="318">
        <v>0</v>
      </c>
      <c r="I7" s="318">
        <v>0</v>
      </c>
    </row>
    <row r="8" spans="1:9">
      <c r="A8" s="98" t="s">
        <v>368</v>
      </c>
      <c r="B8" s="318">
        <v>10.400359257562668</v>
      </c>
      <c r="C8" s="318">
        <v>-2.032154859232236E-2</v>
      </c>
      <c r="D8" s="318">
        <v>-0.15141245047748386</v>
      </c>
      <c r="E8" s="318">
        <v>-3.4186122193249631</v>
      </c>
      <c r="F8" s="318">
        <v>0</v>
      </c>
      <c r="G8" s="318">
        <v>0</v>
      </c>
      <c r="H8" s="318">
        <v>0</v>
      </c>
      <c r="I8" s="318">
        <v>6.8100130391678961</v>
      </c>
    </row>
    <row r="9" spans="1:9">
      <c r="A9" s="98" t="s">
        <v>369</v>
      </c>
      <c r="B9" s="318">
        <v>1.7867319201059491</v>
      </c>
      <c r="C9" s="318">
        <v>0</v>
      </c>
      <c r="D9" s="318">
        <v>0</v>
      </c>
      <c r="E9" s="318">
        <v>0</v>
      </c>
      <c r="F9" s="318">
        <v>0</v>
      </c>
      <c r="G9" s="318">
        <v>0</v>
      </c>
      <c r="H9" s="318">
        <v>-1.7867319201059491</v>
      </c>
      <c r="I9" s="318">
        <v>0</v>
      </c>
    </row>
    <row r="10" spans="1:9">
      <c r="A10" s="98" t="s">
        <v>370</v>
      </c>
      <c r="B10" s="318">
        <v>0</v>
      </c>
      <c r="C10" s="318">
        <v>0</v>
      </c>
      <c r="D10" s="318">
        <v>0</v>
      </c>
      <c r="E10" s="318">
        <v>0</v>
      </c>
      <c r="F10" s="318">
        <v>0</v>
      </c>
      <c r="G10" s="318">
        <v>0</v>
      </c>
      <c r="H10" s="318">
        <v>0</v>
      </c>
      <c r="I10" s="318">
        <v>0</v>
      </c>
    </row>
    <row r="11" spans="1:9">
      <c r="A11" s="98" t="s">
        <v>371</v>
      </c>
      <c r="B11" s="318">
        <v>0</v>
      </c>
      <c r="C11" s="318">
        <v>0</v>
      </c>
      <c r="D11" s="318">
        <v>0</v>
      </c>
      <c r="E11" s="318">
        <v>0</v>
      </c>
      <c r="F11" s="318">
        <v>0</v>
      </c>
      <c r="G11" s="318">
        <v>0</v>
      </c>
      <c r="H11" s="318">
        <v>0</v>
      </c>
      <c r="I11" s="318">
        <v>0</v>
      </c>
    </row>
    <row r="12" spans="1:9">
      <c r="A12" s="98" t="s">
        <v>372</v>
      </c>
      <c r="B12" s="318">
        <v>0</v>
      </c>
      <c r="C12" s="318">
        <v>0</v>
      </c>
      <c r="D12" s="318">
        <v>0</v>
      </c>
      <c r="E12" s="318">
        <v>0</v>
      </c>
      <c r="F12" s="318">
        <v>0</v>
      </c>
      <c r="G12" s="318">
        <v>0</v>
      </c>
      <c r="H12" s="318">
        <v>0</v>
      </c>
      <c r="I12" s="318">
        <v>0</v>
      </c>
    </row>
    <row r="13" spans="1:9">
      <c r="A13" s="98" t="s">
        <v>373</v>
      </c>
      <c r="B13" s="318">
        <v>2.7290676677755545</v>
      </c>
      <c r="C13" s="318">
        <v>0</v>
      </c>
      <c r="D13" s="318">
        <v>-1.6833487200459112E-2</v>
      </c>
      <c r="E13" s="318">
        <v>-0.66059109412264805</v>
      </c>
      <c r="F13" s="318">
        <v>0</v>
      </c>
      <c r="G13" s="318">
        <v>0</v>
      </c>
      <c r="H13" s="318">
        <v>0</v>
      </c>
      <c r="I13" s="318">
        <v>2.0516430864524478</v>
      </c>
    </row>
    <row r="14" spans="1:9">
      <c r="A14" s="98" t="s">
        <v>374</v>
      </c>
      <c r="B14" s="318">
        <v>0.28969342661810948</v>
      </c>
      <c r="C14" s="318">
        <v>0</v>
      </c>
      <c r="D14" s="318">
        <v>-4.2214799184453877E-3</v>
      </c>
      <c r="E14" s="318">
        <v>0</v>
      </c>
      <c r="F14" s="318">
        <v>0</v>
      </c>
      <c r="G14" s="318">
        <v>0</v>
      </c>
      <c r="H14" s="318">
        <v>0</v>
      </c>
      <c r="I14" s="318">
        <v>0.28547194669966397</v>
      </c>
    </row>
    <row r="15" spans="1:9">
      <c r="A15" s="98" t="s">
        <v>375</v>
      </c>
      <c r="B15" s="318">
        <v>56.130056370438723</v>
      </c>
      <c r="C15" s="318">
        <v>-0.62515766747044488</v>
      </c>
      <c r="D15" s="318">
        <v>-0.90010801890168102</v>
      </c>
      <c r="E15" s="318">
        <v>-0.72192200592586397</v>
      </c>
      <c r="F15" s="318">
        <v>0</v>
      </c>
      <c r="G15" s="318">
        <v>0</v>
      </c>
      <c r="H15" s="318">
        <v>0</v>
      </c>
      <c r="I15" s="318">
        <v>53.882868678140731</v>
      </c>
    </row>
    <row r="16" spans="1:9">
      <c r="A16" s="98" t="s">
        <v>376</v>
      </c>
      <c r="B16" s="318">
        <v>34.16268738093347</v>
      </c>
      <c r="C16" s="318">
        <v>0</v>
      </c>
      <c r="D16" s="318">
        <v>0</v>
      </c>
      <c r="E16" s="318">
        <v>-2.5367881013699582</v>
      </c>
      <c r="F16" s="318">
        <v>-10.772698616331239</v>
      </c>
      <c r="G16" s="318">
        <v>0</v>
      </c>
      <c r="H16" s="318">
        <v>0</v>
      </c>
      <c r="I16" s="318">
        <v>20.815634141957208</v>
      </c>
    </row>
    <row r="17" spans="1:9">
      <c r="A17" s="99" t="s">
        <v>256</v>
      </c>
      <c r="B17" s="320">
        <f>SUM(B4:B16)</f>
        <v>105.49859602343449</v>
      </c>
      <c r="C17" s="320">
        <f t="shared" ref="C17:I17" si="0">SUM(C4:C16)</f>
        <v>-0.64547921606276726</v>
      </c>
      <c r="D17" s="320">
        <f t="shared" si="0"/>
        <v>-1.0725754364980693</v>
      </c>
      <c r="E17" s="320">
        <f t="shared" si="0"/>
        <v>-7.3379134207434324</v>
      </c>
      <c r="F17" s="320">
        <f t="shared" si="0"/>
        <v>-10.772698616331239</v>
      </c>
      <c r="G17" s="320">
        <f t="shared" si="0"/>
        <v>0</v>
      </c>
      <c r="H17" s="320">
        <f t="shared" si="0"/>
        <v>-1.7867319201059491</v>
      </c>
      <c r="I17" s="320">
        <f t="shared" si="0"/>
        <v>83.845630892417944</v>
      </c>
    </row>
    <row r="18" spans="1:9">
      <c r="A18" s="100"/>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67D2-1DD5-4C69-9B3F-A0C53BAFDD71}">
  <sheetPr>
    <tabColor theme="7" tint="0.59999389629810485"/>
    <pageSetUpPr autoPageBreaks="0"/>
  </sheetPr>
  <dimension ref="A2:E13"/>
  <sheetViews>
    <sheetView workbookViewId="0">
      <selection activeCell="B1" sqref="B1:E1048576"/>
    </sheetView>
  </sheetViews>
  <sheetFormatPr defaultRowHeight="13.5"/>
  <cols>
    <col min="1" max="1" width="26.765625" customWidth="1"/>
    <col min="2" max="5" width="18.15234375" customWidth="1"/>
  </cols>
  <sheetData>
    <row r="2" spans="1:5">
      <c r="A2" t="s">
        <v>163</v>
      </c>
    </row>
    <row r="3" spans="1:5" ht="40.5">
      <c r="A3" s="96" t="s">
        <v>389</v>
      </c>
      <c r="B3" s="96" t="s">
        <v>390</v>
      </c>
      <c r="C3" s="96" t="s">
        <v>391</v>
      </c>
      <c r="D3" s="96" t="s">
        <v>392</v>
      </c>
      <c r="E3" s="96" t="s">
        <v>393</v>
      </c>
    </row>
    <row r="4" spans="1:5">
      <c r="A4" s="97">
        <f>COUNTIF(ET_MSIP_Projects[Network],"SHET")</f>
        <v>4</v>
      </c>
      <c r="B4" s="315">
        <v>4</v>
      </c>
      <c r="C4" s="97">
        <v>0</v>
      </c>
      <c r="D4" s="97">
        <v>4</v>
      </c>
      <c r="E4" s="315">
        <v>0</v>
      </c>
    </row>
    <row r="10" spans="1:5">
      <c r="A10" s="67"/>
    </row>
    <row r="11" spans="1:5">
      <c r="A11" s="66"/>
    </row>
    <row r="12" spans="1:5">
      <c r="A12" s="66"/>
    </row>
    <row r="13" spans="1:5">
      <c r="A13" s="66"/>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C4C1-F931-428A-82FA-A393F1FD5389}">
  <sheetPr>
    <tabColor theme="7" tint="0.59999389629810485"/>
    <pageSetUpPr autoPageBreaks="0"/>
  </sheetPr>
  <dimension ref="A1:M24"/>
  <sheetViews>
    <sheetView workbookViewId="0">
      <selection activeCell="I1" sqref="I1:I1048576"/>
    </sheetView>
  </sheetViews>
  <sheetFormatPr defaultRowHeight="13.5"/>
  <cols>
    <col min="1" max="1" width="26.765625" customWidth="1"/>
    <col min="2" max="9" width="10.84375" customWidth="1"/>
    <col min="10" max="10" width="3.84375" bestFit="1" customWidth="1"/>
    <col min="11" max="11" width="10.23046875" customWidth="1"/>
  </cols>
  <sheetData>
    <row r="1" spans="1:13">
      <c r="I1" s="316"/>
    </row>
    <row r="2" spans="1:13">
      <c r="A2" t="s">
        <v>165</v>
      </c>
    </row>
    <row r="3" spans="1:13" ht="40">
      <c r="A3" s="90" t="s">
        <v>394</v>
      </c>
      <c r="B3" s="92" t="s">
        <v>395</v>
      </c>
      <c r="C3" s="92" t="s">
        <v>396</v>
      </c>
      <c r="D3" s="92" t="s">
        <v>397</v>
      </c>
      <c r="E3" s="92" t="s">
        <v>398</v>
      </c>
      <c r="F3" s="92" t="s">
        <v>399</v>
      </c>
      <c r="G3" s="92" t="s">
        <v>400</v>
      </c>
      <c r="H3" s="92" t="s">
        <v>401</v>
      </c>
      <c r="I3" s="93" t="s">
        <v>402</v>
      </c>
      <c r="K3" s="308" t="s">
        <v>403</v>
      </c>
    </row>
    <row r="4" spans="1:13" ht="20">
      <c r="A4" s="313" t="s">
        <v>377</v>
      </c>
      <c r="B4" s="317">
        <f>VLOOKUP($A4,ET_MSIP_Projects[[Company Requested Project]:[Ofgem’s DD - Allowances £m]],2,FALSE)</f>
        <v>0.40899999999999997</v>
      </c>
      <c r="C4" s="318">
        <v>-7.8E-2</v>
      </c>
      <c r="D4" s="318">
        <v>0</v>
      </c>
      <c r="E4" s="318">
        <v>1.6E-2</v>
      </c>
      <c r="F4" s="318">
        <v>0</v>
      </c>
      <c r="G4" s="318">
        <v>0</v>
      </c>
      <c r="H4" s="318">
        <v>0</v>
      </c>
      <c r="I4" s="319">
        <f>VLOOKUP($A4,ET_MSIP_Projects[[Company Requested Project]:[Ofgem’s DD - Allowances £m]],4,FALSE)</f>
        <v>0.34699999999999998</v>
      </c>
      <c r="J4" s="84" t="str">
        <f>IFERROR(IF(ABS(B4 - K4) &lt; 0.005, "OK", "Error"),"Error")</f>
        <v>OK</v>
      </c>
      <c r="K4" s="309">
        <f>I4-SUM(C4:H4)</f>
        <v>0.40899999999999997</v>
      </c>
    </row>
    <row r="5" spans="1:13">
      <c r="A5" s="313" t="s">
        <v>378</v>
      </c>
      <c r="B5" s="317">
        <f>VLOOKUP($A5,ET_MSIP_Projects[[Company Requested Project]:[Ofgem’s DD - Allowances £m]],2,FALSE)</f>
        <v>1.4855100000000001</v>
      </c>
      <c r="C5" s="318">
        <v>-0.47204410138502034</v>
      </c>
      <c r="D5" s="318">
        <v>0</v>
      </c>
      <c r="E5" s="318">
        <v>5.1301342154788871E-3</v>
      </c>
      <c r="F5" s="318">
        <v>0</v>
      </c>
      <c r="G5" s="318">
        <v>0</v>
      </c>
      <c r="H5" s="318">
        <v>0</v>
      </c>
      <c r="I5" s="319">
        <f>VLOOKUP($A5,ET_MSIP_Projects[[Company Requested Project]:[Ofgem’s DD - Allowances £m]],4,FALSE)</f>
        <v>1.0185900000000001</v>
      </c>
      <c r="J5" s="84" t="str">
        <f t="shared" ref="J5:J8" si="0">IFERROR(IF(ABS(B5 - K5) &lt; 0.005, "OK", "Error"),"Error")</f>
        <v>OK</v>
      </c>
      <c r="K5" s="309">
        <f t="shared" ref="K5:K7" si="1">I5-SUM(C5:H5)</f>
        <v>1.4855039671695416</v>
      </c>
      <c r="M5" s="172"/>
    </row>
    <row r="6" spans="1:13">
      <c r="A6" s="313" t="s">
        <v>379</v>
      </c>
      <c r="B6" s="317">
        <f>VLOOKUP($A6,ET_MSIP_Projects[[Company Requested Project]:[Ofgem’s DD - Allowances £m]],2,FALSE)</f>
        <v>1.0434399999999999</v>
      </c>
      <c r="C6" s="318">
        <v>-0.29421631019409378</v>
      </c>
      <c r="D6" s="318">
        <v>0</v>
      </c>
      <c r="E6" s="318">
        <v>-2.8110961421747259E-2</v>
      </c>
      <c r="F6" s="318">
        <v>0</v>
      </c>
      <c r="G6" s="318">
        <v>0</v>
      </c>
      <c r="H6" s="318">
        <v>0</v>
      </c>
      <c r="I6" s="319">
        <f>VLOOKUP($A6,ET_MSIP_Projects[[Company Requested Project]:[Ofgem’s DD - Allowances £m]],4,FALSE)</f>
        <v>0.72111999999999998</v>
      </c>
      <c r="J6" s="84" t="str">
        <f t="shared" si="0"/>
        <v>OK</v>
      </c>
      <c r="K6" s="309">
        <f t="shared" si="1"/>
        <v>1.0434472716158409</v>
      </c>
    </row>
    <row r="7" spans="1:13">
      <c r="A7" s="313" t="s">
        <v>380</v>
      </c>
      <c r="B7" s="317">
        <f>VLOOKUP($A7,ET_MSIP_Projects[[Company Requested Project]:[Ofgem’s DD - Allowances £m]],2,FALSE)</f>
        <v>4.9744599999999997</v>
      </c>
      <c r="C7" s="318">
        <v>-1.3726362942100396</v>
      </c>
      <c r="D7" s="318">
        <v>0</v>
      </c>
      <c r="E7" s="318">
        <v>-2.9362194903619018E-2</v>
      </c>
      <c r="F7" s="318">
        <v>0</v>
      </c>
      <c r="G7" s="318">
        <v>0</v>
      </c>
      <c r="H7" s="318">
        <v>0</v>
      </c>
      <c r="I7" s="319">
        <f>VLOOKUP($A7,ET_MSIP_Projects[[Company Requested Project]:[Ofgem’s DD - Allowances £m]],4,FALSE)</f>
        <v>3.57246</v>
      </c>
      <c r="J7" s="84" t="str">
        <f t="shared" si="0"/>
        <v>OK</v>
      </c>
      <c r="K7" s="309">
        <f t="shared" si="1"/>
        <v>4.9744584891136583</v>
      </c>
      <c r="M7" s="172"/>
    </row>
    <row r="8" spans="1:13">
      <c r="A8" s="94" t="s">
        <v>256</v>
      </c>
      <c r="B8" s="320">
        <f>SUM(B4:B7)</f>
        <v>7.9124099999999995</v>
      </c>
      <c r="C8" s="320">
        <f t="shared" ref="C8:I8" si="2">SUM(C4:C7)</f>
        <v>-2.2168967057891535</v>
      </c>
      <c r="D8" s="320">
        <f t="shared" si="2"/>
        <v>0</v>
      </c>
      <c r="E8" s="320">
        <f t="shared" si="2"/>
        <v>-3.6343022109887393E-2</v>
      </c>
      <c r="F8" s="320">
        <f t="shared" si="2"/>
        <v>0</v>
      </c>
      <c r="G8" s="320">
        <f t="shared" si="2"/>
        <v>0</v>
      </c>
      <c r="H8" s="320">
        <f t="shared" si="2"/>
        <v>0</v>
      </c>
      <c r="I8" s="320">
        <f t="shared" si="2"/>
        <v>5.6591699999999996</v>
      </c>
      <c r="J8" s="84" t="str">
        <f t="shared" si="0"/>
        <v>OK</v>
      </c>
      <c r="K8" s="309">
        <f>I8-SUM(C8:H8)</f>
        <v>7.9124097278990408</v>
      </c>
      <c r="M8" s="172"/>
    </row>
    <row r="10" spans="1:13">
      <c r="A10" s="8" t="s">
        <v>404</v>
      </c>
    </row>
    <row r="11" spans="1:13" ht="40">
      <c r="A11" s="90" t="s">
        <v>394</v>
      </c>
      <c r="B11" s="92" t="s">
        <v>395</v>
      </c>
      <c r="C11" s="92" t="s">
        <v>396</v>
      </c>
      <c r="D11" s="92" t="s">
        <v>397</v>
      </c>
      <c r="E11" s="92" t="s">
        <v>398</v>
      </c>
      <c r="F11" s="92" t="s">
        <v>399</v>
      </c>
      <c r="G11" s="92" t="s">
        <v>400</v>
      </c>
      <c r="H11" s="92" t="s">
        <v>401</v>
      </c>
      <c r="I11" s="93" t="s">
        <v>402</v>
      </c>
    </row>
    <row r="12" spans="1:13" ht="20">
      <c r="A12" s="101" t="str">
        <f>A4</f>
        <v>SHET Constraint Management Pathfinder (B6)</v>
      </c>
      <c r="B12" s="318">
        <v>0</v>
      </c>
      <c r="C12" s="318">
        <v>0</v>
      </c>
      <c r="D12" s="318">
        <v>0</v>
      </c>
      <c r="E12" s="318">
        <v>0</v>
      </c>
      <c r="F12" s="318">
        <v>0</v>
      </c>
      <c r="G12" s="318">
        <v>0</v>
      </c>
      <c r="H12" s="318">
        <v>0</v>
      </c>
      <c r="I12" s="318">
        <v>0</v>
      </c>
    </row>
    <row r="13" spans="1:13">
      <c r="A13" s="101" t="str">
        <f>A5</f>
        <v>SHET Lochluichart and Corriemollie</v>
      </c>
      <c r="B13" s="318">
        <v>0</v>
      </c>
      <c r="C13" s="318">
        <v>0</v>
      </c>
      <c r="D13" s="318">
        <v>0</v>
      </c>
      <c r="E13" s="318">
        <v>0</v>
      </c>
      <c r="F13" s="318">
        <v>0</v>
      </c>
      <c r="G13" s="318">
        <v>0</v>
      </c>
      <c r="H13" s="318">
        <v>0</v>
      </c>
      <c r="I13" s="318">
        <v>0</v>
      </c>
    </row>
    <row r="14" spans="1:13">
      <c r="A14" s="101" t="str">
        <f>A6</f>
        <v>SHET North of Beauly DLR (stage 2)</v>
      </c>
      <c r="B14" s="318">
        <v>0</v>
      </c>
      <c r="C14" s="318">
        <v>0</v>
      </c>
      <c r="D14" s="318">
        <v>0</v>
      </c>
      <c r="E14" s="318">
        <v>0</v>
      </c>
      <c r="F14" s="318">
        <v>0</v>
      </c>
      <c r="G14" s="318">
        <v>0</v>
      </c>
      <c r="H14" s="318">
        <v>0</v>
      </c>
      <c r="I14" s="318">
        <v>0</v>
      </c>
    </row>
    <row r="15" spans="1:13">
      <c r="A15" s="101" t="str">
        <f>A7</f>
        <v>SHET Tealing bypass</v>
      </c>
      <c r="B15" s="318">
        <v>6.1689658037101012</v>
      </c>
      <c r="C15" s="318">
        <v>-1.0646204774184886</v>
      </c>
      <c r="D15" s="318">
        <v>0</v>
      </c>
      <c r="E15" s="318">
        <v>-2.7808341882022903E-2</v>
      </c>
      <c r="F15" s="318">
        <v>0</v>
      </c>
      <c r="G15" s="318">
        <v>0</v>
      </c>
      <c r="H15" s="318">
        <v>0</v>
      </c>
      <c r="I15" s="318">
        <v>5.0765369844095893</v>
      </c>
    </row>
    <row r="16" spans="1:13">
      <c r="A16" s="94" t="s">
        <v>256</v>
      </c>
      <c r="B16" s="320">
        <f t="shared" ref="B16:I16" si="3">SUM(B12:B15)</f>
        <v>6.1689658037101012</v>
      </c>
      <c r="C16" s="320">
        <f t="shared" si="3"/>
        <v>-1.0646204774184886</v>
      </c>
      <c r="D16" s="320">
        <f t="shared" si="3"/>
        <v>0</v>
      </c>
      <c r="E16" s="320">
        <f t="shared" si="3"/>
        <v>-2.7808341882022903E-2</v>
      </c>
      <c r="F16" s="320">
        <f t="shared" si="3"/>
        <v>0</v>
      </c>
      <c r="G16" s="320">
        <f t="shared" si="3"/>
        <v>0</v>
      </c>
      <c r="H16" s="320">
        <f t="shared" si="3"/>
        <v>0</v>
      </c>
      <c r="I16" s="320">
        <f t="shared" si="3"/>
        <v>5.0765369844095893</v>
      </c>
    </row>
    <row r="18" spans="1:13">
      <c r="A18" s="8" t="s">
        <v>256</v>
      </c>
    </row>
    <row r="19" spans="1:13" ht="40">
      <c r="A19" s="90" t="s">
        <v>394</v>
      </c>
      <c r="B19" s="92" t="s">
        <v>395</v>
      </c>
      <c r="C19" s="92" t="s">
        <v>396</v>
      </c>
      <c r="D19" s="92" t="s">
        <v>397</v>
      </c>
      <c r="E19" s="92" t="s">
        <v>398</v>
      </c>
      <c r="F19" s="92" t="s">
        <v>399</v>
      </c>
      <c r="G19" s="92" t="s">
        <v>400</v>
      </c>
      <c r="H19" s="92" t="s">
        <v>401</v>
      </c>
      <c r="I19" s="93" t="s">
        <v>402</v>
      </c>
    </row>
    <row r="20" spans="1:13" ht="20">
      <c r="A20" s="101" t="str">
        <f>A4</f>
        <v>SHET Constraint Management Pathfinder (B6)</v>
      </c>
      <c r="B20" s="318">
        <f t="shared" ref="B20:I20" si="4">B4+B12</f>
        <v>0.40899999999999997</v>
      </c>
      <c r="C20" s="318">
        <f t="shared" si="4"/>
        <v>-7.8E-2</v>
      </c>
      <c r="D20" s="318">
        <f t="shared" si="4"/>
        <v>0</v>
      </c>
      <c r="E20" s="318">
        <f t="shared" si="4"/>
        <v>1.6E-2</v>
      </c>
      <c r="F20" s="318">
        <f t="shared" si="4"/>
        <v>0</v>
      </c>
      <c r="G20" s="318">
        <f t="shared" si="4"/>
        <v>0</v>
      </c>
      <c r="H20" s="318">
        <f t="shared" si="4"/>
        <v>0</v>
      </c>
      <c r="I20" s="318">
        <f t="shared" si="4"/>
        <v>0.34699999999999998</v>
      </c>
      <c r="M20" s="172"/>
    </row>
    <row r="21" spans="1:13">
      <c r="A21" s="101" t="str">
        <f>A5</f>
        <v>SHET Lochluichart and Corriemollie</v>
      </c>
      <c r="B21" s="318">
        <f t="shared" ref="B21:I21" si="5">B5+B13</f>
        <v>1.4855100000000001</v>
      </c>
      <c r="C21" s="318">
        <f t="shared" si="5"/>
        <v>-0.47204410138502034</v>
      </c>
      <c r="D21" s="318">
        <f t="shared" si="5"/>
        <v>0</v>
      </c>
      <c r="E21" s="318">
        <f t="shared" si="5"/>
        <v>5.1301342154788871E-3</v>
      </c>
      <c r="F21" s="318">
        <f t="shared" si="5"/>
        <v>0</v>
      </c>
      <c r="G21" s="318">
        <f t="shared" si="5"/>
        <v>0</v>
      </c>
      <c r="H21" s="318">
        <f t="shared" si="5"/>
        <v>0</v>
      </c>
      <c r="I21" s="318">
        <f t="shared" si="5"/>
        <v>1.0185900000000001</v>
      </c>
      <c r="M21" s="172"/>
    </row>
    <row r="22" spans="1:13">
      <c r="A22" s="101" t="str">
        <f>A6</f>
        <v>SHET North of Beauly DLR (stage 2)</v>
      </c>
      <c r="B22" s="318">
        <f t="shared" ref="B22:I22" si="6">B6+B14</f>
        <v>1.0434399999999999</v>
      </c>
      <c r="C22" s="318">
        <f t="shared" si="6"/>
        <v>-0.29421631019409378</v>
      </c>
      <c r="D22" s="318">
        <f t="shared" si="6"/>
        <v>0</v>
      </c>
      <c r="E22" s="318">
        <f t="shared" si="6"/>
        <v>-2.8110961421747259E-2</v>
      </c>
      <c r="F22" s="318">
        <f t="shared" si="6"/>
        <v>0</v>
      </c>
      <c r="G22" s="318">
        <f t="shared" si="6"/>
        <v>0</v>
      </c>
      <c r="H22" s="318">
        <f t="shared" si="6"/>
        <v>0</v>
      </c>
      <c r="I22" s="318">
        <f t="shared" si="6"/>
        <v>0.72111999999999998</v>
      </c>
      <c r="M22" s="172"/>
    </row>
    <row r="23" spans="1:13">
      <c r="A23" s="101" t="str">
        <f>A7</f>
        <v>SHET Tealing bypass</v>
      </c>
      <c r="B23" s="318">
        <f t="shared" ref="B23:I23" si="7">B7+B15</f>
        <v>11.143425803710102</v>
      </c>
      <c r="C23" s="318">
        <f t="shared" si="7"/>
        <v>-2.4372567716285283</v>
      </c>
      <c r="D23" s="318">
        <f t="shared" si="7"/>
        <v>0</v>
      </c>
      <c r="E23" s="318">
        <f t="shared" si="7"/>
        <v>-5.7170536785641921E-2</v>
      </c>
      <c r="F23" s="318">
        <f t="shared" si="7"/>
        <v>0</v>
      </c>
      <c r="G23" s="318">
        <f t="shared" si="7"/>
        <v>0</v>
      </c>
      <c r="H23" s="318">
        <f t="shared" si="7"/>
        <v>0</v>
      </c>
      <c r="I23" s="318">
        <f t="shared" si="7"/>
        <v>8.6489969844095889</v>
      </c>
      <c r="M23" s="172"/>
    </row>
    <row r="24" spans="1:13">
      <c r="A24" s="94" t="s">
        <v>256</v>
      </c>
      <c r="B24" s="322">
        <f t="shared" ref="B24:I24" si="8">B8+B16</f>
        <v>14.081375803710101</v>
      </c>
      <c r="C24" s="322">
        <f t="shared" si="8"/>
        <v>-3.281517183207642</v>
      </c>
      <c r="D24" s="322">
        <f t="shared" si="8"/>
        <v>0</v>
      </c>
      <c r="E24" s="322">
        <f t="shared" si="8"/>
        <v>-6.4151363991910293E-2</v>
      </c>
      <c r="F24" s="322">
        <f t="shared" si="8"/>
        <v>0</v>
      </c>
      <c r="G24" s="322">
        <f t="shared" si="8"/>
        <v>0</v>
      </c>
      <c r="H24" s="322">
        <f t="shared" si="8"/>
        <v>0</v>
      </c>
      <c r="I24" s="322">
        <f t="shared" si="8"/>
        <v>10.735706984409589</v>
      </c>
    </row>
  </sheetData>
  <conditionalFormatting sqref="J4:J8">
    <cfRule type="cellIs" dxfId="11" priority="1" operator="equal">
      <formula>"OK"</formula>
    </cfRule>
  </conditionalFormatting>
  <dataValidations count="1">
    <dataValidation type="list" allowBlank="1" showInputMessage="1" showErrorMessage="1" sqref="A4:A7" xr:uid="{112C9E89-4744-421E-AB24-88256C7B1C55}">
      <formula1>list_Projects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3">
    <tablePart r:id="rId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AF2CE-0F17-4659-9128-F3C6B579BECC}">
  <sheetPr>
    <tabColor theme="7" tint="0.59999389629810485"/>
    <pageSetUpPr autoPageBreaks="0"/>
  </sheetPr>
  <dimension ref="A1:I9"/>
  <sheetViews>
    <sheetView workbookViewId="0">
      <selection activeCell="E12" sqref="E12"/>
    </sheetView>
  </sheetViews>
  <sheetFormatPr defaultRowHeight="13.5"/>
  <cols>
    <col min="1" max="1" width="26.765625" customWidth="1"/>
    <col min="2" max="9" width="10.84375" customWidth="1"/>
    <col min="10" max="10" width="3.84375" bestFit="1" customWidth="1"/>
    <col min="11" max="11" width="10.23046875" customWidth="1"/>
  </cols>
  <sheetData>
    <row r="1" spans="1:9">
      <c r="I1" s="316"/>
    </row>
    <row r="2" spans="1:9">
      <c r="A2" t="s">
        <v>167</v>
      </c>
    </row>
    <row r="3" spans="1:9" ht="40">
      <c r="A3" s="90" t="s">
        <v>394</v>
      </c>
      <c r="B3" s="92" t="s">
        <v>395</v>
      </c>
      <c r="C3" s="92" t="s">
        <v>396</v>
      </c>
      <c r="D3" s="92" t="s">
        <v>397</v>
      </c>
      <c r="E3" s="92" t="s">
        <v>398</v>
      </c>
      <c r="F3" s="92" t="s">
        <v>399</v>
      </c>
      <c r="G3" s="92" t="s">
        <v>400</v>
      </c>
      <c r="H3" s="92" t="s">
        <v>401</v>
      </c>
      <c r="I3" s="93" t="s">
        <v>402</v>
      </c>
    </row>
    <row r="4" spans="1:9" ht="20">
      <c r="A4" s="98" t="s">
        <v>377</v>
      </c>
      <c r="B4" s="318">
        <v>0</v>
      </c>
      <c r="C4" s="318">
        <v>0</v>
      </c>
      <c r="D4" s="318">
        <v>0</v>
      </c>
      <c r="E4" s="318">
        <v>0</v>
      </c>
      <c r="F4" s="318">
        <v>0</v>
      </c>
      <c r="G4" s="318">
        <v>0</v>
      </c>
      <c r="H4" s="318">
        <v>0</v>
      </c>
      <c r="I4" s="318">
        <v>0</v>
      </c>
    </row>
    <row r="5" spans="1:9">
      <c r="A5" s="98" t="s">
        <v>378</v>
      </c>
      <c r="B5" s="318">
        <v>0</v>
      </c>
      <c r="C5" s="318">
        <v>0</v>
      </c>
      <c r="D5" s="318">
        <v>0</v>
      </c>
      <c r="E5" s="318">
        <v>0</v>
      </c>
      <c r="F5" s="318">
        <v>0</v>
      </c>
      <c r="G5" s="318">
        <v>0</v>
      </c>
      <c r="H5" s="318">
        <v>0</v>
      </c>
      <c r="I5" s="318">
        <v>0</v>
      </c>
    </row>
    <row r="6" spans="1:9">
      <c r="A6" s="98" t="s">
        <v>405</v>
      </c>
      <c r="B6" s="318">
        <v>0</v>
      </c>
      <c r="C6" s="318">
        <v>0</v>
      </c>
      <c r="D6" s="318">
        <v>0</v>
      </c>
      <c r="E6" s="318">
        <v>0</v>
      </c>
      <c r="F6" s="318">
        <v>0</v>
      </c>
      <c r="G6" s="318">
        <v>0</v>
      </c>
      <c r="H6" s="318">
        <v>0</v>
      </c>
      <c r="I6" s="318">
        <v>0</v>
      </c>
    </row>
    <row r="7" spans="1:9">
      <c r="A7" s="98" t="s">
        <v>380</v>
      </c>
      <c r="B7" s="318">
        <v>6.1689658037101012</v>
      </c>
      <c r="C7" s="318">
        <v>-1.0646204774184886</v>
      </c>
      <c r="D7" s="318">
        <v>0</v>
      </c>
      <c r="E7" s="318">
        <v>-2.7808341882022903E-2</v>
      </c>
      <c r="F7" s="318">
        <v>0</v>
      </c>
      <c r="G7" s="318">
        <v>0</v>
      </c>
      <c r="H7" s="318">
        <v>0</v>
      </c>
      <c r="I7" s="318">
        <v>5.0765369844095893</v>
      </c>
    </row>
    <row r="8" spans="1:9">
      <c r="A8" s="99" t="s">
        <v>256</v>
      </c>
      <c r="B8" s="320">
        <f t="shared" ref="B8:I8" si="0">SUM(B4:B7)</f>
        <v>6.1689658037101012</v>
      </c>
      <c r="C8" s="320">
        <f t="shared" si="0"/>
        <v>-1.0646204774184886</v>
      </c>
      <c r="D8" s="320">
        <f t="shared" si="0"/>
        <v>0</v>
      </c>
      <c r="E8" s="320">
        <f t="shared" si="0"/>
        <v>-2.7808341882022903E-2</v>
      </c>
      <c r="F8" s="320">
        <f t="shared" si="0"/>
        <v>0</v>
      </c>
      <c r="G8" s="320">
        <f t="shared" si="0"/>
        <v>0</v>
      </c>
      <c r="H8" s="320">
        <f t="shared" si="0"/>
        <v>0</v>
      </c>
      <c r="I8" s="320">
        <f t="shared" si="0"/>
        <v>5.0765369844095893</v>
      </c>
    </row>
    <row r="9" spans="1:9">
      <c r="A9" s="100"/>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937F-0D14-4094-9F8B-5030811F398A}">
  <sheetPr>
    <tabColor theme="7" tint="0.59999389629810485"/>
    <pageSetUpPr autoPageBreaks="0"/>
  </sheetPr>
  <dimension ref="A2:G13"/>
  <sheetViews>
    <sheetView workbookViewId="0">
      <selection activeCell="B30" sqref="B30"/>
    </sheetView>
  </sheetViews>
  <sheetFormatPr defaultRowHeight="13.5"/>
  <cols>
    <col min="1" max="1" width="26.765625" customWidth="1"/>
    <col min="2" max="5" width="18.15234375" customWidth="1"/>
  </cols>
  <sheetData>
    <row r="2" spans="1:7">
      <c r="A2" t="s">
        <v>169</v>
      </c>
    </row>
    <row r="3" spans="1:7" ht="40.5">
      <c r="A3" s="96" t="s">
        <v>389</v>
      </c>
      <c r="B3" s="96" t="s">
        <v>390</v>
      </c>
      <c r="C3" s="96" t="s">
        <v>391</v>
      </c>
      <c r="D3" s="96" t="s">
        <v>392</v>
      </c>
      <c r="E3" s="96" t="s">
        <v>393</v>
      </c>
    </row>
    <row r="4" spans="1:7">
      <c r="A4" s="97">
        <v>6</v>
      </c>
      <c r="B4" s="315">
        <v>6</v>
      </c>
      <c r="C4" s="97">
        <v>0</v>
      </c>
      <c r="D4" s="97">
        <v>5</v>
      </c>
      <c r="E4" s="315">
        <v>1</v>
      </c>
      <c r="F4" t="s">
        <v>406</v>
      </c>
      <c r="G4" s="172"/>
    </row>
    <row r="10" spans="1:7">
      <c r="A10" s="67"/>
    </row>
    <row r="11" spans="1:7">
      <c r="A11" s="66"/>
    </row>
    <row r="12" spans="1:7">
      <c r="A12" s="66"/>
    </row>
    <row r="13" spans="1:7">
      <c r="A13" s="66"/>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F8B2B-95BC-4B00-9D3D-590AF1C7F0B3}">
  <sheetPr>
    <tabColor theme="7" tint="0.59999389629810485"/>
    <pageSetUpPr autoPageBreaks="0"/>
  </sheetPr>
  <dimension ref="A1:M33"/>
  <sheetViews>
    <sheetView workbookViewId="0">
      <selection activeCell="L20" sqref="L20"/>
    </sheetView>
  </sheetViews>
  <sheetFormatPr defaultRowHeight="13.5"/>
  <cols>
    <col min="1" max="1" width="26.765625" customWidth="1"/>
    <col min="2" max="9" width="10.84375" customWidth="1"/>
    <col min="10" max="10" width="3.84375" bestFit="1" customWidth="1"/>
    <col min="11" max="11" width="10.23046875" customWidth="1"/>
  </cols>
  <sheetData>
    <row r="1" spans="1:13">
      <c r="I1" s="316"/>
    </row>
    <row r="2" spans="1:13">
      <c r="A2" t="s">
        <v>171</v>
      </c>
    </row>
    <row r="3" spans="1:13" ht="40">
      <c r="A3" s="90" t="s">
        <v>394</v>
      </c>
      <c r="B3" s="92" t="s">
        <v>395</v>
      </c>
      <c r="C3" s="92" t="s">
        <v>396</v>
      </c>
      <c r="D3" s="92" t="s">
        <v>397</v>
      </c>
      <c r="E3" s="92" t="s">
        <v>398</v>
      </c>
      <c r="F3" s="92" t="s">
        <v>399</v>
      </c>
      <c r="G3" s="92" t="s">
        <v>400</v>
      </c>
      <c r="H3" s="92" t="s">
        <v>401</v>
      </c>
      <c r="I3" s="93" t="s">
        <v>402</v>
      </c>
      <c r="K3" s="308" t="s">
        <v>403</v>
      </c>
    </row>
    <row r="4" spans="1:13">
      <c r="A4" s="313" t="s">
        <v>381</v>
      </c>
      <c r="B4" s="317">
        <f>VLOOKUP($A4,ET_MSIP_Projects[[Company Requested Project]:[Ofgem’s DD - Allowances £m]],2,FALSE)</f>
        <v>51.029000000000003</v>
      </c>
      <c r="C4" s="318">
        <v>-2.058426453369107</v>
      </c>
      <c r="D4" s="318">
        <v>0</v>
      </c>
      <c r="E4" s="318">
        <v>-0.80400354002613694</v>
      </c>
      <c r="F4" s="318">
        <v>0</v>
      </c>
      <c r="G4" s="318">
        <v>0</v>
      </c>
      <c r="H4" s="318">
        <v>0</v>
      </c>
      <c r="I4" s="319">
        <f>VLOOKUP($A4,ET_MSIP_Projects[[Company Requested Project]:[Ofgem’s DD - Allowances £m]],4,FALSE)</f>
        <v>48.16657</v>
      </c>
      <c r="J4" s="84" t="str">
        <f>IFERROR(IF(ABS(B4 - K4) &lt; 0.005, "OK", "Error"),"Error")</f>
        <v>OK</v>
      </c>
      <c r="K4" s="309">
        <f>I4-SUM(C4:H4)</f>
        <v>51.028999993395246</v>
      </c>
    </row>
    <row r="5" spans="1:13" ht="20">
      <c r="A5" s="313" t="s">
        <v>382</v>
      </c>
      <c r="B5" s="317">
        <f>VLOOKUP($A5,ET_MSIP_Projects[[Company Requested Project]:[Ofgem’s DD - Allowances £m]],2,FALSE)</f>
        <v>0.23599999999999999</v>
      </c>
      <c r="C5" s="318">
        <v>0</v>
      </c>
      <c r="D5" s="318">
        <v>0</v>
      </c>
      <c r="E5" s="318">
        <v>-1.575E-3</v>
      </c>
      <c r="F5" s="318">
        <v>0</v>
      </c>
      <c r="G5" s="318">
        <v>0</v>
      </c>
      <c r="H5" s="318">
        <v>0</v>
      </c>
      <c r="I5" s="319">
        <f>VLOOKUP($A5,ET_MSIP_Projects[[Company Requested Project]:[Ofgem’s DD - Allowances £m]],4,FALSE)</f>
        <v>0.23441999999999999</v>
      </c>
      <c r="J5" s="84" t="str">
        <f t="shared" ref="J5:J11" si="0">IFERROR(IF(ABS(B5 - K5) &lt; 0.005, "OK", "Error"),"Error")</f>
        <v>OK</v>
      </c>
      <c r="K5" s="309">
        <f t="shared" ref="K5:K11" si="1">I5-SUM(C5:H5)</f>
        <v>0.23599499999999998</v>
      </c>
      <c r="M5" s="172"/>
    </row>
    <row r="6" spans="1:13">
      <c r="A6" s="313" t="s">
        <v>383</v>
      </c>
      <c r="B6" s="317">
        <f>VLOOKUP($A6,ET_MSIP_Projects[[Company Requested Project]:[Ofgem’s DD - Allowances £m]],2,FALSE)</f>
        <v>3.7702399999999998</v>
      </c>
      <c r="C6" s="318">
        <v>0</v>
      </c>
      <c r="D6" s="318">
        <v>0</v>
      </c>
      <c r="E6" s="318">
        <v>-6.8775000000000031E-2</v>
      </c>
      <c r="F6" s="318">
        <v>0</v>
      </c>
      <c r="G6" s="318">
        <v>0</v>
      </c>
      <c r="H6" s="318">
        <v>0</v>
      </c>
      <c r="I6" s="319">
        <f>VLOOKUP($A6,ET_MSIP_Projects[[Company Requested Project]:[Ofgem’s DD - Allowances £m]],4,FALSE)</f>
        <v>3.70146</v>
      </c>
      <c r="J6" s="84" t="str">
        <f t="shared" si="0"/>
        <v>OK</v>
      </c>
      <c r="K6" s="309">
        <f t="shared" si="1"/>
        <v>3.770235</v>
      </c>
      <c r="M6" s="172"/>
    </row>
    <row r="7" spans="1:13" ht="20">
      <c r="A7" s="313" t="s">
        <v>384</v>
      </c>
      <c r="B7" s="317">
        <f>VLOOKUP($A7,ET_MSIP_Projects[[Company Requested Project]:[Ofgem’s DD - Allowances £m]],2,FALSE)</f>
        <v>0.40600000000000003</v>
      </c>
      <c r="C7" s="318">
        <v>0</v>
      </c>
      <c r="D7" s="318">
        <v>0</v>
      </c>
      <c r="E7" s="318">
        <v>-9.3999999999999917E-3</v>
      </c>
      <c r="F7" s="318">
        <v>0</v>
      </c>
      <c r="G7" s="318">
        <v>0</v>
      </c>
      <c r="H7" s="318">
        <v>0</v>
      </c>
      <c r="I7" s="319">
        <f>VLOOKUP($A7,ET_MSIP_Projects[[Company Requested Project]:[Ofgem’s DD - Allowances £m]],4,FALSE)</f>
        <v>0.39660000000000001</v>
      </c>
      <c r="J7" s="84" t="str">
        <f t="shared" si="0"/>
        <v>OK</v>
      </c>
      <c r="K7" s="309">
        <f t="shared" si="1"/>
        <v>0.40600000000000003</v>
      </c>
      <c r="M7" s="172"/>
    </row>
    <row r="8" spans="1:13">
      <c r="A8" s="313" t="s">
        <v>385</v>
      </c>
      <c r="B8" s="317">
        <f>VLOOKUP($A8,ET_MSIP_Projects[[Company Requested Project]:[Ofgem’s DD - Allowances £m]],2,FALSE)</f>
        <v>4.2949999999999999</v>
      </c>
      <c r="C8" s="318">
        <v>0</v>
      </c>
      <c r="D8" s="318">
        <v>0</v>
      </c>
      <c r="E8" s="318">
        <v>0</v>
      </c>
      <c r="F8" s="318">
        <v>0</v>
      </c>
      <c r="G8" s="318">
        <v>0</v>
      </c>
      <c r="H8" s="318">
        <v>0</v>
      </c>
      <c r="I8" s="319">
        <f>VLOOKUP($A8,ET_MSIP_Projects[[Company Requested Project]:[Ofgem’s DD - Allowances £m]],4,FALSE)</f>
        <v>4.2949999999999999</v>
      </c>
      <c r="J8" s="84" t="str">
        <f t="shared" si="0"/>
        <v>OK</v>
      </c>
      <c r="K8" s="309">
        <f t="shared" si="1"/>
        <v>4.2949999999999999</v>
      </c>
      <c r="M8" s="172"/>
    </row>
    <row r="9" spans="1:13">
      <c r="A9" s="313" t="s">
        <v>386</v>
      </c>
      <c r="B9" s="317">
        <f>VLOOKUP($A9,ET_MSIP_Projects[[Company Requested Project]:[Ofgem’s DD - Allowances £m]],2,FALSE)</f>
        <v>13.539289999999999</v>
      </c>
      <c r="C9" s="318">
        <v>-0.52030799999999999</v>
      </c>
      <c r="D9" s="318">
        <v>0</v>
      </c>
      <c r="E9" s="318">
        <v>-5.3655125955831941E-3</v>
      </c>
      <c r="F9" s="318">
        <v>0</v>
      </c>
      <c r="G9" s="318">
        <v>0</v>
      </c>
      <c r="H9" s="318">
        <v>0</v>
      </c>
      <c r="I9" s="319">
        <f>VLOOKUP($A9,ET_MSIP_Projects[[Company Requested Project]:[Ofgem’s DD - Allowances £m]],4,FALSE)</f>
        <v>13.01361</v>
      </c>
      <c r="J9" s="84" t="str">
        <f t="shared" si="0"/>
        <v>OK</v>
      </c>
      <c r="K9" s="309">
        <f t="shared" si="1"/>
        <v>13.539283512595583</v>
      </c>
      <c r="M9" s="172"/>
    </row>
    <row r="10" spans="1:13">
      <c r="A10" s="314" t="s">
        <v>387</v>
      </c>
      <c r="B10" s="317">
        <f>VLOOKUP($A10,ET_MSIP_Projects[[Company Requested Project]:[Ofgem’s DD - Allowances £m]],2,FALSE)</f>
        <v>8.1809999999999992</v>
      </c>
      <c r="C10" s="318">
        <v>0</v>
      </c>
      <c r="D10" s="318">
        <v>0</v>
      </c>
      <c r="E10" s="318">
        <v>-0.21037883965452497</v>
      </c>
      <c r="F10" s="318">
        <v>-3.5150000000000001</v>
      </c>
      <c r="G10" s="318">
        <v>0</v>
      </c>
      <c r="H10" s="318">
        <v>0</v>
      </c>
      <c r="I10" s="319">
        <f>VLOOKUP($A10,ET_MSIP_Projects[[Company Requested Project]:[Ofgem’s DD - Allowances £m]],4,FALSE)</f>
        <v>4.4556199999999997</v>
      </c>
      <c r="J10" s="84" t="str">
        <f t="shared" si="0"/>
        <v>OK</v>
      </c>
      <c r="K10" s="309">
        <f t="shared" si="1"/>
        <v>8.1809988396545243</v>
      </c>
    </row>
    <row r="11" spans="1:13">
      <c r="A11" s="94" t="s">
        <v>256</v>
      </c>
      <c r="B11" s="320">
        <f>SUM(B4:B10)</f>
        <v>81.456530000000001</v>
      </c>
      <c r="C11" s="320">
        <f t="shared" ref="C11:I11" si="2">SUM(C4:C10)</f>
        <v>-2.578734453369107</v>
      </c>
      <c r="D11" s="320">
        <f t="shared" si="2"/>
        <v>0</v>
      </c>
      <c r="E11" s="320">
        <f t="shared" si="2"/>
        <v>-1.0994978922762451</v>
      </c>
      <c r="F11" s="320">
        <f t="shared" si="2"/>
        <v>-3.5150000000000001</v>
      </c>
      <c r="G11" s="320">
        <f t="shared" si="2"/>
        <v>0</v>
      </c>
      <c r="H11" s="320">
        <f t="shared" si="2"/>
        <v>0</v>
      </c>
      <c r="I11" s="320">
        <f t="shared" si="2"/>
        <v>74.263279999999995</v>
      </c>
      <c r="J11" s="84" t="str">
        <f t="shared" si="0"/>
        <v>OK</v>
      </c>
      <c r="K11" s="309">
        <f t="shared" si="1"/>
        <v>81.456512345645351</v>
      </c>
      <c r="M11" s="172"/>
    </row>
    <row r="13" spans="1:13">
      <c r="A13" s="8" t="s">
        <v>404</v>
      </c>
    </row>
    <row r="14" spans="1:13" ht="40">
      <c r="A14" s="90" t="s">
        <v>394</v>
      </c>
      <c r="B14" s="92" t="s">
        <v>395</v>
      </c>
      <c r="C14" s="92" t="s">
        <v>396</v>
      </c>
      <c r="D14" s="92" t="s">
        <v>397</v>
      </c>
      <c r="E14" s="92" t="s">
        <v>398</v>
      </c>
      <c r="F14" s="92" t="s">
        <v>399</v>
      </c>
      <c r="G14" s="92" t="s">
        <v>400</v>
      </c>
      <c r="H14" s="92" t="s">
        <v>401</v>
      </c>
      <c r="I14" s="93" t="s">
        <v>402</v>
      </c>
    </row>
    <row r="15" spans="1:13">
      <c r="A15" s="101" t="str">
        <f t="shared" ref="A15:A21" si="3">A4</f>
        <v>SPT Branxton 400kV Substation</v>
      </c>
      <c r="B15" s="318">
        <v>33.574999999999996</v>
      </c>
      <c r="C15" s="318">
        <v>-0.37479878427532087</v>
      </c>
      <c r="D15" s="318">
        <v>0</v>
      </c>
      <c r="E15" s="318">
        <v>-0.90646914901765663</v>
      </c>
      <c r="F15" s="318">
        <v>0</v>
      </c>
      <c r="G15" s="318">
        <v>0</v>
      </c>
      <c r="H15" s="318">
        <v>0</v>
      </c>
      <c r="I15" s="318">
        <v>32.293732066707022</v>
      </c>
    </row>
    <row r="16" spans="1:13" ht="20">
      <c r="A16" s="101" t="str">
        <f t="shared" si="3"/>
        <v>SPT Extension of Sub-Synchronous Oscillation (SSO) Detection Capabilities</v>
      </c>
      <c r="B16" s="318">
        <v>0</v>
      </c>
      <c r="C16" s="318">
        <v>0</v>
      </c>
      <c r="D16" s="318">
        <v>0</v>
      </c>
      <c r="E16" s="318">
        <v>0</v>
      </c>
      <c r="F16" s="318">
        <v>0</v>
      </c>
      <c r="G16" s="318">
        <v>0</v>
      </c>
      <c r="H16" s="318">
        <v>0</v>
      </c>
      <c r="I16" s="318">
        <v>0</v>
      </c>
    </row>
    <row r="17" spans="1:13">
      <c r="A17" s="101" t="str">
        <f t="shared" si="3"/>
        <v>SPT Inch Cape Offshore Wind Farm</v>
      </c>
      <c r="B17" s="318">
        <v>0</v>
      </c>
      <c r="C17" s="318">
        <v>0</v>
      </c>
      <c r="D17" s="318">
        <v>0</v>
      </c>
      <c r="E17" s="318">
        <v>0</v>
      </c>
      <c r="F17" s="318">
        <v>0</v>
      </c>
      <c r="G17" s="318">
        <v>0</v>
      </c>
      <c r="H17" s="318">
        <v>0</v>
      </c>
      <c r="I17" s="318">
        <v>0</v>
      </c>
    </row>
    <row r="18" spans="1:13" ht="20">
      <c r="A18" s="101" t="str">
        <f t="shared" si="3"/>
        <v>SPT SPT-RI-1742 Cockenzie Overload Protection Scheme</v>
      </c>
      <c r="B18" s="318">
        <v>0.25800000000000001</v>
      </c>
      <c r="C18" s="318">
        <v>0</v>
      </c>
      <c r="D18" s="318">
        <v>0</v>
      </c>
      <c r="E18" s="318">
        <v>0</v>
      </c>
      <c r="F18" s="318">
        <v>0</v>
      </c>
      <c r="G18" s="318">
        <v>0</v>
      </c>
      <c r="H18" s="318">
        <v>0</v>
      </c>
      <c r="I18" s="318">
        <v>0.25800000000000001</v>
      </c>
    </row>
    <row r="19" spans="1:13">
      <c r="A19" s="101" t="str">
        <f t="shared" si="3"/>
        <v>SPT-RI 282 Mark Hill SGT4</v>
      </c>
      <c r="B19" s="318">
        <v>4.113999999999999</v>
      </c>
      <c r="C19" s="318">
        <v>0</v>
      </c>
      <c r="D19" s="318">
        <v>0</v>
      </c>
      <c r="E19" s="318">
        <v>-3.7974999999999981E-2</v>
      </c>
      <c r="F19" s="318">
        <v>0</v>
      </c>
      <c r="G19" s="318">
        <v>0</v>
      </c>
      <c r="H19" s="318">
        <v>0</v>
      </c>
      <c r="I19" s="318">
        <v>4.0760249999999996</v>
      </c>
    </row>
    <row r="20" spans="1:13">
      <c r="A20" s="101" t="str">
        <f t="shared" si="3"/>
        <v>SPT-RI-302 Glenglass 132kV Substation</v>
      </c>
      <c r="B20" s="318">
        <v>1.6077433504118304</v>
      </c>
      <c r="C20" s="318">
        <v>0</v>
      </c>
      <c r="D20" s="318">
        <v>0</v>
      </c>
      <c r="E20" s="318">
        <v>-2.7823491832125808E-2</v>
      </c>
      <c r="F20" s="318">
        <v>0</v>
      </c>
      <c r="G20" s="318">
        <v>0</v>
      </c>
      <c r="H20" s="318">
        <v>0</v>
      </c>
      <c r="I20" s="318">
        <v>1.5799198585797054</v>
      </c>
    </row>
    <row r="21" spans="1:13">
      <c r="A21" s="101" t="str">
        <f t="shared" si="3"/>
        <v>SPT-TOCO 2201 Kilmarnock South H1</v>
      </c>
      <c r="B21" s="318">
        <v>2.8119999999999994</v>
      </c>
      <c r="C21" s="318">
        <v>0</v>
      </c>
      <c r="D21" s="318">
        <v>0</v>
      </c>
      <c r="E21" s="318">
        <v>-0.20584616034547498</v>
      </c>
      <c r="F21" s="318">
        <v>-1.0870000000000002</v>
      </c>
      <c r="G21" s="318">
        <v>0</v>
      </c>
      <c r="H21" s="318">
        <v>0</v>
      </c>
      <c r="I21" s="318">
        <v>1.5191538396545248</v>
      </c>
    </row>
    <row r="22" spans="1:13">
      <c r="A22" s="94" t="s">
        <v>256</v>
      </c>
      <c r="B22" s="320">
        <f t="shared" ref="B22:I22" si="4">SUM(B15:B21)</f>
        <v>42.366743350411824</v>
      </c>
      <c r="C22" s="320">
        <f t="shared" si="4"/>
        <v>-0.37479878427532087</v>
      </c>
      <c r="D22" s="320">
        <f t="shared" si="4"/>
        <v>0</v>
      </c>
      <c r="E22" s="320">
        <f t="shared" si="4"/>
        <v>-1.1781138011952574</v>
      </c>
      <c r="F22" s="320">
        <f t="shared" si="4"/>
        <v>-1.0870000000000002</v>
      </c>
      <c r="G22" s="320">
        <f t="shared" si="4"/>
        <v>0</v>
      </c>
      <c r="H22" s="320">
        <f t="shared" si="4"/>
        <v>0</v>
      </c>
      <c r="I22" s="320">
        <f t="shared" si="4"/>
        <v>39.726830764941255</v>
      </c>
    </row>
    <row r="24" spans="1:13">
      <c r="A24" s="8" t="s">
        <v>256</v>
      </c>
    </row>
    <row r="25" spans="1:13" ht="40">
      <c r="A25" s="90" t="s">
        <v>394</v>
      </c>
      <c r="B25" s="92" t="s">
        <v>395</v>
      </c>
      <c r="C25" s="92" t="s">
        <v>396</v>
      </c>
      <c r="D25" s="92" t="s">
        <v>397</v>
      </c>
      <c r="E25" s="92" t="s">
        <v>398</v>
      </c>
      <c r="F25" s="92" t="s">
        <v>399</v>
      </c>
      <c r="G25" s="92" t="s">
        <v>400</v>
      </c>
      <c r="H25" s="92" t="s">
        <v>401</v>
      </c>
      <c r="I25" s="93" t="s">
        <v>402</v>
      </c>
    </row>
    <row r="26" spans="1:13">
      <c r="A26" s="101" t="str">
        <f t="shared" ref="A26:A32" si="5">A4</f>
        <v>SPT Branxton 400kV Substation</v>
      </c>
      <c r="B26" s="318">
        <f t="shared" ref="B26:I26" si="6">B4+B15</f>
        <v>84.603999999999999</v>
      </c>
      <c r="C26" s="318">
        <f t="shared" si="6"/>
        <v>-2.4332252376444279</v>
      </c>
      <c r="D26" s="318">
        <f t="shared" si="6"/>
        <v>0</v>
      </c>
      <c r="E26" s="318">
        <f t="shared" si="6"/>
        <v>-1.7104726890437936</v>
      </c>
      <c r="F26" s="318">
        <f t="shared" si="6"/>
        <v>0</v>
      </c>
      <c r="G26" s="318">
        <f t="shared" si="6"/>
        <v>0</v>
      </c>
      <c r="H26" s="318">
        <f t="shared" si="6"/>
        <v>0</v>
      </c>
      <c r="I26" s="318">
        <f t="shared" si="6"/>
        <v>80.460302066707015</v>
      </c>
      <c r="M26" s="172"/>
    </row>
    <row r="27" spans="1:13" ht="20">
      <c r="A27" s="101" t="str">
        <f t="shared" si="5"/>
        <v>SPT Extension of Sub-Synchronous Oscillation (SSO) Detection Capabilities</v>
      </c>
      <c r="B27" s="318">
        <f t="shared" ref="B27:I27" si="7">B5+B16</f>
        <v>0.23599999999999999</v>
      </c>
      <c r="C27" s="318">
        <f t="shared" si="7"/>
        <v>0</v>
      </c>
      <c r="D27" s="318">
        <f t="shared" si="7"/>
        <v>0</v>
      </c>
      <c r="E27" s="318">
        <f t="shared" si="7"/>
        <v>-1.575E-3</v>
      </c>
      <c r="F27" s="318">
        <f t="shared" si="7"/>
        <v>0</v>
      </c>
      <c r="G27" s="318">
        <f t="shared" si="7"/>
        <v>0</v>
      </c>
      <c r="H27" s="318">
        <f t="shared" si="7"/>
        <v>0</v>
      </c>
      <c r="I27" s="318">
        <f t="shared" si="7"/>
        <v>0.23441999999999999</v>
      </c>
      <c r="M27" s="172"/>
    </row>
    <row r="28" spans="1:13">
      <c r="A28" s="101" t="str">
        <f t="shared" si="5"/>
        <v>SPT Inch Cape Offshore Wind Farm</v>
      </c>
      <c r="B28" s="318">
        <f t="shared" ref="B28:I28" si="8">B6+B17</f>
        <v>3.7702399999999998</v>
      </c>
      <c r="C28" s="318">
        <f t="shared" si="8"/>
        <v>0</v>
      </c>
      <c r="D28" s="318">
        <f t="shared" si="8"/>
        <v>0</v>
      </c>
      <c r="E28" s="318">
        <f t="shared" si="8"/>
        <v>-6.8775000000000031E-2</v>
      </c>
      <c r="F28" s="318">
        <f t="shared" si="8"/>
        <v>0</v>
      </c>
      <c r="G28" s="318">
        <f t="shared" si="8"/>
        <v>0</v>
      </c>
      <c r="H28" s="318">
        <f t="shared" si="8"/>
        <v>0</v>
      </c>
      <c r="I28" s="318">
        <f t="shared" si="8"/>
        <v>3.70146</v>
      </c>
      <c r="M28" s="172"/>
    </row>
    <row r="29" spans="1:13" ht="20">
      <c r="A29" s="101" t="str">
        <f t="shared" si="5"/>
        <v>SPT SPT-RI-1742 Cockenzie Overload Protection Scheme</v>
      </c>
      <c r="B29" s="318">
        <f t="shared" ref="B29:I29" si="9">B7+B18</f>
        <v>0.66400000000000003</v>
      </c>
      <c r="C29" s="318">
        <f t="shared" si="9"/>
        <v>0</v>
      </c>
      <c r="D29" s="318">
        <f t="shared" si="9"/>
        <v>0</v>
      </c>
      <c r="E29" s="318">
        <f t="shared" si="9"/>
        <v>-9.3999999999999917E-3</v>
      </c>
      <c r="F29" s="318">
        <f t="shared" si="9"/>
        <v>0</v>
      </c>
      <c r="G29" s="318">
        <f t="shared" si="9"/>
        <v>0</v>
      </c>
      <c r="H29" s="318">
        <f t="shared" si="9"/>
        <v>0</v>
      </c>
      <c r="I29" s="318">
        <f t="shared" si="9"/>
        <v>0.65460000000000007</v>
      </c>
      <c r="M29" s="172"/>
    </row>
    <row r="30" spans="1:13">
      <c r="A30" s="101" t="str">
        <f t="shared" si="5"/>
        <v>SPT-RI 282 Mark Hill SGT4</v>
      </c>
      <c r="B30" s="318">
        <f t="shared" ref="B30:I30" si="10">B8+B19</f>
        <v>8.4089999999999989</v>
      </c>
      <c r="C30" s="318">
        <f t="shared" si="10"/>
        <v>0</v>
      </c>
      <c r="D30" s="318">
        <f t="shared" si="10"/>
        <v>0</v>
      </c>
      <c r="E30" s="318">
        <f t="shared" si="10"/>
        <v>-3.7974999999999981E-2</v>
      </c>
      <c r="F30" s="318">
        <f t="shared" si="10"/>
        <v>0</v>
      </c>
      <c r="G30" s="318">
        <f t="shared" si="10"/>
        <v>0</v>
      </c>
      <c r="H30" s="318">
        <f t="shared" si="10"/>
        <v>0</v>
      </c>
      <c r="I30" s="318">
        <f t="shared" si="10"/>
        <v>8.3710249999999995</v>
      </c>
      <c r="M30" s="172"/>
    </row>
    <row r="31" spans="1:13">
      <c r="A31" s="101" t="str">
        <f t="shared" si="5"/>
        <v>SPT-RI-302 Glenglass 132kV Substation</v>
      </c>
      <c r="B31" s="318">
        <f t="shared" ref="B31:I31" si="11">B9+B20</f>
        <v>15.14703335041183</v>
      </c>
      <c r="C31" s="318">
        <f t="shared" si="11"/>
        <v>-0.52030799999999999</v>
      </c>
      <c r="D31" s="318">
        <f t="shared" si="11"/>
        <v>0</v>
      </c>
      <c r="E31" s="318">
        <f t="shared" si="11"/>
        <v>-3.3189004427709001E-2</v>
      </c>
      <c r="F31" s="318">
        <f t="shared" si="11"/>
        <v>0</v>
      </c>
      <c r="G31" s="318">
        <f t="shared" si="11"/>
        <v>0</v>
      </c>
      <c r="H31" s="318">
        <f t="shared" si="11"/>
        <v>0</v>
      </c>
      <c r="I31" s="318">
        <f t="shared" si="11"/>
        <v>14.593529858579705</v>
      </c>
      <c r="M31" s="172"/>
    </row>
    <row r="32" spans="1:13">
      <c r="A32" s="101" t="str">
        <f t="shared" si="5"/>
        <v>SPT-TOCO 2201 Kilmarnock South H1</v>
      </c>
      <c r="B32" s="318">
        <f t="shared" ref="B32:I32" si="12">B10+B21</f>
        <v>10.992999999999999</v>
      </c>
      <c r="C32" s="318">
        <f t="shared" si="12"/>
        <v>0</v>
      </c>
      <c r="D32" s="318">
        <f t="shared" si="12"/>
        <v>0</v>
      </c>
      <c r="E32" s="318">
        <f t="shared" si="12"/>
        <v>-0.41622499999999996</v>
      </c>
      <c r="F32" s="318">
        <f t="shared" si="12"/>
        <v>-4.6020000000000003</v>
      </c>
      <c r="G32" s="318">
        <f t="shared" si="12"/>
        <v>0</v>
      </c>
      <c r="H32" s="318">
        <f t="shared" si="12"/>
        <v>0</v>
      </c>
      <c r="I32" s="318">
        <f t="shared" si="12"/>
        <v>5.9747738396545245</v>
      </c>
      <c r="M32" s="172"/>
    </row>
    <row r="33" spans="1:9">
      <c r="A33" s="94" t="s">
        <v>256</v>
      </c>
      <c r="B33" s="322">
        <f t="shared" ref="B33:I33" si="13">B11+B22</f>
        <v>123.82327335041182</v>
      </c>
      <c r="C33" s="322">
        <f t="shared" si="13"/>
        <v>-2.9535332376444279</v>
      </c>
      <c r="D33" s="322">
        <f t="shared" si="13"/>
        <v>0</v>
      </c>
      <c r="E33" s="322">
        <f t="shared" si="13"/>
        <v>-2.2776116934715027</v>
      </c>
      <c r="F33" s="322">
        <f t="shared" si="13"/>
        <v>-4.6020000000000003</v>
      </c>
      <c r="G33" s="322">
        <f t="shared" si="13"/>
        <v>0</v>
      </c>
      <c r="H33" s="322">
        <f t="shared" si="13"/>
        <v>0</v>
      </c>
      <c r="I33" s="322">
        <f t="shared" si="13"/>
        <v>113.99011076494125</v>
      </c>
    </row>
  </sheetData>
  <conditionalFormatting sqref="J4:J11">
    <cfRule type="cellIs" dxfId="10" priority="1" operator="equal">
      <formula>"OK"</formula>
    </cfRule>
  </conditionalFormatting>
  <dataValidations count="1">
    <dataValidation type="list" allowBlank="1" showInputMessage="1" showErrorMessage="1" sqref="A4:A10" xr:uid="{ABB47E2C-925D-4009-A78D-DB49C8B446FD}">
      <formula1>list_Projects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3">
    <tablePart r:id="rId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798D-173A-4876-BC56-30316FACA1D1}">
  <sheetPr>
    <tabColor theme="7" tint="0.59999389629810485"/>
    <pageSetUpPr autoPageBreaks="0"/>
  </sheetPr>
  <dimension ref="A1:I25"/>
  <sheetViews>
    <sheetView workbookViewId="0">
      <selection activeCell="G7" sqref="G7"/>
    </sheetView>
  </sheetViews>
  <sheetFormatPr defaultRowHeight="13.5"/>
  <cols>
    <col min="1" max="1" width="26.765625" customWidth="1"/>
    <col min="2" max="9" width="10.84375" customWidth="1"/>
    <col min="10" max="10" width="3.84375" bestFit="1" customWidth="1"/>
    <col min="11" max="11" width="10.23046875" customWidth="1"/>
  </cols>
  <sheetData>
    <row r="1" spans="1:9">
      <c r="I1" s="316"/>
    </row>
    <row r="2" spans="1:9">
      <c r="A2" t="s">
        <v>173</v>
      </c>
    </row>
    <row r="3" spans="1:9" ht="40">
      <c r="A3" s="90" t="s">
        <v>394</v>
      </c>
      <c r="B3" s="92" t="s">
        <v>395</v>
      </c>
      <c r="C3" s="92" t="s">
        <v>396</v>
      </c>
      <c r="D3" s="92" t="s">
        <v>397</v>
      </c>
      <c r="E3" s="92" t="s">
        <v>398</v>
      </c>
      <c r="F3" s="92" t="s">
        <v>399</v>
      </c>
      <c r="G3" s="92" t="s">
        <v>400</v>
      </c>
      <c r="H3" s="92" t="s">
        <v>401</v>
      </c>
      <c r="I3" s="93" t="s">
        <v>402</v>
      </c>
    </row>
    <row r="4" spans="1:9">
      <c r="A4" s="98" t="s">
        <v>381</v>
      </c>
      <c r="B4" s="318">
        <v>33.574999999999996</v>
      </c>
      <c r="C4" s="318">
        <v>-0.37479878427532087</v>
      </c>
      <c r="D4" s="318">
        <v>0</v>
      </c>
      <c r="E4" s="318">
        <v>-0.90646914901765663</v>
      </c>
      <c r="F4" s="318">
        <v>0</v>
      </c>
      <c r="G4" s="318">
        <v>0</v>
      </c>
      <c r="H4" s="318">
        <v>0</v>
      </c>
      <c r="I4" s="318">
        <v>32.293732066707022</v>
      </c>
    </row>
    <row r="5" spans="1:9" ht="20">
      <c r="A5" s="98" t="s">
        <v>382</v>
      </c>
      <c r="B5" s="318">
        <v>0</v>
      </c>
      <c r="C5" s="318">
        <v>0</v>
      </c>
      <c r="D5" s="318">
        <v>0</v>
      </c>
      <c r="E5" s="318">
        <v>0</v>
      </c>
      <c r="F5" s="318">
        <v>0</v>
      </c>
      <c r="G5" s="318">
        <v>0</v>
      </c>
      <c r="H5" s="318">
        <v>0</v>
      </c>
      <c r="I5" s="318">
        <v>0</v>
      </c>
    </row>
    <row r="6" spans="1:9">
      <c r="A6" s="98" t="s">
        <v>383</v>
      </c>
      <c r="B6" s="318">
        <v>0</v>
      </c>
      <c r="C6" s="318">
        <v>0</v>
      </c>
      <c r="D6" s="318">
        <v>0</v>
      </c>
      <c r="E6" s="318">
        <v>0</v>
      </c>
      <c r="F6" s="318">
        <v>0</v>
      </c>
      <c r="G6" s="318">
        <v>0</v>
      </c>
      <c r="H6" s="318">
        <v>0</v>
      </c>
      <c r="I6" s="318">
        <v>0</v>
      </c>
    </row>
    <row r="7" spans="1:9" ht="20">
      <c r="A7" s="98" t="s">
        <v>384</v>
      </c>
      <c r="B7" s="318">
        <v>0.25800000000000001</v>
      </c>
      <c r="C7" s="318">
        <v>0</v>
      </c>
      <c r="D7" s="318">
        <v>0</v>
      </c>
      <c r="E7" s="318">
        <v>0</v>
      </c>
      <c r="F7" s="318">
        <v>0</v>
      </c>
      <c r="G7" s="318">
        <v>0</v>
      </c>
      <c r="H7" s="318">
        <v>0</v>
      </c>
      <c r="I7" s="318">
        <v>0.25800000000000001</v>
      </c>
    </row>
    <row r="8" spans="1:9">
      <c r="A8" s="98" t="s">
        <v>385</v>
      </c>
      <c r="B8" s="318">
        <v>4.113999999999999</v>
      </c>
      <c r="C8" s="318">
        <v>0</v>
      </c>
      <c r="D8" s="318">
        <v>0</v>
      </c>
      <c r="E8" s="318">
        <v>-3.7974999999999981E-2</v>
      </c>
      <c r="F8" s="318">
        <v>0</v>
      </c>
      <c r="G8" s="318">
        <v>0</v>
      </c>
      <c r="H8" s="318">
        <v>0</v>
      </c>
      <c r="I8" s="318">
        <v>4.0760249999999996</v>
      </c>
    </row>
    <row r="9" spans="1:9" ht="20.149999999999999" customHeight="1">
      <c r="A9" s="98" t="s">
        <v>386</v>
      </c>
      <c r="B9" s="318">
        <v>1.6077433504118304</v>
      </c>
      <c r="C9" s="318">
        <v>0</v>
      </c>
      <c r="D9" s="318">
        <v>0</v>
      </c>
      <c r="E9" s="318">
        <v>-2.7823491832125808E-2</v>
      </c>
      <c r="F9" s="318">
        <v>0</v>
      </c>
      <c r="G9" s="318">
        <v>0</v>
      </c>
      <c r="H9" s="318">
        <v>0</v>
      </c>
      <c r="I9" s="318">
        <v>1.5799198585797054</v>
      </c>
    </row>
    <row r="10" spans="1:9">
      <c r="A10" s="98" t="s">
        <v>387</v>
      </c>
      <c r="B10" s="318">
        <v>2.8119999999999994</v>
      </c>
      <c r="C10" s="318">
        <v>0</v>
      </c>
      <c r="D10" s="318">
        <v>0</v>
      </c>
      <c r="E10" s="318">
        <v>-0.20584616034547498</v>
      </c>
      <c r="F10" s="318">
        <v>-1.0870000000000002</v>
      </c>
      <c r="G10" s="318">
        <v>0</v>
      </c>
      <c r="H10" s="318">
        <v>0</v>
      </c>
      <c r="I10" s="318">
        <v>1.5191538396545248</v>
      </c>
    </row>
    <row r="11" spans="1:9">
      <c r="A11" s="99" t="s">
        <v>256</v>
      </c>
      <c r="B11" s="320">
        <f t="shared" ref="B11:I11" si="0">SUM(B4:B10)</f>
        <v>42.366743350411824</v>
      </c>
      <c r="C11" s="320">
        <f t="shared" si="0"/>
        <v>-0.37479878427532087</v>
      </c>
      <c r="D11" s="320">
        <f t="shared" si="0"/>
        <v>0</v>
      </c>
      <c r="E11" s="320">
        <f t="shared" si="0"/>
        <v>-1.1781138011952574</v>
      </c>
      <c r="F11" s="320">
        <f t="shared" si="0"/>
        <v>-1.0870000000000002</v>
      </c>
      <c r="G11" s="320">
        <f t="shared" si="0"/>
        <v>0</v>
      </c>
      <c r="H11" s="320">
        <f t="shared" si="0"/>
        <v>0</v>
      </c>
      <c r="I11" s="320">
        <f t="shared" si="0"/>
        <v>39.726830764941255</v>
      </c>
    </row>
    <row r="13" spans="1:9">
      <c r="B13" s="323"/>
      <c r="C13" s="323"/>
      <c r="D13" s="323"/>
      <c r="E13" s="323"/>
      <c r="F13" s="323"/>
      <c r="G13" s="323"/>
      <c r="H13" s="323"/>
      <c r="I13" s="323"/>
    </row>
    <row r="14" spans="1:9">
      <c r="B14" s="323"/>
      <c r="C14" s="323"/>
      <c r="D14" s="323"/>
      <c r="E14" s="323"/>
      <c r="F14" s="323"/>
      <c r="G14" s="323"/>
      <c r="H14" s="323"/>
      <c r="I14" s="323"/>
    </row>
    <row r="15" spans="1:9">
      <c r="B15" s="323"/>
      <c r="C15" s="323"/>
      <c r="D15" s="323"/>
      <c r="E15" s="323"/>
      <c r="F15" s="323"/>
      <c r="G15" s="323"/>
      <c r="H15" s="323"/>
      <c r="I15" s="323"/>
    </row>
    <row r="16" spans="1:9">
      <c r="B16" s="323"/>
      <c r="C16" s="323"/>
      <c r="D16" s="323"/>
      <c r="E16" s="323"/>
      <c r="F16" s="323"/>
      <c r="G16" s="323"/>
      <c r="H16" s="323"/>
      <c r="I16" s="323"/>
    </row>
    <row r="17" spans="2:9">
      <c r="B17" s="323"/>
      <c r="C17" s="323"/>
      <c r="D17" s="323"/>
      <c r="E17" s="323"/>
      <c r="F17" s="323"/>
      <c r="G17" s="323"/>
      <c r="H17" s="323"/>
      <c r="I17" s="323"/>
    </row>
    <row r="18" spans="2:9">
      <c r="B18" s="323"/>
      <c r="C18" s="323"/>
      <c r="D18" s="323"/>
      <c r="E18" s="323"/>
      <c r="F18" s="323"/>
      <c r="G18" s="323"/>
      <c r="H18" s="323"/>
      <c r="I18" s="323"/>
    </row>
    <row r="19" spans="2:9">
      <c r="B19" s="323"/>
      <c r="C19" s="323"/>
      <c r="D19" s="323"/>
      <c r="E19" s="323"/>
      <c r="F19" s="323"/>
      <c r="G19" s="323"/>
      <c r="H19" s="323"/>
      <c r="I19" s="323"/>
    </row>
    <row r="20" spans="2:9">
      <c r="B20" s="323"/>
      <c r="C20" s="323"/>
      <c r="D20" s="323"/>
      <c r="E20" s="323"/>
      <c r="F20" s="323"/>
      <c r="G20" s="323"/>
      <c r="H20" s="323"/>
      <c r="I20" s="323"/>
    </row>
    <row r="21" spans="2:9">
      <c r="B21" s="323"/>
      <c r="C21" s="323"/>
      <c r="D21" s="323"/>
      <c r="E21" s="323"/>
      <c r="F21" s="323"/>
      <c r="G21" s="323"/>
      <c r="H21" s="323"/>
      <c r="I21" s="323"/>
    </row>
    <row r="22" spans="2:9">
      <c r="B22" s="323"/>
      <c r="C22" s="323"/>
      <c r="D22" s="323"/>
      <c r="E22" s="323"/>
      <c r="F22" s="323"/>
      <c r="G22" s="323"/>
      <c r="H22" s="323"/>
      <c r="I22" s="323"/>
    </row>
    <row r="23" spans="2:9">
      <c r="B23" s="323"/>
      <c r="C23" s="323"/>
      <c r="D23" s="323"/>
      <c r="E23" s="323"/>
      <c r="F23" s="323"/>
      <c r="G23" s="323"/>
      <c r="H23" s="323"/>
      <c r="I23" s="323"/>
    </row>
    <row r="24" spans="2:9">
      <c r="B24" s="323"/>
      <c r="C24" s="323"/>
      <c r="D24" s="323"/>
      <c r="E24" s="323"/>
      <c r="F24" s="323"/>
      <c r="G24" s="323"/>
      <c r="H24" s="323"/>
      <c r="I24" s="323"/>
    </row>
    <row r="25" spans="2:9">
      <c r="B25" s="323"/>
      <c r="C25" s="323"/>
      <c r="D25" s="323"/>
      <c r="E25" s="323"/>
      <c r="F25" s="323"/>
      <c r="G25" s="323"/>
      <c r="H25" s="323"/>
      <c r="I25" s="323"/>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16DD8-A660-4EB6-A214-8CCD29DE14C1}">
  <sheetPr>
    <tabColor theme="7" tint="0.59999389629810485"/>
    <pageSetUpPr autoPageBreaks="0"/>
  </sheetPr>
  <dimension ref="A2:C22"/>
  <sheetViews>
    <sheetView workbookViewId="0">
      <selection activeCell="B1" sqref="B1:B1048576"/>
    </sheetView>
  </sheetViews>
  <sheetFormatPr defaultRowHeight="13.5"/>
  <cols>
    <col min="1" max="1" width="37.765625" customWidth="1"/>
    <col min="2" max="2" width="13.84375" customWidth="1"/>
  </cols>
  <sheetData>
    <row r="2" spans="1:3">
      <c r="A2" t="s">
        <v>175</v>
      </c>
    </row>
    <row r="3" spans="1:3" ht="20">
      <c r="A3" s="90" t="s">
        <v>407</v>
      </c>
      <c r="B3" s="93" t="s">
        <v>408</v>
      </c>
    </row>
    <row r="4" spans="1:3">
      <c r="A4" s="101" t="s">
        <v>409</v>
      </c>
      <c r="B4" s="324">
        <v>5.4649999999999999</v>
      </c>
    </row>
    <row r="5" spans="1:3">
      <c r="A5" s="101" t="s">
        <v>410</v>
      </c>
      <c r="B5" s="324">
        <v>2.105</v>
      </c>
    </row>
    <row r="6" spans="1:3">
      <c r="A6" s="101" t="s">
        <v>411</v>
      </c>
      <c r="B6" s="324">
        <v>10.385999999999999</v>
      </c>
    </row>
    <row r="7" spans="1:3">
      <c r="A7" s="101" t="s">
        <v>412</v>
      </c>
      <c r="B7" s="324">
        <v>0.47099999999999997</v>
      </c>
    </row>
    <row r="8" spans="1:3">
      <c r="A8" s="101" t="s">
        <v>413</v>
      </c>
      <c r="B8" s="324">
        <v>78.034000000000006</v>
      </c>
    </row>
    <row r="9" spans="1:3">
      <c r="A9" s="101" t="s">
        <v>414</v>
      </c>
      <c r="B9" s="324">
        <v>0.42499999999999999</v>
      </c>
    </row>
    <row r="10" spans="1:3">
      <c r="A10" s="101" t="s">
        <v>415</v>
      </c>
      <c r="B10" s="324">
        <v>7.0369999999999999</v>
      </c>
    </row>
    <row r="11" spans="1:3">
      <c r="A11" s="101" t="s">
        <v>416</v>
      </c>
      <c r="B11" s="324">
        <v>0.69199999999999995</v>
      </c>
    </row>
    <row r="12" spans="1:3">
      <c r="A12" s="102" t="s">
        <v>417</v>
      </c>
      <c r="B12" s="325">
        <f>SUM(B4:B11)</f>
        <v>104.61500000000001</v>
      </c>
      <c r="C12" s="84"/>
    </row>
    <row r="13" spans="1:3">
      <c r="A13" s="104" t="s">
        <v>418</v>
      </c>
      <c r="B13" s="324">
        <v>0.46500000000000002</v>
      </c>
    </row>
    <row r="14" spans="1:3">
      <c r="A14" s="102" t="s">
        <v>419</v>
      </c>
      <c r="B14" s="325">
        <f>B13+B12</f>
        <v>105.08000000000001</v>
      </c>
    </row>
    <row r="16" spans="1:3">
      <c r="A16" t="s">
        <v>420</v>
      </c>
    </row>
    <row r="17" spans="1:3" ht="20">
      <c r="A17" s="90" t="s">
        <v>421</v>
      </c>
      <c r="B17" s="93" t="s">
        <v>408</v>
      </c>
    </row>
    <row r="18" spans="1:3">
      <c r="A18" s="101" t="s">
        <v>422</v>
      </c>
      <c r="B18" s="324">
        <v>2.7050000000000001</v>
      </c>
    </row>
    <row r="19" spans="1:3">
      <c r="A19" s="101" t="s">
        <v>423</v>
      </c>
      <c r="B19" s="324">
        <v>78.506</v>
      </c>
    </row>
    <row r="20" spans="1:3">
      <c r="A20" s="101" t="s">
        <v>424</v>
      </c>
      <c r="B20" s="324">
        <v>7.0369999999999999</v>
      </c>
    </row>
    <row r="21" spans="1:3">
      <c r="A21" s="101" t="s">
        <v>425</v>
      </c>
      <c r="B21" s="324">
        <v>16.832000000000001</v>
      </c>
    </row>
    <row r="22" spans="1:3">
      <c r="A22" s="102" t="s">
        <v>256</v>
      </c>
      <c r="B22" s="325">
        <f>SUM(B18:B21)</f>
        <v>105.08000000000001</v>
      </c>
      <c r="C22" s="84" t="str">
        <f>IF(ABS(B22-B14)&lt;0.001,"OK","Error")</f>
        <v>OK</v>
      </c>
    </row>
  </sheetData>
  <conditionalFormatting sqref="C12">
    <cfRule type="cellIs" dxfId="9" priority="1" operator="equal">
      <formula>"OK"</formula>
    </cfRule>
  </conditionalFormatting>
  <conditionalFormatting sqref="C22">
    <cfRule type="cellIs" dxfId="8" priority="2" operator="equal">
      <formula>"OK"</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D273-F4B2-4C60-9583-1801CC3792FE}">
  <sheetPr>
    <tabColor theme="7" tint="0.59999389629810485"/>
    <pageSetUpPr autoPageBreaks="0"/>
  </sheetPr>
  <dimension ref="A2:D15"/>
  <sheetViews>
    <sheetView workbookViewId="0">
      <selection activeCell="F24" sqref="F24"/>
    </sheetView>
  </sheetViews>
  <sheetFormatPr defaultRowHeight="13.5"/>
  <cols>
    <col min="1" max="1" width="30.61328125" customWidth="1"/>
    <col min="2" max="7" width="12.15234375" customWidth="1"/>
  </cols>
  <sheetData>
    <row r="2" spans="1:4">
      <c r="A2" t="s">
        <v>177</v>
      </c>
    </row>
    <row r="3" spans="1:4" ht="20">
      <c r="A3" s="103" t="s">
        <v>426</v>
      </c>
      <c r="B3" s="326" t="s">
        <v>427</v>
      </c>
      <c r="C3" s="326" t="s">
        <v>428</v>
      </c>
      <c r="D3" s="327" t="s">
        <v>429</v>
      </c>
    </row>
    <row r="4" spans="1:4">
      <c r="A4" s="101" t="s">
        <v>430</v>
      </c>
      <c r="B4" s="328">
        <v>5.4649999999999999</v>
      </c>
      <c r="C4" s="328">
        <f>Gremista_DD_Adjustments[[#This Row],[Proposed DD* Allowance £m]]-Gremista_DD_Adjustments[[#This Row],[Submitted Cost £m]]</f>
        <v>-5.4649999999999999</v>
      </c>
      <c r="D4" s="328">
        <v>0</v>
      </c>
    </row>
    <row r="5" spans="1:4">
      <c r="A5" s="101" t="s">
        <v>431</v>
      </c>
      <c r="B5" s="328">
        <v>2.105</v>
      </c>
      <c r="C5" s="328">
        <f>Gremista_DD_Adjustments[[#This Row],[Proposed DD* Allowance £m]]-Gremista_DD_Adjustments[[#This Row],[Submitted Cost £m]]</f>
        <v>-2.105</v>
      </c>
      <c r="D5" s="328">
        <v>0</v>
      </c>
    </row>
    <row r="6" spans="1:4">
      <c r="A6" s="101" t="s">
        <v>411</v>
      </c>
      <c r="B6" s="328">
        <v>10.385999999999999</v>
      </c>
      <c r="C6" s="328">
        <f>Gremista_DD_Adjustments[[#This Row],[Proposed DD* Allowance £m]]-Gremista_DD_Adjustments[[#This Row],[Submitted Cost £m]]</f>
        <v>-3.1359999999999992</v>
      </c>
      <c r="D6" s="328">
        <v>7.25</v>
      </c>
    </row>
    <row r="7" spans="1:4">
      <c r="A7" s="101" t="s">
        <v>412</v>
      </c>
      <c r="B7" s="328">
        <v>0.47099999999999997</v>
      </c>
      <c r="C7" s="328">
        <f>Gremista_DD_Adjustments[[#This Row],[Proposed DD* Allowance £m]]-Gremista_DD_Adjustments[[#This Row],[Submitted Cost £m]]</f>
        <v>0</v>
      </c>
      <c r="D7" s="328">
        <v>0.47099999999999997</v>
      </c>
    </row>
    <row r="8" spans="1:4">
      <c r="A8" s="101" t="s">
        <v>413</v>
      </c>
      <c r="B8" s="328">
        <v>78.034000000000006</v>
      </c>
      <c r="C8" s="328">
        <f>Gremista_DD_Adjustments[[#This Row],[Proposed DD* Allowance £m]]-Gremista_DD_Adjustments[[#This Row],[Submitted Cost £m]]</f>
        <v>-11.436000000000007</v>
      </c>
      <c r="D8" s="328">
        <v>66.597999999999999</v>
      </c>
    </row>
    <row r="9" spans="1:4">
      <c r="A9" s="101" t="s">
        <v>414</v>
      </c>
      <c r="B9" s="328">
        <v>0.42499999999999999</v>
      </c>
      <c r="C9" s="328">
        <f>Gremista_DD_Adjustments[[#This Row],[Proposed DD* Allowance £m]]-Gremista_DD_Adjustments[[#This Row],[Submitted Cost £m]]</f>
        <v>-0.42499999999999999</v>
      </c>
      <c r="D9" s="328">
        <v>0</v>
      </c>
    </row>
    <row r="10" spans="1:4">
      <c r="A10" s="101" t="s">
        <v>415</v>
      </c>
      <c r="B10" s="328">
        <v>7.0369999999999999</v>
      </c>
      <c r="C10" s="328">
        <f>Gremista_DD_Adjustments[[#This Row],[Proposed DD* Allowance £m]]-Gremista_DD_Adjustments[[#This Row],[Submitted Cost £m]]</f>
        <v>-2.0069999999999997</v>
      </c>
      <c r="D10" s="328">
        <v>5.03</v>
      </c>
    </row>
    <row r="11" spans="1:4">
      <c r="A11" s="101" t="s">
        <v>416</v>
      </c>
      <c r="B11" s="328">
        <v>0.69199999999999995</v>
      </c>
      <c r="C11" s="328">
        <f>Gremista_DD_Adjustments[[#This Row],[Proposed DD* Allowance £m]]-Gremista_DD_Adjustments[[#This Row],[Submitted Cost £m]]</f>
        <v>-0.69199999999999995</v>
      </c>
      <c r="D11" s="328">
        <v>0</v>
      </c>
    </row>
    <row r="12" spans="1:4">
      <c r="A12" s="88" t="s">
        <v>417</v>
      </c>
      <c r="B12" s="329">
        <f>SUM(B4:B11)</f>
        <v>104.61500000000001</v>
      </c>
      <c r="C12" s="329">
        <f t="shared" ref="C12:D12" si="0">SUM(C4:C11)</f>
        <v>-25.266000000000005</v>
      </c>
      <c r="D12" s="329">
        <f t="shared" si="0"/>
        <v>79.349000000000004</v>
      </c>
    </row>
    <row r="13" spans="1:4">
      <c r="A13" s="101" t="s">
        <v>418</v>
      </c>
      <c r="B13" s="328">
        <v>0.46500000000000002</v>
      </c>
      <c r="C13" s="328">
        <f>Gremista_DD_Adjustments[[#This Row],[Proposed DD* Allowance £m]]-Gremista_DD_Adjustments[[#This Row],[Submitted Cost £m]]</f>
        <v>-0.46500000000000002</v>
      </c>
      <c r="D13" s="328">
        <v>0</v>
      </c>
    </row>
    <row r="14" spans="1:4">
      <c r="A14" s="88" t="s">
        <v>419</v>
      </c>
      <c r="B14" s="329">
        <f>B12+B13</f>
        <v>105.08000000000001</v>
      </c>
      <c r="C14" s="329">
        <f t="shared" ref="C14:D14" si="1">C12+C13</f>
        <v>-25.731000000000005</v>
      </c>
      <c r="D14" s="329">
        <f t="shared" si="1"/>
        <v>79.349000000000004</v>
      </c>
    </row>
    <row r="15" spans="1:4">
      <c r="A15" s="104" t="s">
        <v>432</v>
      </c>
      <c r="B15" s="330">
        <v>0.02</v>
      </c>
      <c r="C15" s="331">
        <v>0.08</v>
      </c>
      <c r="D15" s="332">
        <v>0.1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482AD-A706-4A4F-870C-204E2ADCBDE6}">
  <sheetPr>
    <tabColor theme="7" tint="0.59999389629810485"/>
    <pageSetUpPr autoPageBreaks="0"/>
  </sheetPr>
  <dimension ref="A2:J36"/>
  <sheetViews>
    <sheetView workbookViewId="0">
      <selection activeCell="D8" sqref="D8"/>
    </sheetView>
  </sheetViews>
  <sheetFormatPr defaultRowHeight="13.5"/>
  <cols>
    <col min="1" max="1" width="22.4609375" customWidth="1"/>
    <col min="2" max="2" width="33.765625" style="6" customWidth="1"/>
    <col min="3" max="3" width="16.4609375" customWidth="1"/>
    <col min="4" max="9" width="10.23046875" customWidth="1"/>
  </cols>
  <sheetData>
    <row r="2" spans="1:10" ht="15">
      <c r="A2" s="105" t="s">
        <v>433</v>
      </c>
      <c r="B2" s="106" t="s">
        <v>434</v>
      </c>
      <c r="C2" s="105" t="s">
        <v>435</v>
      </c>
      <c r="D2" s="105" t="s">
        <v>436</v>
      </c>
      <c r="E2" s="105" t="s">
        <v>437</v>
      </c>
      <c r="F2" s="105" t="s">
        <v>438</v>
      </c>
      <c r="G2" s="105" t="s">
        <v>439</v>
      </c>
      <c r="H2" s="105" t="s">
        <v>440</v>
      </c>
      <c r="I2" s="105" t="s">
        <v>441</v>
      </c>
    </row>
    <row r="3" spans="1:10" ht="15">
      <c r="A3" s="107" t="s">
        <v>442</v>
      </c>
      <c r="B3" s="108"/>
      <c r="C3" s="107"/>
      <c r="D3" s="111">
        <f>SUM(D26:D36)</f>
        <v>1E-3</v>
      </c>
      <c r="E3" s="111">
        <f t="shared" ref="E3:H3" si="0">SUM(E26:E36)</f>
        <v>4.0060000000000002</v>
      </c>
      <c r="F3" s="111">
        <f t="shared" si="0"/>
        <v>12.539</v>
      </c>
      <c r="G3" s="111">
        <f t="shared" si="0"/>
        <v>50.771000000000001</v>
      </c>
      <c r="H3" s="111">
        <f t="shared" si="0"/>
        <v>55.350999999999999</v>
      </c>
      <c r="I3" s="112">
        <f>SUM(D3:H3)</f>
        <v>122.66800000000001</v>
      </c>
      <c r="J3" s="84" t="str">
        <f>IF(ABS(I3-SUM(D3:H3))&lt;0.01,"OK","Error")</f>
        <v>OK</v>
      </c>
    </row>
    <row r="4" spans="1:10" ht="15">
      <c r="H4" s="115" t="s">
        <v>443</v>
      </c>
      <c r="I4" s="112">
        <f>TableET4_NGET_ET2!I17</f>
        <v>122.666</v>
      </c>
      <c r="J4" s="84" t="str">
        <f>IF(ABS(I4-I3)&lt;0.01,"OK","Error")</f>
        <v>OK</v>
      </c>
    </row>
    <row r="6" spans="1:10">
      <c r="A6" t="s">
        <v>444</v>
      </c>
      <c r="B6" s="114"/>
    </row>
    <row r="7" spans="1:10" ht="15">
      <c r="A7" s="105" t="s">
        <v>433</v>
      </c>
      <c r="B7" s="106" t="s">
        <v>434</v>
      </c>
      <c r="C7" s="105" t="s">
        <v>435</v>
      </c>
      <c r="D7" s="105" t="s">
        <v>436</v>
      </c>
      <c r="E7" s="105" t="s">
        <v>437</v>
      </c>
      <c r="F7" s="105" t="s">
        <v>438</v>
      </c>
      <c r="G7" s="105" t="s">
        <v>439</v>
      </c>
      <c r="H7" s="105" t="s">
        <v>440</v>
      </c>
      <c r="I7" s="105" t="s">
        <v>441</v>
      </c>
      <c r="J7" s="84" t="str">
        <f>IF(ISNA(MATCH("Error",$J$8:$J$36,0)),"OK","Error")</f>
        <v>OK</v>
      </c>
    </row>
    <row r="8" spans="1:10" ht="13.5" customHeight="1">
      <c r="A8" s="107" t="s">
        <v>445</v>
      </c>
      <c r="B8" s="108" t="s">
        <v>446</v>
      </c>
      <c r="C8" s="107" t="s">
        <v>447</v>
      </c>
      <c r="D8" s="111">
        <v>0</v>
      </c>
      <c r="E8" s="111">
        <v>5.8000000000000003E-2</v>
      </c>
      <c r="F8" s="111">
        <v>0.95599999999999996</v>
      </c>
      <c r="G8" s="111">
        <v>1.4490000000000001</v>
      </c>
      <c r="H8" s="111">
        <v>2.0049999999999999</v>
      </c>
      <c r="I8" s="112">
        <v>4.468</v>
      </c>
      <c r="J8" s="84" t="str">
        <f t="shared" ref="J8:J36" si="1">IF(ABS(I8-SUM(D8:H8))&lt;0.01,"OK","Error")</f>
        <v>OK</v>
      </c>
    </row>
    <row r="9" spans="1:10" ht="13.5" customHeight="1">
      <c r="A9" s="107" t="s">
        <v>445</v>
      </c>
      <c r="B9" s="108" t="s">
        <v>448</v>
      </c>
      <c r="C9" s="107" t="s">
        <v>447</v>
      </c>
      <c r="D9" s="111">
        <v>0</v>
      </c>
      <c r="E9" s="111">
        <v>0.39100000000000001</v>
      </c>
      <c r="F9" s="111">
        <v>1.9039999999999999</v>
      </c>
      <c r="G9" s="111">
        <v>2.0299999999999998</v>
      </c>
      <c r="H9" s="111">
        <v>1.7769999999999999</v>
      </c>
      <c r="I9" s="112">
        <v>6.1020000000000003</v>
      </c>
      <c r="J9" s="84" t="str">
        <f t="shared" si="1"/>
        <v>OK</v>
      </c>
    </row>
    <row r="10" spans="1:10" ht="13.5" customHeight="1">
      <c r="A10" s="107" t="s">
        <v>445</v>
      </c>
      <c r="B10" s="108" t="s">
        <v>449</v>
      </c>
      <c r="C10" s="107" t="s">
        <v>447</v>
      </c>
      <c r="D10" s="111">
        <v>0</v>
      </c>
      <c r="E10" s="111">
        <v>0.40500000000000003</v>
      </c>
      <c r="F10" s="111">
        <v>0.76200000000000001</v>
      </c>
      <c r="G10" s="111">
        <v>1.3440000000000001</v>
      </c>
      <c r="H10" s="111">
        <v>3.4000000000000002E-2</v>
      </c>
      <c r="I10" s="112">
        <v>2.5449999999999999</v>
      </c>
      <c r="J10" s="84" t="str">
        <f t="shared" si="1"/>
        <v>OK</v>
      </c>
    </row>
    <row r="11" spans="1:10" ht="13.5" customHeight="1">
      <c r="A11" s="107" t="s">
        <v>445</v>
      </c>
      <c r="B11" s="108" t="s">
        <v>450</v>
      </c>
      <c r="C11" s="107" t="s">
        <v>447</v>
      </c>
      <c r="D11" s="111">
        <v>0</v>
      </c>
      <c r="E11" s="111">
        <v>0.28599999999999998</v>
      </c>
      <c r="F11" s="111">
        <v>1.06</v>
      </c>
      <c r="G11" s="111">
        <v>2.7549999999999999</v>
      </c>
      <c r="H11" s="111">
        <v>2.9660000000000002</v>
      </c>
      <c r="I11" s="112">
        <v>7.0670000000000002</v>
      </c>
      <c r="J11" s="84" t="str">
        <f t="shared" si="1"/>
        <v>OK</v>
      </c>
    </row>
    <row r="12" spans="1:10" ht="13.5" customHeight="1">
      <c r="A12" s="107" t="s">
        <v>445</v>
      </c>
      <c r="B12" s="108" t="s">
        <v>451</v>
      </c>
      <c r="C12" s="107" t="s">
        <v>447</v>
      </c>
      <c r="D12" s="111">
        <v>0</v>
      </c>
      <c r="E12" s="111">
        <v>3.4000000000000002E-2</v>
      </c>
      <c r="F12" s="111">
        <v>9.2999999999999999E-2</v>
      </c>
      <c r="G12" s="111">
        <v>4.6619999999999999</v>
      </c>
      <c r="H12" s="111">
        <v>1.7999999999999999E-2</v>
      </c>
      <c r="I12" s="112">
        <v>4.8070000000000004</v>
      </c>
      <c r="J12" s="84" t="str">
        <f t="shared" si="1"/>
        <v>OK</v>
      </c>
    </row>
    <row r="13" spans="1:10" ht="45">
      <c r="A13" s="107" t="s">
        <v>445</v>
      </c>
      <c r="B13" s="108" t="s">
        <v>452</v>
      </c>
      <c r="C13" s="107" t="s">
        <v>447</v>
      </c>
      <c r="D13" s="111">
        <v>0</v>
      </c>
      <c r="E13" s="111">
        <v>0</v>
      </c>
      <c r="F13" s="111">
        <v>6.4669999999999996</v>
      </c>
      <c r="G13" s="111">
        <v>7.8310000000000004</v>
      </c>
      <c r="H13" s="111">
        <v>9.5440000000000005</v>
      </c>
      <c r="I13" s="112">
        <v>23.841999999999999</v>
      </c>
      <c r="J13" s="84" t="str">
        <f t="shared" si="1"/>
        <v>OK</v>
      </c>
    </row>
    <row r="14" spans="1:10" ht="45">
      <c r="A14" s="107" t="s">
        <v>453</v>
      </c>
      <c r="B14" s="108" t="s">
        <v>454</v>
      </c>
      <c r="C14" s="107" t="s">
        <v>447</v>
      </c>
      <c r="D14" s="111">
        <v>0</v>
      </c>
      <c r="E14" s="111">
        <v>0.5</v>
      </c>
      <c r="F14" s="111">
        <v>0.8</v>
      </c>
      <c r="G14" s="111">
        <v>0.9</v>
      </c>
      <c r="H14" s="111">
        <v>0.8266</v>
      </c>
      <c r="I14" s="112">
        <v>3.0266000000000002</v>
      </c>
      <c r="J14" s="84" t="str">
        <f t="shared" si="1"/>
        <v>OK</v>
      </c>
    </row>
    <row r="15" spans="1:10" ht="30">
      <c r="A15" s="107" t="s">
        <v>455</v>
      </c>
      <c r="B15" s="108" t="s">
        <v>456</v>
      </c>
      <c r="C15" s="107" t="s">
        <v>457</v>
      </c>
      <c r="D15" s="111">
        <v>0.18579999999999999</v>
      </c>
      <c r="E15" s="111">
        <v>0.24940000000000001</v>
      </c>
      <c r="F15" s="111">
        <v>6.1999999999999998E-3</v>
      </c>
      <c r="G15" s="111">
        <v>0</v>
      </c>
      <c r="H15" s="111">
        <v>0</v>
      </c>
      <c r="I15" s="112">
        <v>0.44140000000000001</v>
      </c>
      <c r="J15" s="84" t="str">
        <f t="shared" si="1"/>
        <v>OK</v>
      </c>
    </row>
    <row r="16" spans="1:10" ht="30">
      <c r="A16" s="107" t="s">
        <v>458</v>
      </c>
      <c r="B16" s="108" t="s">
        <v>459</v>
      </c>
      <c r="C16" s="107" t="s">
        <v>457</v>
      </c>
      <c r="D16" s="111">
        <v>0.33850000000000002</v>
      </c>
      <c r="E16" s="111">
        <v>0.1051</v>
      </c>
      <c r="F16" s="111">
        <v>0</v>
      </c>
      <c r="G16" s="111">
        <v>0</v>
      </c>
      <c r="H16" s="111">
        <v>0</v>
      </c>
      <c r="I16" s="112">
        <v>0.44359999999999999</v>
      </c>
      <c r="J16" s="84" t="str">
        <f t="shared" si="1"/>
        <v>OK</v>
      </c>
    </row>
    <row r="17" spans="1:10" ht="30">
      <c r="A17" s="107" t="s">
        <v>460</v>
      </c>
      <c r="B17" s="108" t="s">
        <v>461</v>
      </c>
      <c r="C17" s="107" t="s">
        <v>457</v>
      </c>
      <c r="D17" s="111">
        <v>0.60560000000000003</v>
      </c>
      <c r="E17" s="111">
        <v>9.0499999999999997E-2</v>
      </c>
      <c r="F17" s="111">
        <v>0</v>
      </c>
      <c r="G17" s="111">
        <v>0</v>
      </c>
      <c r="H17" s="111">
        <v>0</v>
      </c>
      <c r="I17" s="112">
        <v>0.69610000000000005</v>
      </c>
      <c r="J17" s="84" t="str">
        <f t="shared" si="1"/>
        <v>OK</v>
      </c>
    </row>
    <row r="18" spans="1:10" ht="45">
      <c r="A18" s="107" t="s">
        <v>462</v>
      </c>
      <c r="B18" s="108" t="s">
        <v>463</v>
      </c>
      <c r="C18" s="107" t="s">
        <v>464</v>
      </c>
      <c r="D18" s="111">
        <v>0.1145</v>
      </c>
      <c r="E18" s="111">
        <v>1.6120000000000001</v>
      </c>
      <c r="F18" s="111">
        <v>4.1740000000000004</v>
      </c>
      <c r="G18" s="111">
        <v>1.2589999999999999</v>
      </c>
      <c r="H18" s="111">
        <v>1.647</v>
      </c>
      <c r="I18" s="112">
        <v>8.8064999999999998</v>
      </c>
      <c r="J18" s="84" t="str">
        <f t="shared" si="1"/>
        <v>OK</v>
      </c>
    </row>
    <row r="19" spans="1:10" ht="30">
      <c r="A19" s="107" t="s">
        <v>465</v>
      </c>
      <c r="B19" s="108" t="s">
        <v>466</v>
      </c>
      <c r="C19" s="107" t="s">
        <v>467</v>
      </c>
      <c r="D19" s="111">
        <v>0</v>
      </c>
      <c r="E19" s="111">
        <v>1.3680000000000001</v>
      </c>
      <c r="F19" s="111">
        <v>3.343</v>
      </c>
      <c r="G19" s="111">
        <v>0.39100000000000001</v>
      </c>
      <c r="H19" s="111">
        <v>0</v>
      </c>
      <c r="I19" s="112">
        <v>5.1020000000000003</v>
      </c>
      <c r="J19" s="84" t="str">
        <f t="shared" si="1"/>
        <v>OK</v>
      </c>
    </row>
    <row r="20" spans="1:10" ht="30">
      <c r="A20" s="107" t="s">
        <v>465</v>
      </c>
      <c r="B20" s="108" t="s">
        <v>468</v>
      </c>
      <c r="C20" s="107" t="s">
        <v>469</v>
      </c>
      <c r="D20" s="111">
        <v>0</v>
      </c>
      <c r="E20" s="111">
        <v>1.621</v>
      </c>
      <c r="F20" s="111">
        <v>3.294</v>
      </c>
      <c r="G20" s="111">
        <v>0.72099999999999997</v>
      </c>
      <c r="H20" s="111">
        <v>0</v>
      </c>
      <c r="I20" s="112">
        <v>5.6360000000000001</v>
      </c>
      <c r="J20" s="84" t="str">
        <f t="shared" si="1"/>
        <v>OK</v>
      </c>
    </row>
    <row r="21" spans="1:10" ht="45">
      <c r="A21" s="107" t="s">
        <v>465</v>
      </c>
      <c r="B21" s="108" t="s">
        <v>470</v>
      </c>
      <c r="C21" s="107" t="s">
        <v>471</v>
      </c>
      <c r="D21" s="111">
        <v>0</v>
      </c>
      <c r="E21" s="111">
        <v>0.80600000000000005</v>
      </c>
      <c r="F21" s="111">
        <v>3.5430000000000001</v>
      </c>
      <c r="G21" s="111">
        <v>0.38900000000000001</v>
      </c>
      <c r="H21" s="111">
        <v>0</v>
      </c>
      <c r="I21" s="112">
        <v>4.7389999999999999</v>
      </c>
      <c r="J21" s="84" t="str">
        <f t="shared" si="1"/>
        <v>OK</v>
      </c>
    </row>
    <row r="22" spans="1:10" ht="30">
      <c r="A22" s="107" t="s">
        <v>472</v>
      </c>
      <c r="B22" s="108" t="s">
        <v>473</v>
      </c>
      <c r="C22" s="107" t="s">
        <v>474</v>
      </c>
      <c r="D22" s="111">
        <v>0</v>
      </c>
      <c r="E22" s="111">
        <v>0</v>
      </c>
      <c r="F22" s="111">
        <v>0</v>
      </c>
      <c r="G22" s="111">
        <v>3.5259999999999998</v>
      </c>
      <c r="H22" s="111">
        <v>1.5569999999999999</v>
      </c>
      <c r="I22" s="112">
        <v>5.0830000000000002</v>
      </c>
      <c r="J22" s="84" t="str">
        <f t="shared" si="1"/>
        <v>OK</v>
      </c>
    </row>
    <row r="23" spans="1:10" ht="30">
      <c r="A23" s="107" t="s">
        <v>475</v>
      </c>
      <c r="B23" s="108" t="s">
        <v>476</v>
      </c>
      <c r="C23" s="107" t="s">
        <v>477</v>
      </c>
      <c r="D23" s="111">
        <v>0</v>
      </c>
      <c r="E23" s="111">
        <v>3.5999999999999997E-2</v>
      </c>
      <c r="F23" s="111">
        <v>4.1000000000000002E-2</v>
      </c>
      <c r="G23" s="111">
        <v>0</v>
      </c>
      <c r="H23" s="111">
        <v>0</v>
      </c>
      <c r="I23" s="112">
        <v>7.6999999999999999E-2</v>
      </c>
      <c r="J23" s="84" t="str">
        <f t="shared" si="1"/>
        <v>OK</v>
      </c>
    </row>
    <row r="24" spans="1:10" ht="30">
      <c r="A24" s="107" t="s">
        <v>478</v>
      </c>
      <c r="B24" s="108" t="s">
        <v>479</v>
      </c>
      <c r="C24" s="107" t="s">
        <v>480</v>
      </c>
      <c r="D24" s="111">
        <v>2.169</v>
      </c>
      <c r="E24" s="111">
        <v>0.503</v>
      </c>
      <c r="F24" s="111">
        <v>1.464</v>
      </c>
      <c r="G24" s="111">
        <v>9.5000000000000001E-2</v>
      </c>
      <c r="H24" s="111">
        <v>0</v>
      </c>
      <c r="I24" s="112">
        <v>4.2309999999999999</v>
      </c>
      <c r="J24" s="84" t="str">
        <f t="shared" si="1"/>
        <v>OK</v>
      </c>
    </row>
    <row r="25" spans="1:10" ht="60">
      <c r="A25" s="107" t="s">
        <v>481</v>
      </c>
      <c r="B25" s="108" t="s">
        <v>482</v>
      </c>
      <c r="C25" s="107" t="s">
        <v>483</v>
      </c>
      <c r="D25" s="111">
        <v>0</v>
      </c>
      <c r="E25" s="111">
        <v>0</v>
      </c>
      <c r="F25" s="111">
        <v>0.81100000000000005</v>
      </c>
      <c r="G25" s="111">
        <v>0.84499999999999997</v>
      </c>
      <c r="H25" s="111">
        <v>0</v>
      </c>
      <c r="I25" s="111">
        <v>1.6559999999999999</v>
      </c>
      <c r="J25" s="84" t="str">
        <f t="shared" si="1"/>
        <v>OK</v>
      </c>
    </row>
    <row r="26" spans="1:10" ht="60">
      <c r="A26" s="109" t="s">
        <v>484</v>
      </c>
      <c r="B26" s="110" t="s">
        <v>485</v>
      </c>
      <c r="C26" s="109" t="s">
        <v>486</v>
      </c>
      <c r="D26" s="113">
        <v>0</v>
      </c>
      <c r="E26" s="113">
        <v>0.45400000000000001</v>
      </c>
      <c r="F26" s="113">
        <v>0.75</v>
      </c>
      <c r="G26" s="113">
        <v>0.65400000000000003</v>
      </c>
      <c r="H26" s="113">
        <v>3.9350000000000001</v>
      </c>
      <c r="I26" s="113">
        <v>5.7930000000000001</v>
      </c>
      <c r="J26" s="84" t="str">
        <f t="shared" si="1"/>
        <v>OK</v>
      </c>
    </row>
    <row r="27" spans="1:10" ht="30">
      <c r="A27" s="109" t="s">
        <v>487</v>
      </c>
      <c r="B27" s="110" t="s">
        <v>488</v>
      </c>
      <c r="C27" s="109" t="s">
        <v>489</v>
      </c>
      <c r="D27" s="113">
        <v>0</v>
      </c>
      <c r="E27" s="113">
        <v>0</v>
      </c>
      <c r="F27" s="113">
        <v>0.46700000000000003</v>
      </c>
      <c r="G27" s="113">
        <v>5.7539999999999996</v>
      </c>
      <c r="H27" s="113">
        <v>1.6759999999999999</v>
      </c>
      <c r="I27" s="113">
        <v>7.8970000000000002</v>
      </c>
      <c r="J27" s="84" t="str">
        <f t="shared" si="1"/>
        <v>OK</v>
      </c>
    </row>
    <row r="28" spans="1:10" ht="30">
      <c r="A28" s="109" t="s">
        <v>490</v>
      </c>
      <c r="B28" s="110" t="s">
        <v>491</v>
      </c>
      <c r="C28" s="109" t="s">
        <v>492</v>
      </c>
      <c r="D28" s="113">
        <v>0</v>
      </c>
      <c r="E28" s="113">
        <v>0</v>
      </c>
      <c r="F28" s="113">
        <v>0.44800000000000001</v>
      </c>
      <c r="G28" s="113">
        <v>3.4279999999999999</v>
      </c>
      <c r="H28" s="113">
        <v>3.5209999999999999</v>
      </c>
      <c r="I28" s="113">
        <v>7.3970000000000002</v>
      </c>
      <c r="J28" s="84" t="str">
        <f t="shared" si="1"/>
        <v>OK</v>
      </c>
    </row>
    <row r="29" spans="1:10" ht="60">
      <c r="A29" s="109" t="s">
        <v>493</v>
      </c>
      <c r="B29" s="110" t="s">
        <v>494</v>
      </c>
      <c r="C29" s="109" t="s">
        <v>495</v>
      </c>
      <c r="D29" s="113">
        <v>0</v>
      </c>
      <c r="E29" s="113">
        <v>0</v>
      </c>
      <c r="F29" s="113">
        <v>8.2000000000000003E-2</v>
      </c>
      <c r="G29" s="113">
        <v>0.20799999999999999</v>
      </c>
      <c r="H29" s="113">
        <v>0.41299999999999998</v>
      </c>
      <c r="I29" s="113">
        <v>0.70299999999999996</v>
      </c>
      <c r="J29" s="84" t="str">
        <f t="shared" si="1"/>
        <v>OK</v>
      </c>
    </row>
    <row r="30" spans="1:10" ht="75">
      <c r="A30" s="109" t="s">
        <v>496</v>
      </c>
      <c r="B30" s="110" t="s">
        <v>497</v>
      </c>
      <c r="C30" s="109" t="s">
        <v>498</v>
      </c>
      <c r="D30" s="113">
        <v>1E-3</v>
      </c>
      <c r="E30" s="113">
        <v>2.9830000000000001</v>
      </c>
      <c r="F30" s="113">
        <v>9.2880000000000003</v>
      </c>
      <c r="G30" s="113">
        <v>17.876000000000001</v>
      </c>
      <c r="H30" s="113">
        <v>7.4939999999999998</v>
      </c>
      <c r="I30" s="113">
        <v>37.642000000000003</v>
      </c>
      <c r="J30" s="84" t="str">
        <f t="shared" si="1"/>
        <v>OK</v>
      </c>
    </row>
    <row r="31" spans="1:10" ht="45">
      <c r="A31" s="109" t="s">
        <v>499</v>
      </c>
      <c r="B31" s="110" t="s">
        <v>500</v>
      </c>
      <c r="C31" s="109" t="s">
        <v>501</v>
      </c>
      <c r="D31" s="113">
        <v>0</v>
      </c>
      <c r="E31" s="113">
        <v>0.53200000000000003</v>
      </c>
      <c r="F31" s="113">
        <v>0.96099999999999997</v>
      </c>
      <c r="G31" s="113">
        <v>0.23300000000000001</v>
      </c>
      <c r="H31" s="113">
        <v>0</v>
      </c>
      <c r="I31" s="113">
        <v>1.726</v>
      </c>
      <c r="J31" s="84" t="str">
        <f t="shared" si="1"/>
        <v>OK</v>
      </c>
    </row>
    <row r="32" spans="1:10" ht="45">
      <c r="A32" s="109" t="s">
        <v>502</v>
      </c>
      <c r="B32" s="110" t="s">
        <v>503</v>
      </c>
      <c r="C32" s="109" t="s">
        <v>504</v>
      </c>
      <c r="D32" s="113">
        <v>0</v>
      </c>
      <c r="E32" s="113">
        <v>3.6999999999999998E-2</v>
      </c>
      <c r="F32" s="113">
        <v>4.4999999999999998E-2</v>
      </c>
      <c r="G32" s="113">
        <v>0.72099999999999997</v>
      </c>
      <c r="H32" s="113">
        <v>1.9930000000000001</v>
      </c>
      <c r="I32" s="113">
        <v>2.7959999999999998</v>
      </c>
      <c r="J32" s="84" t="str">
        <f t="shared" si="1"/>
        <v>OK</v>
      </c>
    </row>
    <row r="33" spans="1:10" ht="45">
      <c r="A33" s="109" t="s">
        <v>505</v>
      </c>
      <c r="B33" s="110" t="s">
        <v>506</v>
      </c>
      <c r="C33" s="109" t="s">
        <v>507</v>
      </c>
      <c r="D33" s="113">
        <v>0</v>
      </c>
      <c r="E33" s="113">
        <v>0</v>
      </c>
      <c r="F33" s="113">
        <v>0</v>
      </c>
      <c r="G33" s="113">
        <v>0.41099999999999998</v>
      </c>
      <c r="H33" s="113">
        <v>0.41399999999999998</v>
      </c>
      <c r="I33" s="113">
        <v>0.82499999999999996</v>
      </c>
      <c r="J33" s="84" t="str">
        <f t="shared" si="1"/>
        <v>OK</v>
      </c>
    </row>
    <row r="34" spans="1:10" ht="60">
      <c r="A34" s="109" t="s">
        <v>508</v>
      </c>
      <c r="B34" s="110" t="s">
        <v>509</v>
      </c>
      <c r="C34" s="109" t="s">
        <v>510</v>
      </c>
      <c r="D34" s="113">
        <v>0</v>
      </c>
      <c r="E34" s="113">
        <v>0</v>
      </c>
      <c r="F34" s="113">
        <v>7.8E-2</v>
      </c>
      <c r="G34" s="113">
        <v>2.0289999999999999</v>
      </c>
      <c r="H34" s="113">
        <v>3.0510000000000002</v>
      </c>
      <c r="I34" s="113">
        <v>5.1580000000000004</v>
      </c>
      <c r="J34" s="84" t="str">
        <f t="shared" si="1"/>
        <v>OK</v>
      </c>
    </row>
    <row r="35" spans="1:10" ht="60">
      <c r="A35" s="109" t="s">
        <v>511</v>
      </c>
      <c r="B35" s="110" t="s">
        <v>512</v>
      </c>
      <c r="C35" s="109" t="s">
        <v>513</v>
      </c>
      <c r="D35" s="113">
        <v>0</v>
      </c>
      <c r="E35" s="113">
        <v>0</v>
      </c>
      <c r="F35" s="113">
        <v>7.5999999999999998E-2</v>
      </c>
      <c r="G35" s="113">
        <v>0.89400000000000002</v>
      </c>
      <c r="H35" s="113">
        <v>15.250999999999999</v>
      </c>
      <c r="I35" s="113">
        <v>16.221</v>
      </c>
      <c r="J35" s="84" t="str">
        <f t="shared" si="1"/>
        <v>OK</v>
      </c>
    </row>
    <row r="36" spans="1:10" ht="75">
      <c r="A36" s="109" t="s">
        <v>514</v>
      </c>
      <c r="B36" s="110" t="s">
        <v>515</v>
      </c>
      <c r="C36" s="109" t="s">
        <v>516</v>
      </c>
      <c r="D36" s="113">
        <v>0</v>
      </c>
      <c r="E36" s="113">
        <v>0</v>
      </c>
      <c r="F36" s="113">
        <v>0.34399999999999997</v>
      </c>
      <c r="G36" s="113">
        <v>18.562999999999999</v>
      </c>
      <c r="H36" s="113">
        <v>17.603000000000002</v>
      </c>
      <c r="I36" s="113">
        <v>36.51</v>
      </c>
      <c r="J36" s="84" t="str">
        <f t="shared" si="1"/>
        <v>OK</v>
      </c>
    </row>
  </sheetData>
  <conditionalFormatting sqref="J3:J4">
    <cfRule type="cellIs" dxfId="7" priority="1" operator="equal">
      <formula>"OK"</formula>
    </cfRule>
  </conditionalFormatting>
  <conditionalFormatting sqref="J7:J36">
    <cfRule type="cellIs" dxfId="6" priority="3" operator="equal">
      <formula>"OK"</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E2190-835A-4065-B7D4-658E69316096}">
  <sheetPr>
    <tabColor theme="7" tint="0.59999389629810485"/>
    <pageSetUpPr autoPageBreaks="0"/>
  </sheetPr>
  <dimension ref="A2:J11"/>
  <sheetViews>
    <sheetView workbookViewId="0">
      <selection activeCell="J1" sqref="J1:J1048576"/>
    </sheetView>
  </sheetViews>
  <sheetFormatPr defaultRowHeight="13.5"/>
  <cols>
    <col min="1" max="1" width="22.4609375" customWidth="1"/>
    <col min="2" max="2" width="33.765625" style="6" customWidth="1"/>
    <col min="3" max="3" width="16.4609375" customWidth="1"/>
    <col min="4" max="9" width="10.23046875" customWidth="1"/>
  </cols>
  <sheetData>
    <row r="2" spans="1:10" ht="15">
      <c r="A2" s="105" t="s">
        <v>433</v>
      </c>
      <c r="B2" s="106" t="s">
        <v>434</v>
      </c>
      <c r="C2" s="105" t="s">
        <v>435</v>
      </c>
      <c r="D2" s="105" t="s">
        <v>436</v>
      </c>
      <c r="E2" s="105" t="s">
        <v>437</v>
      </c>
      <c r="F2" s="105" t="s">
        <v>438</v>
      </c>
      <c r="G2" s="105" t="s">
        <v>439</v>
      </c>
      <c r="H2" s="105" t="s">
        <v>440</v>
      </c>
      <c r="I2" s="105" t="s">
        <v>441</v>
      </c>
    </row>
    <row r="3" spans="1:10" ht="15">
      <c r="A3" s="107" t="s">
        <v>442</v>
      </c>
      <c r="B3" s="108"/>
      <c r="C3" s="107"/>
      <c r="D3" s="111">
        <f>SUM(D8:D11)</f>
        <v>0</v>
      </c>
      <c r="E3" s="111">
        <f>SUM(E8:E11)</f>
        <v>0</v>
      </c>
      <c r="F3" s="111">
        <f>SUM(F8:F11)</f>
        <v>0.13600000000000001</v>
      </c>
      <c r="G3" s="111">
        <f>SUM(G8:G11)</f>
        <v>0.60599999999999998</v>
      </c>
      <c r="H3" s="111">
        <f>SUM(H8:H11)</f>
        <v>4.9160000000000004</v>
      </c>
      <c r="I3" s="112">
        <f>SUM(D3:H3)</f>
        <v>5.6580000000000004</v>
      </c>
      <c r="J3" s="84" t="str">
        <f>IF(ABS(I3-SUM(D3:H3))&lt;0.01,"OK","Error")</f>
        <v>OK</v>
      </c>
    </row>
    <row r="4" spans="1:10" ht="15">
      <c r="H4" s="115" t="s">
        <v>443</v>
      </c>
      <c r="I4" s="112">
        <f>TableET7_SHET_ET2!I8</f>
        <v>5.6591699999999996</v>
      </c>
      <c r="J4" s="84" t="str">
        <f>IF(ABS(I4-I3)&lt;0.01,"OK","Error")</f>
        <v>OK</v>
      </c>
    </row>
    <row r="6" spans="1:10">
      <c r="A6" t="s">
        <v>517</v>
      </c>
      <c r="B6" s="114"/>
    </row>
    <row r="7" spans="1:10" ht="15">
      <c r="A7" s="105" t="s">
        <v>433</v>
      </c>
      <c r="B7" s="106" t="s">
        <v>434</v>
      </c>
      <c r="C7" s="105" t="s">
        <v>435</v>
      </c>
      <c r="D7" s="105" t="s">
        <v>436</v>
      </c>
      <c r="E7" s="105" t="s">
        <v>437</v>
      </c>
      <c r="F7" s="105" t="s">
        <v>438</v>
      </c>
      <c r="G7" s="105" t="s">
        <v>439</v>
      </c>
      <c r="H7" s="105" t="s">
        <v>440</v>
      </c>
      <c r="I7" s="105" t="s">
        <v>441</v>
      </c>
      <c r="J7" s="84" t="str">
        <f>IF(ISNA(MATCH("Error",$J$8:$J$11,0)),"OK","Error")</f>
        <v>OK</v>
      </c>
    </row>
    <row r="8" spans="1:10" ht="45">
      <c r="A8" s="109" t="s">
        <v>518</v>
      </c>
      <c r="B8" s="109" t="s">
        <v>519</v>
      </c>
      <c r="C8" s="192">
        <v>46112</v>
      </c>
      <c r="D8" s="109">
        <v>0</v>
      </c>
      <c r="E8" s="109">
        <v>0</v>
      </c>
      <c r="F8" s="109">
        <v>0.13600000000000001</v>
      </c>
      <c r="G8" s="109">
        <v>0.17299999999999999</v>
      </c>
      <c r="H8" s="109">
        <v>3.7999999999999999E-2</v>
      </c>
      <c r="I8" s="109">
        <v>0.34699999999999998</v>
      </c>
      <c r="J8" s="84" t="str">
        <f>IF(ABS(I8-SUM(D8:H8))&lt;0.01,"OK","Error")</f>
        <v>OK</v>
      </c>
    </row>
    <row r="9" spans="1:10" ht="45">
      <c r="A9" s="109" t="s">
        <v>520</v>
      </c>
      <c r="B9" s="109" t="s">
        <v>521</v>
      </c>
      <c r="C9" s="192">
        <v>46112</v>
      </c>
      <c r="D9" s="109">
        <v>0</v>
      </c>
      <c r="E9" s="109">
        <v>0</v>
      </c>
      <c r="F9" s="109">
        <v>0</v>
      </c>
      <c r="G9" s="109">
        <v>1.4999999999999999E-2</v>
      </c>
      <c r="H9" s="109">
        <v>1.0029999999999999</v>
      </c>
      <c r="I9" s="109">
        <v>1.0189999999999999</v>
      </c>
      <c r="J9" s="84" t="str">
        <f>IF(ABS(I9-SUM(D9:H9))&lt;0.01,"OK","Error")</f>
        <v>OK</v>
      </c>
    </row>
    <row r="10" spans="1:10" ht="45">
      <c r="A10" s="109" t="s">
        <v>522</v>
      </c>
      <c r="B10" s="109" t="s">
        <v>523</v>
      </c>
      <c r="C10" s="192">
        <v>46112</v>
      </c>
      <c r="D10" s="109">
        <v>0</v>
      </c>
      <c r="E10" s="109">
        <v>0</v>
      </c>
      <c r="F10" s="109">
        <v>0</v>
      </c>
      <c r="G10" s="109">
        <v>0.41799999999999998</v>
      </c>
      <c r="H10" s="109">
        <v>0.30299999999999999</v>
      </c>
      <c r="I10" s="109">
        <v>0.72099999999999997</v>
      </c>
      <c r="J10" s="84" t="str">
        <f>IF(ABS(I10-SUM(D10:H10))&lt;0.01,"OK","Error")</f>
        <v>OK</v>
      </c>
    </row>
    <row r="11" spans="1:10" ht="60">
      <c r="A11" s="109" t="s">
        <v>524</v>
      </c>
      <c r="B11" s="109" t="s">
        <v>525</v>
      </c>
      <c r="C11" s="192">
        <v>46568</v>
      </c>
      <c r="D11" s="109">
        <v>0</v>
      </c>
      <c r="E11" s="109">
        <v>0</v>
      </c>
      <c r="F11" s="109">
        <v>0</v>
      </c>
      <c r="G11" s="109">
        <v>0</v>
      </c>
      <c r="H11" s="109">
        <v>3.5720000000000001</v>
      </c>
      <c r="I11" s="109">
        <v>3.5720000000000001</v>
      </c>
      <c r="J11" s="84" t="str">
        <f>IF(ABS(I11-SUM(D11:H11))&lt;0.01,"OK","Error")</f>
        <v>OK</v>
      </c>
    </row>
  </sheetData>
  <conditionalFormatting sqref="J3:J4 J7:J11">
    <cfRule type="cellIs" dxfId="5" priority="1" operator="equal">
      <formula>"OK"</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00EF3-CE7C-45E9-8B0C-04F34DD9684D}">
  <sheetPr>
    <tabColor theme="7" tint="0.59999389629810485"/>
    <pageSetUpPr autoPageBreaks="0"/>
  </sheetPr>
  <dimension ref="A2:J19"/>
  <sheetViews>
    <sheetView workbookViewId="0">
      <selection activeCell="J1" sqref="J1:J1048576"/>
    </sheetView>
  </sheetViews>
  <sheetFormatPr defaultRowHeight="13.5"/>
  <cols>
    <col min="1" max="1" width="22.4609375" customWidth="1"/>
    <col min="2" max="2" width="33.765625" style="6" customWidth="1"/>
    <col min="3" max="3" width="16.4609375" customWidth="1"/>
    <col min="4" max="9" width="10.23046875" customWidth="1"/>
  </cols>
  <sheetData>
    <row r="2" spans="1:10" ht="15">
      <c r="A2" s="105" t="s">
        <v>433</v>
      </c>
      <c r="B2" s="106" t="s">
        <v>434</v>
      </c>
      <c r="C2" s="105" t="s">
        <v>435</v>
      </c>
      <c r="D2" s="105" t="s">
        <v>436</v>
      </c>
      <c r="E2" s="105" t="s">
        <v>437</v>
      </c>
      <c r="F2" s="105" t="s">
        <v>438</v>
      </c>
      <c r="G2" s="105" t="s">
        <v>439</v>
      </c>
      <c r="H2" s="105" t="s">
        <v>440</v>
      </c>
      <c r="I2" s="105" t="s">
        <v>441</v>
      </c>
    </row>
    <row r="3" spans="1:10" ht="15">
      <c r="A3" s="107" t="s">
        <v>442</v>
      </c>
      <c r="B3" s="108"/>
      <c r="C3" s="107"/>
      <c r="D3" s="111">
        <f>SUM(D13:D19)</f>
        <v>4.2999999999999997E-2</v>
      </c>
      <c r="E3" s="111">
        <f>SUM(E13:E19)</f>
        <v>6.5000000000000002E-2</v>
      </c>
      <c r="F3" s="111">
        <f>SUM(F13:F19)</f>
        <v>6.4860000000000007</v>
      </c>
      <c r="G3" s="111">
        <f>SUM(G13:G19)</f>
        <v>15.036</v>
      </c>
      <c r="H3" s="111">
        <f>SUM(H13:H19)</f>
        <v>52.632999999999996</v>
      </c>
      <c r="I3" s="112">
        <f>SUM(D3:H3)</f>
        <v>74.262999999999991</v>
      </c>
      <c r="J3" s="84" t="str">
        <f>IF(ABS(I3-SUM(D3:H3))&lt;0.01,"OK","Error")</f>
        <v>OK</v>
      </c>
    </row>
    <row r="4" spans="1:10" ht="15">
      <c r="H4" s="115" t="s">
        <v>443</v>
      </c>
      <c r="I4" s="112">
        <f>TableET10_SPT_ET2!I11</f>
        <v>74.263279999999995</v>
      </c>
      <c r="J4" s="84" t="str">
        <f>IF(ABS(I4-I3)&lt;0.01,"OK","Error")</f>
        <v>OK</v>
      </c>
    </row>
    <row r="6" spans="1:10">
      <c r="A6" t="s">
        <v>526</v>
      </c>
      <c r="B6" s="114"/>
    </row>
    <row r="7" spans="1:10" ht="15">
      <c r="A7" s="105" t="s">
        <v>433</v>
      </c>
      <c r="B7" s="106" t="s">
        <v>434</v>
      </c>
      <c r="C7" s="105" t="s">
        <v>435</v>
      </c>
      <c r="D7" s="105" t="s">
        <v>436</v>
      </c>
      <c r="E7" s="105" t="s">
        <v>437</v>
      </c>
      <c r="F7" s="105" t="s">
        <v>438</v>
      </c>
      <c r="G7" s="105" t="s">
        <v>439</v>
      </c>
      <c r="H7" s="105" t="s">
        <v>440</v>
      </c>
      <c r="I7" s="105" t="s">
        <v>441</v>
      </c>
      <c r="J7" s="84" t="str">
        <f>IF(ISNA(MATCH("Error",$J$8:$J$19,0)),"OK","Error")</f>
        <v>OK</v>
      </c>
    </row>
    <row r="8" spans="1:10" ht="13.5" customHeight="1">
      <c r="A8" s="107" t="s">
        <v>527</v>
      </c>
      <c r="B8" s="107" t="s">
        <v>528</v>
      </c>
      <c r="C8" s="193">
        <v>46022</v>
      </c>
      <c r="D8" s="194">
        <v>2.1240000000000001</v>
      </c>
      <c r="E8" s="194">
        <v>4.3140000000000001</v>
      </c>
      <c r="F8" s="194">
        <v>5.1470000000000002</v>
      </c>
      <c r="G8" s="194">
        <v>2.09</v>
      </c>
      <c r="H8" s="194">
        <v>0</v>
      </c>
      <c r="I8" s="195">
        <v>13.675000000000001</v>
      </c>
      <c r="J8" s="84" t="str">
        <f t="shared" ref="J8:J19" si="0">IF(ABS(I8-SUM(D8:H8))&lt;0.01,"OK","Error")</f>
        <v>OK</v>
      </c>
    </row>
    <row r="9" spans="1:10" ht="13.5" customHeight="1">
      <c r="A9" s="107" t="s">
        <v>529</v>
      </c>
      <c r="B9" s="107" t="s">
        <v>530</v>
      </c>
      <c r="C9" s="193">
        <v>45291</v>
      </c>
      <c r="D9" s="194">
        <v>0</v>
      </c>
      <c r="E9" s="194">
        <v>0.29799999999999999</v>
      </c>
      <c r="F9" s="194">
        <v>1.0029999999999999</v>
      </c>
      <c r="G9" s="194">
        <v>0</v>
      </c>
      <c r="H9" s="194">
        <v>0</v>
      </c>
      <c r="I9" s="195">
        <v>1.3009999999999999</v>
      </c>
      <c r="J9" s="84" t="str">
        <f t="shared" si="0"/>
        <v>OK</v>
      </c>
    </row>
    <row r="10" spans="1:10" ht="13.5" customHeight="1">
      <c r="A10" s="107" t="s">
        <v>531</v>
      </c>
      <c r="B10" s="107" t="s">
        <v>532</v>
      </c>
      <c r="C10" s="193">
        <v>45291</v>
      </c>
      <c r="D10" s="194">
        <v>0.41199999999999998</v>
      </c>
      <c r="E10" s="194">
        <v>8.6999999999999994E-2</v>
      </c>
      <c r="F10" s="194">
        <v>0.184</v>
      </c>
      <c r="G10" s="194">
        <v>0</v>
      </c>
      <c r="H10" s="194">
        <v>0</v>
      </c>
      <c r="I10" s="195">
        <v>0.68300000000000005</v>
      </c>
      <c r="J10" s="84" t="str">
        <f t="shared" si="0"/>
        <v>OK</v>
      </c>
    </row>
    <row r="11" spans="1:10" ht="13.5" customHeight="1">
      <c r="A11" s="107" t="s">
        <v>533</v>
      </c>
      <c r="B11" s="107" t="s">
        <v>534</v>
      </c>
      <c r="C11" s="193">
        <v>45747</v>
      </c>
      <c r="D11" s="194">
        <v>0</v>
      </c>
      <c r="E11" s="194">
        <v>0</v>
      </c>
      <c r="F11" s="194">
        <v>0.245</v>
      </c>
      <c r="G11" s="194">
        <v>0.755</v>
      </c>
      <c r="H11" s="194">
        <v>0</v>
      </c>
      <c r="I11" s="195">
        <v>1</v>
      </c>
      <c r="J11" s="84" t="str">
        <f t="shared" si="0"/>
        <v>OK</v>
      </c>
    </row>
    <row r="12" spans="1:10" ht="45">
      <c r="A12" s="139" t="s">
        <v>535</v>
      </c>
      <c r="B12" s="139" t="s">
        <v>536</v>
      </c>
      <c r="C12" s="196">
        <v>46112</v>
      </c>
      <c r="D12" s="197">
        <v>4.1000000000000002E-2</v>
      </c>
      <c r="E12" s="197">
        <v>0.71799999999999997</v>
      </c>
      <c r="F12" s="197">
        <v>5.3520000000000003</v>
      </c>
      <c r="G12" s="197">
        <v>4.2709999999999999</v>
      </c>
      <c r="H12" s="197">
        <v>0.14599999999999999</v>
      </c>
      <c r="I12" s="198">
        <v>10.529</v>
      </c>
      <c r="J12" s="84" t="str">
        <f t="shared" si="0"/>
        <v>OK</v>
      </c>
    </row>
    <row r="13" spans="1:10" ht="45">
      <c r="A13" s="109" t="s">
        <v>537</v>
      </c>
      <c r="B13" s="109" t="s">
        <v>538</v>
      </c>
      <c r="C13" s="192">
        <v>48272</v>
      </c>
      <c r="D13" s="199">
        <v>4.2999999999999997E-2</v>
      </c>
      <c r="E13" s="199">
        <v>1.2999999999999999E-2</v>
      </c>
      <c r="F13" s="199">
        <v>5.1660000000000004</v>
      </c>
      <c r="G13" s="199">
        <v>6.5170000000000003</v>
      </c>
      <c r="H13" s="199">
        <v>36.427999999999997</v>
      </c>
      <c r="I13" s="199">
        <v>48.167000000000002</v>
      </c>
      <c r="J13" s="84" t="str">
        <f t="shared" si="0"/>
        <v>OK</v>
      </c>
    </row>
    <row r="14" spans="1:10" ht="45">
      <c r="A14" s="109" t="s">
        <v>539</v>
      </c>
      <c r="B14" s="109" t="s">
        <v>540</v>
      </c>
      <c r="C14" s="192">
        <v>46234</v>
      </c>
      <c r="D14" s="199">
        <v>0</v>
      </c>
      <c r="E14" s="199">
        <v>5.1999999999999998E-2</v>
      </c>
      <c r="F14" s="199">
        <v>0.73399999999999999</v>
      </c>
      <c r="G14" s="199">
        <v>3.8109999999999999</v>
      </c>
      <c r="H14" s="199">
        <v>8.4169999999999998</v>
      </c>
      <c r="I14" s="199">
        <v>13.013999999999999</v>
      </c>
      <c r="J14" s="84" t="str">
        <f t="shared" si="0"/>
        <v>OK</v>
      </c>
    </row>
    <row r="15" spans="1:10" ht="45">
      <c r="A15" s="109" t="s">
        <v>541</v>
      </c>
      <c r="B15" s="109" t="s">
        <v>542</v>
      </c>
      <c r="C15" s="192">
        <v>46022</v>
      </c>
      <c r="D15" s="199">
        <v>0</v>
      </c>
      <c r="E15" s="199">
        <v>0</v>
      </c>
      <c r="F15" s="199">
        <v>0.2</v>
      </c>
      <c r="G15" s="199">
        <v>0.78</v>
      </c>
      <c r="H15" s="199">
        <v>2.72</v>
      </c>
      <c r="I15" s="199">
        <v>3.7</v>
      </c>
      <c r="J15" s="84" t="str">
        <f t="shared" si="0"/>
        <v>OK</v>
      </c>
    </row>
    <row r="16" spans="1:10" ht="45">
      <c r="A16" s="109" t="s">
        <v>543</v>
      </c>
      <c r="B16" s="109" t="s">
        <v>544</v>
      </c>
      <c r="C16" s="192">
        <v>46387</v>
      </c>
      <c r="D16" s="199">
        <v>0</v>
      </c>
      <c r="E16" s="199">
        <v>0</v>
      </c>
      <c r="F16" s="199">
        <v>0</v>
      </c>
      <c r="G16" s="199">
        <v>0</v>
      </c>
      <c r="H16" s="199">
        <v>0.39700000000000002</v>
      </c>
      <c r="I16" s="199">
        <v>0.39700000000000002</v>
      </c>
      <c r="J16" s="84" t="str">
        <f t="shared" si="0"/>
        <v>OK</v>
      </c>
    </row>
    <row r="17" spans="1:10" ht="45">
      <c r="A17" s="109" t="s">
        <v>545</v>
      </c>
      <c r="B17" s="109" t="s">
        <v>546</v>
      </c>
      <c r="C17" s="192">
        <v>46477</v>
      </c>
      <c r="D17" s="199">
        <v>0</v>
      </c>
      <c r="E17" s="199">
        <v>0</v>
      </c>
      <c r="F17" s="199">
        <v>0.36</v>
      </c>
      <c r="G17" s="199">
        <v>1.7549999999999999</v>
      </c>
      <c r="H17" s="199">
        <v>2.3410000000000002</v>
      </c>
      <c r="I17" s="199">
        <v>4.4560000000000004</v>
      </c>
      <c r="J17" s="84" t="str">
        <f t="shared" si="0"/>
        <v>OK</v>
      </c>
    </row>
    <row r="18" spans="1:10" ht="45">
      <c r="A18" s="109" t="s">
        <v>547</v>
      </c>
      <c r="B18" s="109" t="s">
        <v>548</v>
      </c>
      <c r="C18" s="192">
        <v>46752</v>
      </c>
      <c r="D18" s="199">
        <v>0</v>
      </c>
      <c r="E18" s="199">
        <v>0</v>
      </c>
      <c r="F18" s="199">
        <v>2.5999999999999999E-2</v>
      </c>
      <c r="G18" s="199">
        <v>2.0609999999999999</v>
      </c>
      <c r="H18" s="199">
        <v>2.2080000000000002</v>
      </c>
      <c r="I18" s="199">
        <v>4.2949999999999999</v>
      </c>
      <c r="J18" s="84" t="str">
        <f t="shared" si="0"/>
        <v>OK</v>
      </c>
    </row>
    <row r="19" spans="1:10" ht="45">
      <c r="A19" s="109" t="s">
        <v>549</v>
      </c>
      <c r="B19" s="109" t="s">
        <v>550</v>
      </c>
      <c r="C19" s="192">
        <v>46022</v>
      </c>
      <c r="D19" s="199">
        <v>0</v>
      </c>
      <c r="E19" s="199">
        <v>0</v>
      </c>
      <c r="F19" s="199">
        <v>0</v>
      </c>
      <c r="G19" s="199">
        <v>0.112</v>
      </c>
      <c r="H19" s="199">
        <v>0.122</v>
      </c>
      <c r="I19" s="199">
        <v>0.23400000000000001</v>
      </c>
      <c r="J19" s="84" t="str">
        <f t="shared" si="0"/>
        <v>OK</v>
      </c>
    </row>
  </sheetData>
  <conditionalFormatting sqref="J3:J4 J7:J19">
    <cfRule type="cellIs" dxfId="4" priority="1" operator="equal">
      <formula>"OK"</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B786-8969-473C-BA29-1DF60BA63F86}">
  <sheetPr>
    <tabColor theme="7" tint="0.59999389629810485"/>
    <pageSetUpPr autoPageBreaks="0"/>
  </sheetPr>
  <dimension ref="A2:L11"/>
  <sheetViews>
    <sheetView workbookViewId="0">
      <selection activeCell="F24" sqref="F24"/>
    </sheetView>
  </sheetViews>
  <sheetFormatPr defaultRowHeight="13.5"/>
  <cols>
    <col min="1" max="1" width="24.23046875" customWidth="1"/>
  </cols>
  <sheetData>
    <row r="2" spans="1:12" ht="16" thickBot="1">
      <c r="A2" t="s">
        <v>551</v>
      </c>
    </row>
    <row r="3" spans="1:12" ht="14.5" customHeight="1" thickTop="1" thickBot="1">
      <c r="A3" s="216"/>
      <c r="B3" s="218" t="s">
        <v>552</v>
      </c>
      <c r="C3" s="218"/>
      <c r="D3" s="218"/>
      <c r="E3" s="218"/>
      <c r="F3" s="218"/>
      <c r="G3" s="218"/>
      <c r="H3" s="218"/>
    </row>
    <row r="4" spans="1:12" ht="27">
      <c r="A4" s="219" t="s">
        <v>553</v>
      </c>
      <c r="B4" s="220" t="s">
        <v>435</v>
      </c>
      <c r="C4" s="220" t="s">
        <v>12</v>
      </c>
      <c r="D4" s="220" t="s">
        <v>554</v>
      </c>
      <c r="E4" s="220" t="s">
        <v>555</v>
      </c>
      <c r="F4" s="220" t="s">
        <v>556</v>
      </c>
      <c r="G4" s="220" t="s">
        <v>270</v>
      </c>
      <c r="H4" s="220" t="s">
        <v>557</v>
      </c>
    </row>
    <row r="5" spans="1:12" ht="54">
      <c r="A5" s="220" t="s">
        <v>558</v>
      </c>
      <c r="B5" s="221">
        <v>45657</v>
      </c>
      <c r="C5" s="222">
        <v>109.3</v>
      </c>
      <c r="D5" s="222">
        <v>203.5</v>
      </c>
      <c r="E5" s="222">
        <v>170.2</v>
      </c>
      <c r="F5" s="222">
        <v>105.1</v>
      </c>
      <c r="G5" s="222">
        <v>24.2</v>
      </c>
      <c r="H5" s="222">
        <v>5.7</v>
      </c>
    </row>
    <row r="6" spans="1:12" ht="68" thickBot="1">
      <c r="A6" s="251" t="s">
        <v>559</v>
      </c>
      <c r="B6" s="252">
        <v>46112</v>
      </c>
      <c r="C6" s="253"/>
      <c r="D6" s="253">
        <v>0.2</v>
      </c>
      <c r="E6" s="253">
        <v>2.2999999999999998</v>
      </c>
      <c r="F6" s="253">
        <v>24.6</v>
      </c>
      <c r="G6" s="253">
        <v>35.200000000000003</v>
      </c>
      <c r="H6" s="253">
        <v>17.100000000000001</v>
      </c>
    </row>
    <row r="7" spans="1:12" ht="14" thickTop="1"/>
    <row r="11" spans="1:12">
      <c r="L11" s="21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6136D-F1A7-42A2-A650-D3D270544D1B}">
  <sheetPr>
    <tabColor theme="9" tint="0.59999389629810485"/>
    <pageSetUpPr autoPageBreaks="0"/>
  </sheetPr>
  <dimension ref="A1:A3"/>
  <sheetViews>
    <sheetView workbookViewId="0">
      <selection activeCell="H29" sqref="H29"/>
    </sheetView>
  </sheetViews>
  <sheetFormatPr defaultColWidth="9.23046875" defaultRowHeight="13.5"/>
  <sheetData>
    <row r="1" spans="1:1" s="2" customFormat="1" ht="32.15" customHeight="1">
      <c r="A1" s="1"/>
    </row>
    <row r="2" spans="1:1" s="2" customFormat="1" ht="23.15" customHeight="1">
      <c r="A2" s="3"/>
    </row>
    <row r="3" spans="1:1" s="2" customFormat="1" ht="27" customHeight="1">
      <c r="A3" s="4"/>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FF42-148A-451C-931F-0E856693B0B3}">
  <sheetPr>
    <tabColor theme="9" tint="0.59999389629810485"/>
    <pageSetUpPr autoPageBreaks="0"/>
  </sheetPr>
  <dimension ref="A2:M6"/>
  <sheetViews>
    <sheetView zoomScaleNormal="100" workbookViewId="0">
      <selection activeCell="D34" sqref="D34"/>
    </sheetView>
  </sheetViews>
  <sheetFormatPr defaultRowHeight="13.5"/>
  <cols>
    <col min="1" max="1" width="25.61328125" customWidth="1"/>
    <col min="2" max="8" width="17.23046875" customWidth="1"/>
    <col min="10" max="10" width="36.15234375" bestFit="1" customWidth="1"/>
  </cols>
  <sheetData>
    <row r="2" spans="1:13">
      <c r="A2" t="s">
        <v>186</v>
      </c>
    </row>
    <row r="3" spans="1:13" ht="20">
      <c r="A3" s="90" t="s">
        <v>232</v>
      </c>
      <c r="B3" s="91" t="s">
        <v>233</v>
      </c>
      <c r="C3" s="92" t="s">
        <v>250</v>
      </c>
      <c r="D3" s="92" t="s">
        <v>251</v>
      </c>
      <c r="E3" s="92" t="s">
        <v>252</v>
      </c>
      <c r="F3" s="92" t="s">
        <v>253</v>
      </c>
      <c r="G3" s="92" t="s">
        <v>254</v>
      </c>
      <c r="H3" s="93" t="s">
        <v>255</v>
      </c>
    </row>
    <row r="4" spans="1:13">
      <c r="A4" s="290" t="s">
        <v>33</v>
      </c>
      <c r="B4" s="291" t="s">
        <v>36</v>
      </c>
      <c r="C4" s="333">
        <f>INDEX(DD_Summary[],MATCH($A4,DD_Summary[[Sector Group]:[Sector Group]],0),MATCH(C$3,DD_Summary[#Headers],0))</f>
        <v>1</v>
      </c>
      <c r="D4" s="334">
        <f>INDEX(DD_Summary[],MATCH($A4,DD_Summary[[Sector Group]:[Sector Group]],0),MATCH(D$3,DD_Summary[#Headers],0))</f>
        <v>201.6</v>
      </c>
      <c r="E4" s="333">
        <f>INDEX(DD_Summary[],MATCH($A4,DD_Summary[[Sector Group]:[Sector Group]],0),MATCH(E$3,DD_Summary[#Headers],0))</f>
        <v>1</v>
      </c>
      <c r="F4" s="333">
        <f>INDEX(DD_Summary[],MATCH($A4,DD_Summary[[Sector Group]:[Sector Group]],0),MATCH(F$3,DD_Summary[#Headers],0))</f>
        <v>0</v>
      </c>
      <c r="G4" s="334">
        <f>INDEX(DD_Summary[],MATCH($A4,DD_Summary[[Sector Group]:[Sector Group]],0),MATCH(G$3,DD_Summary[#Headers],0))</f>
        <v>-108.49495999999999</v>
      </c>
      <c r="H4" s="292">
        <f>INDEX(DD_Summary[],MATCH($A4,DD_Summary[[Sector Group]:[Sector Group]],0),MATCH(H$3,DD_Summary[#Headers],0))</f>
        <v>93.105040000000002</v>
      </c>
      <c r="J4" s="9"/>
      <c r="K4" s="9"/>
      <c r="L4" s="9"/>
    </row>
    <row r="5" spans="1:13">
      <c r="A5" s="293" t="s">
        <v>59</v>
      </c>
      <c r="B5" s="294" t="s">
        <v>62</v>
      </c>
      <c r="C5" s="335">
        <f>INDEX(DD_Summary[],MATCH($A5,DD_Summary[[Sector Group]:[Sector Group]],0),MATCH(C$3,DD_Summary[#Headers],0))</f>
        <v>6</v>
      </c>
      <c r="D5" s="336">
        <f>INDEX(DD_Summary[],MATCH($A5,DD_Summary[[Sector Group]:[Sector Group]],0),MATCH(D$3,DD_Summary[#Headers],0))</f>
        <v>158.59</v>
      </c>
      <c r="E5" s="335">
        <f>INDEX(DD_Summary[],MATCH($A5,DD_Summary[[Sector Group]:[Sector Group]],0),MATCH(E$3,DD_Summary[#Headers],0))</f>
        <v>4</v>
      </c>
      <c r="F5" s="335">
        <f>INDEX(DD_Summary[],MATCH($A5,DD_Summary[[Sector Group]:[Sector Group]],0),MATCH(F$3,DD_Summary[#Headers],0))</f>
        <v>2</v>
      </c>
      <c r="G5" s="336">
        <f>INDEX(DD_Summary[],MATCH($A5,DD_Summary[[Sector Group]:[Sector Group]],0),MATCH(G$3,DD_Summary[#Headers],0))</f>
        <v>-150.70000000000002</v>
      </c>
      <c r="H5" s="295">
        <f>INDEX(DD_Summary[],MATCH($A5,DD_Summary[[Sector Group]:[Sector Group]],0),MATCH(H$3,DD_Summary[#Headers],0))</f>
        <v>7.89</v>
      </c>
      <c r="J5" s="9"/>
      <c r="K5" s="9"/>
      <c r="L5" s="9"/>
      <c r="M5" s="68"/>
    </row>
    <row r="6" spans="1:13">
      <c r="K6" s="9"/>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D310-7218-4978-BF05-2C0723BB8274}">
  <sheetPr>
    <tabColor theme="9" tint="0.59999389629810485"/>
    <pageSetUpPr autoPageBreaks="0"/>
  </sheetPr>
  <dimension ref="A2:D13"/>
  <sheetViews>
    <sheetView workbookViewId="0">
      <selection activeCell="D33" sqref="D33"/>
    </sheetView>
  </sheetViews>
  <sheetFormatPr defaultRowHeight="13.5"/>
  <cols>
    <col min="1" max="1" width="51.23046875" customWidth="1"/>
    <col min="2" max="4" width="19.15234375" customWidth="1"/>
  </cols>
  <sheetData>
    <row r="2" spans="1:4">
      <c r="A2" t="s">
        <v>188</v>
      </c>
    </row>
    <row r="3" spans="1:4" ht="21">
      <c r="A3" s="296" t="s">
        <v>560</v>
      </c>
      <c r="B3" s="153" t="s">
        <v>561</v>
      </c>
      <c r="C3" s="153" t="s">
        <v>562</v>
      </c>
      <c r="D3" s="154" t="s">
        <v>563</v>
      </c>
    </row>
    <row r="4" spans="1:4">
      <c r="A4" s="200" t="s">
        <v>564</v>
      </c>
      <c r="B4" s="201">
        <f>INDEX(Project_Data[], MATCH($A4, Project_Data[[Project_Name]:[Project_Name]], 0), MATCH("Submitted_Cost_Submission",Project_Data[#Headers],0))</f>
        <v>104.01</v>
      </c>
      <c r="C4" s="201"/>
      <c r="D4" s="202"/>
    </row>
    <row r="5" spans="1:4">
      <c r="A5" s="200" t="s">
        <v>565</v>
      </c>
      <c r="B5" s="201">
        <f>INDEX(Project_Data[], MATCH($A5, Project_Data[[Project_Name]:[Project_Name]], 0), MATCH("Submitted_Cost_Submission",Project_Data[#Headers],0))</f>
        <v>2.0699999999999998</v>
      </c>
      <c r="C5" s="201"/>
      <c r="D5" s="202"/>
    </row>
    <row r="6" spans="1:4">
      <c r="A6" s="200" t="s">
        <v>566</v>
      </c>
      <c r="B6" s="201">
        <f>INDEX(Project_Data[], MATCH($A6, Project_Data[[Project_Name]:[Project_Name]], 0), MATCH("Submitted_Cost_Submission",Project_Data[#Headers],0))</f>
        <v>17.04</v>
      </c>
      <c r="C6" s="201"/>
      <c r="D6" s="202"/>
    </row>
    <row r="7" spans="1:4">
      <c r="A7" s="200" t="s">
        <v>567</v>
      </c>
      <c r="B7" s="201">
        <f>INDEX(Project_Data[], MATCH($A7, Project_Data[[Project_Name]:[Project_Name]], 0), MATCH("Submitted_Cost_Submission",Project_Data[#Headers],0))</f>
        <v>24.62</v>
      </c>
      <c r="C7" s="201"/>
      <c r="D7" s="202"/>
    </row>
    <row r="8" spans="1:4">
      <c r="A8" s="200" t="s">
        <v>568</v>
      </c>
      <c r="B8" s="201">
        <f>INDEX(Project_Data[], MATCH($A8, Project_Data[[Project_Name]:[Project_Name]], 0), MATCH("Submitted_Cost_Submission",Project_Data[#Headers],0))</f>
        <v>1.36</v>
      </c>
      <c r="C8" s="201"/>
      <c r="D8" s="202"/>
    </row>
    <row r="9" spans="1:4">
      <c r="A9" s="337" t="s">
        <v>569</v>
      </c>
      <c r="B9" s="201">
        <f>INDEX(Project_Data[], MATCH($A9, Project_Data[Project_Name], 0), MATCH("Submitted_Cost_Submission",Project_Data[#Headers],0))</f>
        <v>9.49</v>
      </c>
      <c r="C9" s="201"/>
      <c r="D9" s="202"/>
    </row>
    <row r="10" spans="1:4" s="8" customFormat="1">
      <c r="A10" s="338" t="s">
        <v>256</v>
      </c>
      <c r="B10" s="306">
        <f>SUM(B4:B9)</f>
        <v>158.59000000000003</v>
      </c>
      <c r="C10" s="306">
        <f>Table23[[#This Row],[Ofgem’s DD -Allowances (£m)]]-Table23[[#This Row],[Company requested - Forecast costs (£m)]]</f>
        <v>-150.70000000000005</v>
      </c>
      <c r="D10" s="307">
        <f>SUMIF(Project_Data[Assessment_Group],A13,Project_Data[Allowance_Draft])</f>
        <v>7.89</v>
      </c>
    </row>
    <row r="12" spans="1:4">
      <c r="A12" s="8" t="s">
        <v>570</v>
      </c>
    </row>
    <row r="13" spans="1:4">
      <c r="A13" s="311" t="s">
        <v>112</v>
      </c>
    </row>
  </sheetData>
  <dataValidations count="2">
    <dataValidation type="list" allowBlank="1" showInputMessage="1" showErrorMessage="1" sqref="A4:A9" xr:uid="{EAFFEEC2-1332-4EB0-B7FA-167E31391AA8}">
      <formula1>list_Projects</formula1>
    </dataValidation>
    <dataValidation type="list" allowBlank="1" showInputMessage="1" showErrorMessage="1" sqref="A13" xr:uid="{4EA07A81-55D0-4041-B7D9-BD158D80D271}">
      <formula1>list_All_AGroups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0170-F138-4E7D-A8B4-46A68622E21D}">
  <sheetPr>
    <tabColor theme="9" tint="0.59999389629810485"/>
    <pageSetUpPr autoPageBreaks="0"/>
  </sheetPr>
  <dimension ref="A2:C10"/>
  <sheetViews>
    <sheetView workbookViewId="0">
      <selection activeCell="C8" sqref="C8"/>
    </sheetView>
  </sheetViews>
  <sheetFormatPr defaultRowHeight="13.5"/>
  <cols>
    <col min="1" max="1" width="9.84375" customWidth="1"/>
    <col min="2" max="2" width="29.4609375" customWidth="1"/>
    <col min="3" max="3" width="12.84375" customWidth="1"/>
  </cols>
  <sheetData>
    <row r="2" spans="1:3">
      <c r="A2" t="s">
        <v>190</v>
      </c>
    </row>
    <row r="3" spans="1:3" ht="27">
      <c r="A3" s="118" t="s">
        <v>571</v>
      </c>
      <c r="B3" s="119" t="s">
        <v>426</v>
      </c>
      <c r="C3" s="120" t="s">
        <v>572</v>
      </c>
    </row>
    <row r="4" spans="1:3">
      <c r="A4" s="117" t="s">
        <v>573</v>
      </c>
      <c r="B4" s="116" t="s">
        <v>574</v>
      </c>
      <c r="C4" s="128">
        <v>113.7</v>
      </c>
    </row>
    <row r="5" spans="1:3">
      <c r="A5" s="117" t="s">
        <v>575</v>
      </c>
      <c r="B5" s="116" t="s">
        <v>576</v>
      </c>
      <c r="C5" s="128">
        <v>25.8</v>
      </c>
    </row>
    <row r="6" spans="1:3">
      <c r="A6" s="117" t="s">
        <v>577</v>
      </c>
      <c r="B6" s="116" t="s">
        <v>578</v>
      </c>
      <c r="C6" s="128">
        <v>5.5</v>
      </c>
    </row>
    <row r="7" spans="1:3">
      <c r="A7" s="117" t="s">
        <v>579</v>
      </c>
      <c r="B7" s="116" t="s">
        <v>580</v>
      </c>
      <c r="C7" s="128" t="s">
        <v>581</v>
      </c>
    </row>
    <row r="8" spans="1:3">
      <c r="A8" s="117" t="s">
        <v>582</v>
      </c>
      <c r="B8" s="116" t="s">
        <v>583</v>
      </c>
      <c r="C8" s="128">
        <v>56.6</v>
      </c>
    </row>
    <row r="9" spans="1:3">
      <c r="A9" s="117"/>
      <c r="B9" s="116" t="s">
        <v>584</v>
      </c>
      <c r="C9" s="128" t="s">
        <v>581</v>
      </c>
    </row>
    <row r="10" spans="1:3">
      <c r="A10" s="121"/>
      <c r="B10" s="122" t="s">
        <v>256</v>
      </c>
      <c r="C10" s="129">
        <f>SUM(C4:C9)</f>
        <v>201.6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C88C7-6A19-4F1A-A745-B841E2C76717}">
  <sheetPr>
    <tabColor theme="9" tint="0.59999389629810485"/>
    <pageSetUpPr autoPageBreaks="0"/>
  </sheetPr>
  <dimension ref="A2:E4"/>
  <sheetViews>
    <sheetView workbookViewId="0">
      <selection activeCell="H29" sqref="H29"/>
    </sheetView>
  </sheetViews>
  <sheetFormatPr defaultRowHeight="13.5"/>
  <cols>
    <col min="1" max="1" width="20.4609375" customWidth="1"/>
    <col min="2" max="5" width="17.765625" customWidth="1"/>
  </cols>
  <sheetData>
    <row r="2" spans="1:5">
      <c r="A2" s="223" t="s">
        <v>192</v>
      </c>
    </row>
    <row r="3" spans="1:5" ht="40.5">
      <c r="A3" s="123" t="s">
        <v>585</v>
      </c>
      <c r="B3" s="124" t="s">
        <v>586</v>
      </c>
      <c r="C3" s="124" t="s">
        <v>587</v>
      </c>
      <c r="D3" s="124" t="s">
        <v>588</v>
      </c>
      <c r="E3" s="120" t="s">
        <v>589</v>
      </c>
    </row>
    <row r="4" spans="1:5">
      <c r="A4" s="125">
        <v>18</v>
      </c>
      <c r="B4" s="126">
        <v>15</v>
      </c>
      <c r="C4" s="126">
        <v>3</v>
      </c>
      <c r="D4" s="126">
        <v>15</v>
      </c>
      <c r="E4" s="127">
        <v>3</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A4D5-A6B8-4DEA-96AD-BB66472BF97C}">
  <sheetPr>
    <tabColor theme="9" tint="0.59999389629810485"/>
    <pageSetUpPr autoPageBreaks="0"/>
  </sheetPr>
  <dimension ref="A1:E15"/>
  <sheetViews>
    <sheetView workbookViewId="0">
      <selection activeCell="C13" sqref="C13"/>
    </sheetView>
  </sheetViews>
  <sheetFormatPr defaultRowHeight="13.5"/>
  <cols>
    <col min="2" max="2" width="35.765625" customWidth="1"/>
    <col min="3" max="5" width="15.765625" customWidth="1"/>
  </cols>
  <sheetData>
    <row r="1" spans="1:5">
      <c r="A1" t="s">
        <v>590</v>
      </c>
    </row>
    <row r="2" spans="1:5">
      <c r="A2" t="s">
        <v>194</v>
      </c>
    </row>
    <row r="3" spans="1:5" ht="31.5">
      <c r="A3" s="151" t="s">
        <v>571</v>
      </c>
      <c r="B3" s="152" t="s">
        <v>426</v>
      </c>
      <c r="C3" s="153" t="s">
        <v>591</v>
      </c>
      <c r="D3" s="153" t="s">
        <v>592</v>
      </c>
      <c r="E3" s="154" t="s">
        <v>593</v>
      </c>
    </row>
    <row r="4" spans="1:5">
      <c r="A4" s="200" t="s">
        <v>573</v>
      </c>
      <c r="B4" s="60" t="s">
        <v>574</v>
      </c>
      <c r="C4" s="201">
        <v>104.9377131805183</v>
      </c>
      <c r="D4" s="201">
        <v>44.5</v>
      </c>
      <c r="E4" s="202">
        <v>60.437713180518301</v>
      </c>
    </row>
    <row r="5" spans="1:5">
      <c r="A5" s="200" t="s">
        <v>575</v>
      </c>
      <c r="B5" s="60" t="s">
        <v>576</v>
      </c>
      <c r="C5" s="201">
        <v>3.8999999999999986</v>
      </c>
      <c r="D5" s="201">
        <v>6</v>
      </c>
      <c r="E5" s="202">
        <v>-2.1000000000000014</v>
      </c>
    </row>
    <row r="6" spans="1:5">
      <c r="A6" s="200" t="s">
        <v>577</v>
      </c>
      <c r="B6" s="60" t="s">
        <v>578</v>
      </c>
      <c r="C6" s="201">
        <v>19.489932590192495</v>
      </c>
      <c r="D6" s="201">
        <v>26.1</v>
      </c>
      <c r="E6" s="202">
        <v>-6.6100674098075061</v>
      </c>
    </row>
    <row r="7" spans="1:5">
      <c r="A7" s="200" t="s">
        <v>579</v>
      </c>
      <c r="B7" s="60" t="s">
        <v>580</v>
      </c>
      <c r="C7" s="201" t="s">
        <v>581</v>
      </c>
      <c r="D7" s="201">
        <v>0</v>
      </c>
      <c r="E7" s="202" t="s">
        <v>581</v>
      </c>
    </row>
    <row r="8" spans="1:5">
      <c r="A8" s="200" t="s">
        <v>582</v>
      </c>
      <c r="B8" s="60" t="s">
        <v>583</v>
      </c>
      <c r="C8" s="201">
        <v>78.177395146279565</v>
      </c>
      <c r="D8" s="201">
        <v>36.799999999999997</v>
      </c>
      <c r="E8" s="202">
        <v>41.377395146279568</v>
      </c>
    </row>
    <row r="9" spans="1:5">
      <c r="A9" s="200"/>
      <c r="B9" s="60" t="s">
        <v>584</v>
      </c>
      <c r="C9" s="201" t="s">
        <v>581</v>
      </c>
      <c r="D9" s="201" t="s">
        <v>581</v>
      </c>
      <c r="E9" s="202" t="s">
        <v>581</v>
      </c>
    </row>
    <row r="10" spans="1:5">
      <c r="A10" s="203"/>
      <c r="B10" s="204" t="s">
        <v>256</v>
      </c>
      <c r="C10" s="205">
        <f>SUM(C4:C9)</f>
        <v>206.50504091699037</v>
      </c>
      <c r="D10" s="205">
        <f t="shared" ref="D10:E10" si="0">SUM(D4:D9)</f>
        <v>113.39999999999999</v>
      </c>
      <c r="E10" s="206">
        <f t="shared" si="0"/>
        <v>93.105040916990362</v>
      </c>
    </row>
    <row r="11" spans="1:5">
      <c r="A11" s="57"/>
      <c r="B11" s="57"/>
      <c r="C11" s="57"/>
      <c r="D11" s="57"/>
      <c r="E11" s="57"/>
    </row>
    <row r="12" spans="1:5">
      <c r="A12" s="57"/>
      <c r="B12" s="57"/>
      <c r="C12" s="57"/>
      <c r="D12" s="57"/>
      <c r="E12" s="57"/>
    </row>
    <row r="13" spans="1:5">
      <c r="A13" s="57"/>
      <c r="B13" s="59" t="s">
        <v>594</v>
      </c>
      <c r="C13" s="57"/>
      <c r="D13" s="57"/>
      <c r="E13" s="58">
        <f>TableED5_LRE_DD_Summmary!E10-TableED3_ENWL_LRE_Request!C10</f>
        <v>-108.49495908300963</v>
      </c>
    </row>
    <row r="15" spans="1:5">
      <c r="E15" s="215"/>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8045-552F-4028-B0DE-7887B56A50EB}">
  <sheetPr>
    <tabColor theme="9" tint="0.59999389629810485"/>
    <pageSetUpPr autoPageBreaks="0"/>
  </sheetPr>
  <dimension ref="A2:I17"/>
  <sheetViews>
    <sheetView workbookViewId="0">
      <selection activeCell="A3" sqref="A3"/>
    </sheetView>
  </sheetViews>
  <sheetFormatPr defaultRowHeight="13.5"/>
  <cols>
    <col min="1" max="1" width="24.765625" customWidth="1"/>
    <col min="2" max="7" width="12.4609375" customWidth="1"/>
    <col min="8" max="8" width="4.15234375" bestFit="1" customWidth="1"/>
  </cols>
  <sheetData>
    <row r="2" spans="1:9">
      <c r="A2" t="s">
        <v>196</v>
      </c>
    </row>
    <row r="3" spans="1:9" ht="45">
      <c r="A3" s="339" t="s">
        <v>595</v>
      </c>
      <c r="B3" s="136" t="s">
        <v>596</v>
      </c>
      <c r="C3" s="136" t="s">
        <v>597</v>
      </c>
      <c r="D3" s="136" t="s">
        <v>598</v>
      </c>
      <c r="E3" s="136" t="s">
        <v>599</v>
      </c>
      <c r="F3" s="136" t="s">
        <v>600</v>
      </c>
      <c r="G3" s="137" t="s">
        <v>601</v>
      </c>
    </row>
    <row r="4" spans="1:9" ht="18">
      <c r="A4" s="132" t="s">
        <v>602</v>
      </c>
      <c r="B4" s="107">
        <v>0</v>
      </c>
      <c r="C4" s="107">
        <v>0</v>
      </c>
      <c r="D4" s="107">
        <v>0</v>
      </c>
      <c r="E4" s="107">
        <v>0</v>
      </c>
      <c r="F4" s="107">
        <v>0</v>
      </c>
      <c r="G4" s="133">
        <f>SUM(B4:F4)</f>
        <v>0</v>
      </c>
    </row>
    <row r="5" spans="1:9" ht="18">
      <c r="A5" s="132" t="s">
        <v>603</v>
      </c>
      <c r="B5" s="107">
        <v>0</v>
      </c>
      <c r="C5" s="107">
        <v>0</v>
      </c>
      <c r="D5" s="107">
        <v>0</v>
      </c>
      <c r="E5" s="107">
        <v>0</v>
      </c>
      <c r="F5" s="107">
        <v>0</v>
      </c>
      <c r="G5" s="133">
        <f t="shared" ref="G5:G17" si="0">SUM(B5:F5)</f>
        <v>0</v>
      </c>
    </row>
    <row r="6" spans="1:9" ht="18">
      <c r="A6" s="132" t="s">
        <v>604</v>
      </c>
      <c r="B6" s="107">
        <v>0</v>
      </c>
      <c r="C6" s="107">
        <v>0</v>
      </c>
      <c r="D6" s="107">
        <v>0</v>
      </c>
      <c r="E6" s="107">
        <v>0</v>
      </c>
      <c r="F6" s="107">
        <v>0</v>
      </c>
      <c r="G6" s="133">
        <f t="shared" si="0"/>
        <v>0</v>
      </c>
    </row>
    <row r="7" spans="1:9" ht="18">
      <c r="A7" s="132" t="s">
        <v>605</v>
      </c>
      <c r="B7" s="107">
        <v>0</v>
      </c>
      <c r="C7" s="107">
        <v>0</v>
      </c>
      <c r="D7" s="107">
        <v>0</v>
      </c>
      <c r="E7" s="107">
        <v>0</v>
      </c>
      <c r="F7" s="107">
        <v>0</v>
      </c>
      <c r="G7" s="133">
        <f t="shared" si="0"/>
        <v>0</v>
      </c>
    </row>
    <row r="8" spans="1:9" ht="18">
      <c r="A8" s="132" t="s">
        <v>606</v>
      </c>
      <c r="B8" s="107">
        <v>0</v>
      </c>
      <c r="C8" s="107">
        <v>0</v>
      </c>
      <c r="D8" s="107">
        <v>0</v>
      </c>
      <c r="E8" s="107">
        <v>0</v>
      </c>
      <c r="F8" s="107">
        <v>0</v>
      </c>
      <c r="G8" s="133">
        <f t="shared" si="0"/>
        <v>0</v>
      </c>
    </row>
    <row r="9" spans="1:9" ht="18">
      <c r="A9" s="132" t="s">
        <v>607</v>
      </c>
      <c r="B9" s="107">
        <v>0</v>
      </c>
      <c r="C9" s="107">
        <v>0</v>
      </c>
      <c r="D9" s="107">
        <v>0</v>
      </c>
      <c r="E9" s="107">
        <v>0</v>
      </c>
      <c r="F9" s="107">
        <v>0</v>
      </c>
      <c r="G9" s="133">
        <f t="shared" si="0"/>
        <v>0</v>
      </c>
    </row>
    <row r="10" spans="1:9" ht="18">
      <c r="A10" s="132" t="s">
        <v>608</v>
      </c>
      <c r="B10" s="107">
        <v>0</v>
      </c>
      <c r="C10" s="139">
        <v>0</v>
      </c>
      <c r="D10" s="139">
        <v>0</v>
      </c>
      <c r="E10" s="139">
        <v>0</v>
      </c>
      <c r="F10" s="139">
        <v>0</v>
      </c>
      <c r="G10" s="140">
        <f t="shared" si="0"/>
        <v>0</v>
      </c>
    </row>
    <row r="11" spans="1:9" ht="18">
      <c r="A11" s="132" t="s">
        <v>609</v>
      </c>
      <c r="B11" s="133">
        <v>0</v>
      </c>
      <c r="C11" s="131">
        <v>0</v>
      </c>
      <c r="D11" s="131">
        <v>0</v>
      </c>
      <c r="E11" s="131">
        <v>0</v>
      </c>
      <c r="F11" s="131">
        <v>0</v>
      </c>
      <c r="G11" s="131">
        <v>0</v>
      </c>
      <c r="I11" s="8" t="s">
        <v>610</v>
      </c>
    </row>
    <row r="12" spans="1:9" ht="15">
      <c r="A12" s="132"/>
      <c r="B12" s="133"/>
      <c r="C12" s="109">
        <v>11.894</v>
      </c>
      <c r="D12" s="109">
        <v>21.913</v>
      </c>
      <c r="E12" s="109">
        <v>28.603999999999999</v>
      </c>
      <c r="F12" s="109">
        <v>30.693999999999999</v>
      </c>
      <c r="G12" s="109">
        <v>93.105000000000004</v>
      </c>
      <c r="H12" s="84" t="str">
        <f>IF(ABS(G12-I12)&lt;0.0005,"OK","Error")</f>
        <v>OK</v>
      </c>
      <c r="I12" s="130">
        <f>TableED5_LRE_DD_Summmary!E10</f>
        <v>93.105040916990362</v>
      </c>
    </row>
    <row r="13" spans="1:9" ht="18">
      <c r="A13" s="132" t="s">
        <v>611</v>
      </c>
      <c r="B13" s="107">
        <v>0</v>
      </c>
      <c r="C13" s="224">
        <v>0</v>
      </c>
      <c r="D13" s="224">
        <v>0</v>
      </c>
      <c r="E13" s="224">
        <v>0</v>
      </c>
      <c r="F13" s="224">
        <v>0</v>
      </c>
      <c r="G13" s="225">
        <f t="shared" si="0"/>
        <v>0</v>
      </c>
    </row>
    <row r="14" spans="1:9" ht="18">
      <c r="A14" s="132" t="s">
        <v>612</v>
      </c>
      <c r="B14" s="107">
        <v>0</v>
      </c>
      <c r="C14" s="107">
        <v>0</v>
      </c>
      <c r="D14" s="107">
        <v>0</v>
      </c>
      <c r="E14" s="107">
        <v>0</v>
      </c>
      <c r="F14" s="107">
        <v>0</v>
      </c>
      <c r="G14" s="133">
        <f t="shared" si="0"/>
        <v>0</v>
      </c>
    </row>
    <row r="15" spans="1:9" ht="18">
      <c r="A15" s="132" t="s">
        <v>613</v>
      </c>
      <c r="B15" s="107">
        <v>0</v>
      </c>
      <c r="C15" s="107">
        <v>0</v>
      </c>
      <c r="D15" s="107">
        <v>0</v>
      </c>
      <c r="E15" s="107">
        <v>0</v>
      </c>
      <c r="F15" s="107">
        <v>0</v>
      </c>
      <c r="G15" s="133">
        <f t="shared" si="0"/>
        <v>0</v>
      </c>
    </row>
    <row r="16" spans="1:9" ht="18">
      <c r="A16" s="132" t="s">
        <v>614</v>
      </c>
      <c r="B16" s="107">
        <v>0</v>
      </c>
      <c r="C16" s="107">
        <v>0</v>
      </c>
      <c r="D16" s="107">
        <v>0</v>
      </c>
      <c r="E16" s="107">
        <v>0</v>
      </c>
      <c r="F16" s="107">
        <v>0</v>
      </c>
      <c r="G16" s="133">
        <f t="shared" si="0"/>
        <v>0</v>
      </c>
    </row>
    <row r="17" spans="1:7" ht="18">
      <c r="A17" s="138" t="s">
        <v>615</v>
      </c>
      <c r="B17" s="139">
        <v>0</v>
      </c>
      <c r="C17" s="139">
        <v>0</v>
      </c>
      <c r="D17" s="139">
        <v>0</v>
      </c>
      <c r="E17" s="139">
        <v>0</v>
      </c>
      <c r="F17" s="139">
        <v>0</v>
      </c>
      <c r="G17" s="140">
        <f t="shared" si="0"/>
        <v>0</v>
      </c>
    </row>
  </sheetData>
  <conditionalFormatting sqref="H12">
    <cfRule type="cellIs" dxfId="3" priority="1" operator="equal">
      <formula>"OK"</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64C6D-F468-4AB5-88DA-573B9BE26287}">
  <sheetPr>
    <tabColor theme="9" tint="0.59999389629810485"/>
    <pageSetUpPr autoPageBreaks="0"/>
  </sheetPr>
  <dimension ref="A2:J17"/>
  <sheetViews>
    <sheetView workbookViewId="0">
      <selection activeCell="I24" sqref="I24"/>
    </sheetView>
  </sheetViews>
  <sheetFormatPr defaultRowHeight="13.5"/>
  <cols>
    <col min="1" max="1" width="14.23046875" bestFit="1" customWidth="1"/>
    <col min="2" max="7" width="14.23046875" customWidth="1"/>
    <col min="8" max="8" width="4.15234375" bestFit="1" customWidth="1"/>
  </cols>
  <sheetData>
    <row r="2" spans="1:10">
      <c r="A2" t="s">
        <v>196</v>
      </c>
    </row>
    <row r="3" spans="1:10" ht="45">
      <c r="A3" s="339" t="s">
        <v>595</v>
      </c>
      <c r="B3" s="136" t="s">
        <v>596</v>
      </c>
      <c r="C3" s="136" t="s">
        <v>597</v>
      </c>
      <c r="D3" s="136" t="s">
        <v>598</v>
      </c>
      <c r="E3" s="136" t="s">
        <v>599</v>
      </c>
      <c r="F3" s="136" t="s">
        <v>600</v>
      </c>
      <c r="G3" s="137" t="s">
        <v>601</v>
      </c>
    </row>
    <row r="4" spans="1:10" ht="18">
      <c r="A4" s="132" t="s">
        <v>602</v>
      </c>
      <c r="B4" s="107">
        <v>0</v>
      </c>
      <c r="C4" s="107">
        <v>0</v>
      </c>
      <c r="D4" s="107">
        <v>0</v>
      </c>
      <c r="E4" s="107">
        <v>0</v>
      </c>
      <c r="F4" s="107">
        <v>0</v>
      </c>
      <c r="G4" s="133">
        <v>0</v>
      </c>
    </row>
    <row r="5" spans="1:10" ht="18">
      <c r="A5" s="132" t="s">
        <v>603</v>
      </c>
      <c r="B5" s="107">
        <v>0</v>
      </c>
      <c r="C5" s="107">
        <v>0</v>
      </c>
      <c r="D5" s="107">
        <v>0</v>
      </c>
      <c r="E5" s="107">
        <v>0</v>
      </c>
      <c r="F5" s="107">
        <v>0</v>
      </c>
      <c r="G5" s="133">
        <v>0</v>
      </c>
    </row>
    <row r="6" spans="1:10" ht="18">
      <c r="A6" s="132" t="s">
        <v>604</v>
      </c>
      <c r="B6" s="107">
        <v>0</v>
      </c>
      <c r="C6" s="107">
        <v>0</v>
      </c>
      <c r="D6" s="107">
        <v>0</v>
      </c>
      <c r="E6" s="107">
        <v>0</v>
      </c>
      <c r="F6" s="107">
        <v>0</v>
      </c>
      <c r="G6" s="133">
        <v>0</v>
      </c>
    </row>
    <row r="7" spans="1:10" ht="18">
      <c r="A7" s="132" t="s">
        <v>605</v>
      </c>
      <c r="B7" s="107">
        <v>0</v>
      </c>
      <c r="C7" s="107">
        <v>0</v>
      </c>
      <c r="D7" s="107">
        <v>0</v>
      </c>
      <c r="E7" s="107">
        <v>0</v>
      </c>
      <c r="F7" s="107">
        <v>0</v>
      </c>
      <c r="G7" s="133">
        <v>0</v>
      </c>
    </row>
    <row r="8" spans="1:10" ht="18">
      <c r="A8" s="132" t="s">
        <v>606</v>
      </c>
      <c r="B8" s="107">
        <v>0</v>
      </c>
      <c r="C8" s="107">
        <v>0</v>
      </c>
      <c r="D8" s="107">
        <v>0</v>
      </c>
      <c r="E8" s="107">
        <v>0</v>
      </c>
      <c r="F8" s="107">
        <v>0</v>
      </c>
      <c r="G8" s="133">
        <v>0</v>
      </c>
    </row>
    <row r="9" spans="1:10" ht="18">
      <c r="A9" s="132" t="s">
        <v>607</v>
      </c>
      <c r="B9" s="107">
        <v>0</v>
      </c>
      <c r="C9" s="107">
        <v>0</v>
      </c>
      <c r="D9" s="107">
        <v>0</v>
      </c>
      <c r="E9" s="107">
        <v>0</v>
      </c>
      <c r="F9" s="107">
        <v>0</v>
      </c>
      <c r="G9" s="133">
        <v>0</v>
      </c>
    </row>
    <row r="10" spans="1:10" ht="18">
      <c r="A10" s="132" t="s">
        <v>608</v>
      </c>
      <c r="B10" s="107">
        <v>0</v>
      </c>
      <c r="C10" s="107">
        <v>0</v>
      </c>
      <c r="D10" s="107">
        <v>0</v>
      </c>
      <c r="E10" s="107">
        <v>0</v>
      </c>
      <c r="F10" s="107">
        <v>0</v>
      </c>
      <c r="G10" s="133">
        <v>0</v>
      </c>
    </row>
    <row r="11" spans="1:10" ht="15" customHeight="1">
      <c r="A11" s="132" t="s">
        <v>609</v>
      </c>
      <c r="B11" s="107">
        <v>0</v>
      </c>
      <c r="C11" s="107">
        <v>0</v>
      </c>
      <c r="D11" s="107">
        <v>0</v>
      </c>
      <c r="E11" s="107">
        <v>0</v>
      </c>
      <c r="F11" s="107">
        <v>0</v>
      </c>
      <c r="G11" s="133">
        <v>0</v>
      </c>
    </row>
    <row r="12" spans="1:10" ht="18">
      <c r="A12" s="132" t="s">
        <v>611</v>
      </c>
      <c r="B12" s="107">
        <v>0</v>
      </c>
      <c r="C12" s="107">
        <v>0</v>
      </c>
      <c r="D12" s="107">
        <v>0</v>
      </c>
      <c r="E12" s="107">
        <v>0</v>
      </c>
      <c r="F12" s="107">
        <v>0</v>
      </c>
      <c r="G12" s="133">
        <v>0</v>
      </c>
    </row>
    <row r="13" spans="1:10" ht="18">
      <c r="A13" s="132" t="s">
        <v>612</v>
      </c>
      <c r="B13" s="107">
        <v>0</v>
      </c>
      <c r="C13" s="107">
        <v>0</v>
      </c>
      <c r="D13" s="107">
        <v>0</v>
      </c>
      <c r="E13" s="107">
        <v>0</v>
      </c>
      <c r="F13" s="107">
        <v>0</v>
      </c>
      <c r="G13" s="133">
        <v>0</v>
      </c>
    </row>
    <row r="14" spans="1:10" ht="15" customHeight="1">
      <c r="A14" s="132" t="s">
        <v>613</v>
      </c>
      <c r="B14" s="107">
        <v>34.67</v>
      </c>
      <c r="C14" s="107">
        <v>0</v>
      </c>
      <c r="D14" s="131">
        <v>6.22</v>
      </c>
      <c r="E14" s="131">
        <v>64.400000000000006</v>
      </c>
      <c r="F14" s="131">
        <v>3.13</v>
      </c>
      <c r="G14" s="134">
        <v>108.42</v>
      </c>
      <c r="I14" s="8" t="s">
        <v>610</v>
      </c>
    </row>
    <row r="15" spans="1:10" ht="15" customHeight="1">
      <c r="A15" s="132"/>
      <c r="B15" s="107"/>
      <c r="C15" s="107"/>
      <c r="D15" s="109">
        <v>6.67</v>
      </c>
      <c r="E15" s="109">
        <v>64.81</v>
      </c>
      <c r="F15" s="109">
        <v>10.16</v>
      </c>
      <c r="G15" s="135">
        <f>SUM(D15:F15) + B14</f>
        <v>116.31</v>
      </c>
      <c r="H15" s="84" t="str">
        <f>IF(ABS(I15-I15)&lt;0.0005,"OK","Error")</f>
        <v>OK</v>
      </c>
      <c r="I15" s="130">
        <f>TableED2_HOWSUM_Projects!D10</f>
        <v>7.89</v>
      </c>
      <c r="J15" s="130">
        <f>G15-G14</f>
        <v>7.8900000000000006</v>
      </c>
    </row>
    <row r="16" spans="1:10" ht="18">
      <c r="A16" s="132" t="s">
        <v>614</v>
      </c>
      <c r="B16" s="107">
        <v>0</v>
      </c>
      <c r="C16" s="107">
        <v>0</v>
      </c>
      <c r="D16" s="107">
        <v>0</v>
      </c>
      <c r="E16" s="107">
        <v>0</v>
      </c>
      <c r="F16" s="107">
        <v>0</v>
      </c>
      <c r="G16" s="133">
        <v>0</v>
      </c>
    </row>
    <row r="17" spans="1:7" ht="18">
      <c r="A17" s="138" t="s">
        <v>615</v>
      </c>
      <c r="B17" s="139">
        <v>0</v>
      </c>
      <c r="C17" s="139">
        <v>0</v>
      </c>
      <c r="D17" s="139">
        <v>0</v>
      </c>
      <c r="E17" s="139">
        <v>0</v>
      </c>
      <c r="F17" s="139">
        <v>0</v>
      </c>
      <c r="G17" s="140">
        <v>0</v>
      </c>
    </row>
  </sheetData>
  <conditionalFormatting sqref="H15">
    <cfRule type="cellIs" dxfId="2" priority="1" operator="equal">
      <formula>"OK"</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8F06-4F73-4740-8353-0E4985B0CCC7}">
  <sheetPr>
    <tabColor rgb="FFFF9999"/>
    <pageSetUpPr autoPageBreaks="0"/>
  </sheetPr>
  <dimension ref="A1:A3"/>
  <sheetViews>
    <sheetView workbookViewId="0"/>
  </sheetViews>
  <sheetFormatPr defaultColWidth="9.23046875" defaultRowHeight="13.5"/>
  <sheetData>
    <row r="1" spans="1:1" s="2" customFormat="1" ht="32.15" customHeight="1">
      <c r="A1" s="1"/>
    </row>
    <row r="2" spans="1:1" s="2" customFormat="1" ht="23.15" customHeight="1">
      <c r="A2" s="3"/>
    </row>
    <row r="3" spans="1:1" s="2" customFormat="1" ht="27" customHeight="1">
      <c r="A3" s="4"/>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2B709-AE74-4273-875D-96D39A9B0D20}">
  <sheetPr>
    <tabColor rgb="FFFF9999"/>
    <pageSetUpPr autoPageBreaks="0"/>
  </sheetPr>
  <dimension ref="A2:B6"/>
  <sheetViews>
    <sheetView workbookViewId="0"/>
  </sheetViews>
  <sheetFormatPr defaultRowHeight="13.5"/>
  <cols>
    <col min="1" max="1" width="55.61328125" customWidth="1"/>
    <col min="2" max="2" width="16.765625" customWidth="1"/>
  </cols>
  <sheetData>
    <row r="2" spans="1:2">
      <c r="A2" t="s">
        <v>200</v>
      </c>
    </row>
    <row r="3" spans="1:2">
      <c r="A3" s="65" t="s">
        <v>616</v>
      </c>
      <c r="B3" s="65" t="s">
        <v>617</v>
      </c>
    </row>
    <row r="4" spans="1:2">
      <c r="A4" s="142" t="s">
        <v>618</v>
      </c>
      <c r="B4" s="143">
        <v>3.17</v>
      </c>
    </row>
    <row r="5" spans="1:2">
      <c r="A5" s="142" t="s">
        <v>333</v>
      </c>
      <c r="B5" s="142">
        <v>3.24</v>
      </c>
    </row>
    <row r="6" spans="1:2">
      <c r="A6" s="142" t="s">
        <v>619</v>
      </c>
      <c r="B6" s="142">
        <v>3.9</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E46A2-1152-41F4-A321-8AC987EC172C}">
  <sheetPr>
    <tabColor rgb="FFFF9999"/>
    <pageSetUpPr autoPageBreaks="0"/>
  </sheetPr>
  <dimension ref="A2:H16"/>
  <sheetViews>
    <sheetView workbookViewId="0">
      <selection activeCell="G22" sqref="G22"/>
    </sheetView>
  </sheetViews>
  <sheetFormatPr defaultRowHeight="13.5"/>
  <cols>
    <col min="1" max="1" width="29.84375" customWidth="1"/>
    <col min="2" max="2" width="9.23046875" customWidth="1"/>
    <col min="3" max="8" width="12.84375" customWidth="1"/>
  </cols>
  <sheetData>
    <row r="2" spans="1:8">
      <c r="A2" t="s">
        <v>202</v>
      </c>
    </row>
    <row r="3" spans="1:8" ht="42">
      <c r="A3" s="151" t="s">
        <v>232</v>
      </c>
      <c r="B3" s="152" t="s">
        <v>233</v>
      </c>
      <c r="C3" s="153" t="s">
        <v>250</v>
      </c>
      <c r="D3" s="153" t="s">
        <v>251</v>
      </c>
      <c r="E3" s="153" t="s">
        <v>252</v>
      </c>
      <c r="F3" s="153" t="s">
        <v>253</v>
      </c>
      <c r="G3" s="153" t="s">
        <v>254</v>
      </c>
      <c r="H3" s="154" t="s">
        <v>255</v>
      </c>
    </row>
    <row r="4" spans="1:8">
      <c r="A4" s="144" t="s">
        <v>73</v>
      </c>
      <c r="B4" s="145" t="s">
        <v>77</v>
      </c>
      <c r="C4" s="55">
        <f>COUNTIFS(Project_Data[Licensee],GD_DD_Summary[[#This Row],[Network]],Project_Data[Submitted_Cost_Submission],"&gt;0")</f>
        <v>2</v>
      </c>
      <c r="D4" s="190" cm="1">
        <f t="array" ref="D4">SUMIF(Project_Data[[Licensee]:[Licensee]],GD_DD_Summary[[#This Row],[Network]:[Network]],Project_Data[Submitted_Cost_Submission])</f>
        <v>21.802970000000002</v>
      </c>
      <c r="E4" s="55" cm="1">
        <f t="array" ref="E4">SUMIF(Project_Data[[Licensee]:[Licensee]],GD_DD_Summary[[#This Row],[Network]:[Network]],Project_Data[Approved_DD])</f>
        <v>2</v>
      </c>
      <c r="F4" s="55">
        <f>GD_DD_Summary[[#This Row],[Company Requested Number of Projects]]-GD_DD_Summary[[#This Row],[Ofgem’s DD - Projects Approved*]]</f>
        <v>0</v>
      </c>
      <c r="G4" s="190">
        <f>GD_DD_Summary[[#This Row],[Ofgem’s DD - Allowances £m]]-GD_DD_Summary[[#This Row],[Company Requested Forecast costs £m]]</f>
        <v>-5.9859700000000018</v>
      </c>
      <c r="H4" s="190" cm="1">
        <f t="array" ref="H4">SUMIF(Project_Data[[Licensee]:[Licensee]],GD_DD_Summary[[#This Row],[Network]:[Network]],Project_Data[Allowance_Draft])</f>
        <v>15.817</v>
      </c>
    </row>
    <row r="5" spans="1:8">
      <c r="A5" s="144" t="s">
        <v>73</v>
      </c>
      <c r="B5" s="145" t="s">
        <v>79</v>
      </c>
      <c r="C5" s="55">
        <f>COUNTIFS(Project_Data[Licensee],GD_DD_Summary[[#This Row],[Network]],Project_Data[Submitted_Cost_Submission],"&gt;0")</f>
        <v>3</v>
      </c>
      <c r="D5" s="264" cm="1">
        <f t="array" ref="D5">SUMIF(Project_Data[[Licensee]:[Licensee]],GD_DD_Summary[[#This Row],[Network]:[Network]],Project_Data[Submitted_Cost_Submission])</f>
        <v>21.41028</v>
      </c>
      <c r="E5" s="146" cm="1">
        <f t="array" ref="E5">SUMIF(Project_Data[[Licensee]:[Licensee]],GD_DD_Summary[[#This Row],[Network]:[Network]],Project_Data[Approved_DD])</f>
        <v>2</v>
      </c>
      <c r="F5" s="146">
        <f>GD_DD_Summary[[#This Row],[Company Requested Number of Projects]]-GD_DD_Summary[[#This Row],[Ofgem’s DD - Projects Approved*]]</f>
        <v>1</v>
      </c>
      <c r="G5" s="264">
        <f>GD_DD_Summary[[#This Row],[Ofgem’s DD - Allowances £m]]-GD_DD_Summary[[#This Row],[Company Requested Forecast costs £m]]</f>
        <v>-12.07428</v>
      </c>
      <c r="H5" s="265" cm="1">
        <f t="array" ref="H5">SUMIF(Project_Data[[Licensee]:[Licensee]],GD_DD_Summary[[#This Row],[Network]:[Network]],Project_Data[Allowance_Draft])</f>
        <v>9.3360000000000003</v>
      </c>
    </row>
    <row r="6" spans="1:8">
      <c r="A6" s="144" t="s">
        <v>73</v>
      </c>
      <c r="B6" s="145" t="s">
        <v>81</v>
      </c>
      <c r="C6" s="55">
        <f>COUNTIFS(Project_Data[Licensee],GD_DD_Summary[[#This Row],[Network]],Project_Data[Submitted_Cost_Submission],"&gt;0")</f>
        <v>2</v>
      </c>
      <c r="D6" s="264" cm="1">
        <f t="array" ref="D6">SUMIF(Project_Data[[Licensee]:[Licensee]],GD_DD_Summary[[#This Row],[Network]:[Network]],Project_Data[Submitted_Cost_Submission])</f>
        <v>13.65818</v>
      </c>
      <c r="E6" s="146" cm="1">
        <f t="array" ref="E6">SUMIF(Project_Data[[Licensee]:[Licensee]],GD_DD_Summary[[#This Row],[Network]:[Network]],Project_Data[Approved_DD])</f>
        <v>2</v>
      </c>
      <c r="F6" s="146">
        <f>GD_DD_Summary[[#This Row],[Company Requested Number of Projects]]-GD_DD_Summary[[#This Row],[Ofgem’s DD - Projects Approved*]]</f>
        <v>0</v>
      </c>
      <c r="G6" s="264">
        <f>GD_DD_Summary[[#This Row],[Ofgem’s DD - Allowances £m]]-GD_DD_Summary[[#This Row],[Company Requested Forecast costs £m]]</f>
        <v>-2.3861800000000013</v>
      </c>
      <c r="H6" s="265" cm="1">
        <f t="array" ref="H6">SUMIF(Project_Data[[Licensee]:[Licensee]],GD_DD_Summary[[#This Row],[Network]:[Network]],Project_Data[Allowance_Draft])</f>
        <v>11.271999999999998</v>
      </c>
    </row>
    <row r="7" spans="1:8">
      <c r="A7" s="144" t="s">
        <v>73</v>
      </c>
      <c r="B7" s="145" t="s">
        <v>83</v>
      </c>
      <c r="C7" s="55">
        <f>COUNTIFS(Project_Data[Licensee],GD_DD_Summary[[#This Row],[Network]],Project_Data[Submitted_Cost_Submission],"&gt;0")</f>
        <v>2</v>
      </c>
      <c r="D7" s="264" cm="1">
        <f t="array" ref="D7">SUMIF(Project_Data[[Licensee]:[Licensee]],GD_DD_Summary[[#This Row],[Network]:[Network]],Project_Data[Submitted_Cost_Submission])</f>
        <v>8.8525100000000005</v>
      </c>
      <c r="E7" s="146" cm="1">
        <f t="array" ref="E7">SUMIF(Project_Data[[Licensee]:[Licensee]],GD_DD_Summary[[#This Row],[Network]:[Network]],Project_Data[Approved_DD])</f>
        <v>2</v>
      </c>
      <c r="F7" s="146">
        <f>GD_DD_Summary[[#This Row],[Company Requested Number of Projects]]-GD_DD_Summary[[#This Row],[Ofgem’s DD - Projects Approved*]]</f>
        <v>0</v>
      </c>
      <c r="G7" s="264">
        <f>GD_DD_Summary[[#This Row],[Ofgem’s DD - Allowances £m]]-GD_DD_Summary[[#This Row],[Company Requested Forecast costs £m]]</f>
        <v>-0.7915100000000006</v>
      </c>
      <c r="H7" s="265" cm="1">
        <f t="array" ref="H7">SUMIF(Project_Data[[Licensee]:[Licensee]],GD_DD_Summary[[#This Row],[Network]:[Network]],Project_Data[Allowance_Draft])</f>
        <v>8.0609999999999999</v>
      </c>
    </row>
    <row r="8" spans="1:8">
      <c r="A8" s="147" t="s">
        <v>84</v>
      </c>
      <c r="B8" s="145" t="s">
        <v>86</v>
      </c>
      <c r="C8" s="55">
        <f>COUNTIFS(Project_Data[Licensee],GD_DD_Summary[[#This Row],[Network]],Project_Data[Submitted_Cost_Submission],"&gt;0")</f>
        <v>2</v>
      </c>
      <c r="D8" s="264" cm="1">
        <f t="array" ref="D8">SUMIF(Project_Data[[Licensee]:[Licensee]],GD_DD_Summary[[#This Row],[Network]:[Network]],Project_Data[Submitted_Cost_Submission])</f>
        <v>33.69</v>
      </c>
      <c r="E8" s="146" cm="1">
        <f t="array" ref="E8">SUMIF(Project_Data[[Licensee]:[Licensee]],GD_DD_Summary[[#This Row],[Network]:[Network]],Project_Data[Approved_DD])</f>
        <v>2</v>
      </c>
      <c r="F8" s="146">
        <f>GD_DD_Summary[[#This Row],[Company Requested Number of Projects]]-GD_DD_Summary[[#This Row],[Ofgem’s DD - Projects Approved*]]</f>
        <v>0</v>
      </c>
      <c r="G8" s="264">
        <f>GD_DD_Summary[[#This Row],[Ofgem’s DD - Allowances £m]]-GD_DD_Summary[[#This Row],[Company Requested Forecast costs £m]]</f>
        <v>-18.566039999999997</v>
      </c>
      <c r="H8" s="265" cm="1">
        <f t="array" ref="H8">SUMIF(Project_Data[[Licensee]:[Licensee]],GD_DD_Summary[[#This Row],[Network]:[Network]],Project_Data[Allowance_Draft])</f>
        <v>15.12396</v>
      </c>
    </row>
    <row r="9" spans="1:8">
      <c r="A9" s="147" t="s">
        <v>87</v>
      </c>
      <c r="B9" s="145" t="s">
        <v>90</v>
      </c>
      <c r="C9" s="55">
        <f>COUNTIFS(Project_Data[Licensee],GD_DD_Summary[[#This Row],[Network]],Project_Data[Submitted_Cost_Submission],"&gt;0")</f>
        <v>1</v>
      </c>
      <c r="D9" s="264" cm="1">
        <f t="array" ref="D9">SUMIF(Project_Data[[Licensee]:[Licensee]],GD_DD_Summary[[#This Row],[Network]:[Network]],Project_Data[Submitted_Cost_Submission])</f>
        <v>19.9358</v>
      </c>
      <c r="E9" s="146" cm="1">
        <f t="array" ref="E9">SUMIF(Project_Data[[Licensee]:[Licensee]],GD_DD_Summary[[#This Row],[Network]:[Network]],Project_Data[Approved_DD])</f>
        <v>1</v>
      </c>
      <c r="F9" s="146">
        <f>GD_DD_Summary[[#This Row],[Company Requested Number of Projects]]-GD_DD_Summary[[#This Row],[Ofgem’s DD - Projects Approved*]]</f>
        <v>0</v>
      </c>
      <c r="G9" s="264">
        <f>GD_DD_Summary[[#This Row],[Ofgem’s DD - Allowances £m]]-GD_DD_Summary[[#This Row],[Company Requested Forecast costs £m]]</f>
        <v>-9.6939100000000007</v>
      </c>
      <c r="H9" s="265" cm="1">
        <f t="array" ref="H9">SUMIF(Project_Data[[Licensee]:[Licensee]],GD_DD_Summary[[#This Row],[Network]:[Network]],Project_Data[Allowance_Draft])</f>
        <v>10.24189</v>
      </c>
    </row>
    <row r="10" spans="1:8">
      <c r="A10" s="147" t="s">
        <v>87</v>
      </c>
      <c r="B10" s="145" t="s">
        <v>92</v>
      </c>
      <c r="C10" s="55">
        <f>COUNTIFS(Project_Data[Licensee],GD_DD_Summary[[#This Row],[Network]],Project_Data[Submitted_Cost_Submission],"&gt;0")</f>
        <v>2</v>
      </c>
      <c r="D10" s="264" cm="1">
        <f t="array" ref="D10">SUMIF(Project_Data[[Licensee]:[Licensee]],GD_DD_Summary[[#This Row],[Network]:[Network]],Project_Data[Submitted_Cost_Submission])</f>
        <v>45.683999999999997</v>
      </c>
      <c r="E10" s="146" cm="1">
        <f t="array" ref="E10">SUMIF(Project_Data[[Licensee]:[Licensee]],GD_DD_Summary[[#This Row],[Network]:[Network]],Project_Data[Approved_DD])</f>
        <v>2</v>
      </c>
      <c r="F10" s="146">
        <f>GD_DD_Summary[[#This Row],[Company Requested Number of Projects]]-GD_DD_Summary[[#This Row],[Ofgem’s DD - Projects Approved*]]</f>
        <v>0</v>
      </c>
      <c r="G10" s="264">
        <f>GD_DD_Summary[[#This Row],[Ofgem’s DD - Allowances £m]]-GD_DD_Summary[[#This Row],[Company Requested Forecast costs £m]]</f>
        <v>-15.585009999999997</v>
      </c>
      <c r="H10" s="265" cm="1">
        <f t="array" ref="H10">SUMIF(Project_Data[[Licensee]:[Licensee]],GD_DD_Summary[[#This Row],[Network]:[Network]],Project_Data[Allowance_Draft])</f>
        <v>30.098990000000001</v>
      </c>
    </row>
    <row r="11" spans="1:8">
      <c r="A11" s="148" t="s">
        <v>93</v>
      </c>
      <c r="B11" s="149" t="s">
        <v>96</v>
      </c>
      <c r="C11" s="55">
        <f>COUNTIFS(Project_Data[Licensee],GD_DD_Summary[[#This Row],[Network]],Project_Data[Submitted_Cost_Submission],"&gt;0")</f>
        <v>2</v>
      </c>
      <c r="D11" s="266" cm="1">
        <f t="array" ref="D11">SUMIF(Project_Data[[Licensee]:[Licensee]],GD_DD_Summary[[#This Row],[Network]:[Network]],Project_Data[Submitted_Cost_Submission])</f>
        <v>50.062839999999994</v>
      </c>
      <c r="E11" s="150" cm="1">
        <f t="array" ref="E11">SUMIF(Project_Data[[Licensee]:[Licensee]],GD_DD_Summary[[#This Row],[Network]:[Network]],Project_Data[Approved_DD])</f>
        <v>2</v>
      </c>
      <c r="F11" s="150">
        <f>GD_DD_Summary[[#This Row],[Company Requested Number of Projects]]-GD_DD_Summary[[#This Row],[Ofgem’s DD - Projects Approved*]]</f>
        <v>0</v>
      </c>
      <c r="G11" s="266">
        <f>GD_DD_Summary[[#This Row],[Ofgem’s DD - Allowances £m]]-GD_DD_Summary[[#This Row],[Company Requested Forecast costs £m]]</f>
        <v>-23.485019999999995</v>
      </c>
      <c r="H11" s="267" cm="1">
        <f t="array" ref="H11">SUMIF(Project_Data[[Licensee]:[Licensee]],GD_DD_Summary[[#This Row],[Network]:[Network]],Project_Data[Allowance_Draft])</f>
        <v>26.577819999999999</v>
      </c>
    </row>
    <row r="12" spans="1:8">
      <c r="A12" s="155" t="s">
        <v>256</v>
      </c>
      <c r="B12" s="156"/>
      <c r="C12" s="157">
        <f>SUM(C4:C11)</f>
        <v>16</v>
      </c>
      <c r="D12" s="268">
        <f t="shared" ref="D12:H12" si="0">SUM(D4:D11)</f>
        <v>215.09657999999999</v>
      </c>
      <c r="E12" s="157">
        <f t="shared" si="0"/>
        <v>15</v>
      </c>
      <c r="F12" s="157">
        <f t="shared" si="0"/>
        <v>1</v>
      </c>
      <c r="G12" s="268">
        <f t="shared" si="0"/>
        <v>-88.567920000000001</v>
      </c>
      <c r="H12" s="268">
        <f t="shared" si="0"/>
        <v>126.52866</v>
      </c>
    </row>
    <row r="13" spans="1:8">
      <c r="A13" s="57"/>
      <c r="B13" s="57"/>
      <c r="C13" s="57"/>
      <c r="D13" s="57"/>
      <c r="E13" s="57"/>
      <c r="F13" s="57"/>
      <c r="G13" s="57"/>
      <c r="H13" s="57"/>
    </row>
    <row r="14" spans="1:8">
      <c r="A14" s="57" t="s">
        <v>610</v>
      </c>
      <c r="B14" s="57"/>
      <c r="C14" s="57"/>
      <c r="D14" s="57"/>
      <c r="E14" s="57"/>
      <c r="F14" s="57"/>
      <c r="G14" s="57"/>
      <c r="H14" s="57"/>
    </row>
    <row r="15" spans="1:8">
      <c r="A15" s="54" t="s">
        <v>620</v>
      </c>
      <c r="B15" s="57"/>
      <c r="C15" s="53">
        <f>Table3_DDs_Summary!C21</f>
        <v>16</v>
      </c>
      <c r="D15" s="53">
        <f>Table3_DDs_Summary!D21</f>
        <v>215.09657999999999</v>
      </c>
      <c r="E15" s="53">
        <f>Table3_DDs_Summary!E21</f>
        <v>15</v>
      </c>
      <c r="F15" s="53">
        <f>Table3_DDs_Summary!F21</f>
        <v>1</v>
      </c>
      <c r="G15" s="53">
        <f>Table3_DDs_Summary!G21</f>
        <v>-88.567919999999987</v>
      </c>
      <c r="H15" s="53">
        <f>Table3_DDs_Summary!H21</f>
        <v>126.52866</v>
      </c>
    </row>
    <row r="16" spans="1:8">
      <c r="C16" s="141" t="str">
        <f>IF(ABS(C12-C15)&lt;0.005,"OK","Error")</f>
        <v>OK</v>
      </c>
      <c r="D16" s="141" t="str">
        <f t="shared" ref="D16:H16" si="1">IF(ABS(D12-D15)&lt;0.005,"OK","Error")</f>
        <v>OK</v>
      </c>
      <c r="E16" s="141" t="str">
        <f t="shared" si="1"/>
        <v>OK</v>
      </c>
      <c r="F16" s="141" t="str">
        <f t="shared" si="1"/>
        <v>OK</v>
      </c>
      <c r="G16" s="141" t="str">
        <f t="shared" si="1"/>
        <v>OK</v>
      </c>
      <c r="H16" s="141" t="str">
        <f t="shared" si="1"/>
        <v>OK</v>
      </c>
    </row>
  </sheetData>
  <conditionalFormatting sqref="C16:H16">
    <cfRule type="cellIs" dxfId="1" priority="1" operator="equal">
      <formula>"OK"</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D96B8-11C7-48CC-B745-300E1B08F995}">
  <sheetPr>
    <tabColor rgb="FFFF9999"/>
    <pageSetUpPr autoPageBreaks="0"/>
  </sheetPr>
  <dimension ref="A2:H10"/>
  <sheetViews>
    <sheetView workbookViewId="0">
      <selection activeCell="C10" sqref="C10"/>
    </sheetView>
  </sheetViews>
  <sheetFormatPr defaultRowHeight="13.5"/>
  <cols>
    <col min="1" max="1" width="26.4609375" customWidth="1"/>
    <col min="2" max="4" width="14.765625" customWidth="1"/>
    <col min="6" max="6" width="17.23046875" customWidth="1"/>
  </cols>
  <sheetData>
    <row r="2" spans="1:8">
      <c r="A2" s="10" t="s">
        <v>204</v>
      </c>
    </row>
    <row r="3" spans="1:8" ht="31.5">
      <c r="A3" s="59" t="s">
        <v>232</v>
      </c>
      <c r="B3" s="59" t="s">
        <v>621</v>
      </c>
      <c r="C3" s="59" t="s">
        <v>622</v>
      </c>
      <c r="D3" s="59" t="s">
        <v>623</v>
      </c>
      <c r="F3" s="59" t="s">
        <v>14</v>
      </c>
      <c r="G3" s="59" t="s">
        <v>624</v>
      </c>
    </row>
    <row r="4" spans="1:8">
      <c r="A4" s="60" t="s">
        <v>73</v>
      </c>
      <c r="B4" s="158">
        <f>SUMIFS(Project_Data[[Submitted_Cost_Submission]:[Submitted_Cost_Submission]], Project_Data[[Sector_Group]:[Sector_Group]],$F4,Project_Data[[Reopener_mechanism]:[Reopener_mechanism]],$B$10)</f>
        <v>29.59394</v>
      </c>
      <c r="C4" s="158">
        <f>HSE_Policy_DD_Summary[[#This Row],[Ofgem DD allowance]]-HSE_Policy_DD_Summary[[#This Row],[GDN submitted costs   (RIIO-2 only)]]</f>
        <v>-1.4879399999999983</v>
      </c>
      <c r="D4" s="158">
        <f>SUMIFS(Project_Data[[Allowance_Draft]:[Allowance_Draft]], Project_Data[[Sector_Group]:[Sector_Group]],$F4,Project_Data[[Reopener_mechanism]:[Reopener_mechanism]],$B$10)</f>
        <v>28.106000000000002</v>
      </c>
      <c r="F4" s="310" t="s">
        <v>73</v>
      </c>
      <c r="G4" s="310">
        <f>HSE_Policy_Assessment!U32</f>
        <v>28.106000000000002</v>
      </c>
      <c r="H4" s="84" t="str">
        <f>IF(ABS(G4-HSE_Policy_DD_Summary[[#This Row],[Ofgem DD allowance]])&lt;0.001,"OK","Error")</f>
        <v>OK</v>
      </c>
    </row>
    <row r="5" spans="1:8">
      <c r="A5" s="60" t="s">
        <v>86</v>
      </c>
      <c r="B5" s="158">
        <f>SUMIFS(Project_Data[[Submitted_Cost_Submission]:[Submitted_Cost_Submission]], Project_Data[[Sector_Group]:[Sector_Group]],$F5,Project_Data[[Reopener_mechanism]:[Reopener_mechanism]],$B$10)</f>
        <v>16.213999999999999</v>
      </c>
      <c r="C5" s="158">
        <f>HSE_Policy_DD_Summary[[#This Row],[Ofgem DD allowance]]-HSE_Policy_DD_Summary[[#This Row],[GDN submitted costs   (RIIO-2 only)]]</f>
        <v>-5.214439999999998</v>
      </c>
      <c r="D5" s="158">
        <f>SUMIFS(Project_Data[[Allowance_Draft]:[Allowance_Draft]], Project_Data[[Sector_Group]:[Sector_Group]],$F5,Project_Data[[Reopener_mechanism]:[Reopener_mechanism]],$B$10)</f>
        <v>10.999560000000001</v>
      </c>
      <c r="F5" s="310" t="s">
        <v>84</v>
      </c>
      <c r="G5" s="310">
        <f>HSE_Policy_Assessment!U33</f>
        <v>11</v>
      </c>
      <c r="H5" s="84" t="str">
        <f>IF(ABS(G5-HSE_Policy_DD_Summary[[#This Row],[Ofgem DD allowance]])&lt;0.001,"OK","Error")</f>
        <v>OK</v>
      </c>
    </row>
    <row r="6" spans="1:8">
      <c r="A6" s="60" t="s">
        <v>353</v>
      </c>
      <c r="B6" s="158">
        <f>SUMIFS(Project_Data[[Submitted_Cost_Submission]:[Submitted_Cost_Submission]], Project_Data[[Sector_Group]:[Sector_Group]],$F6,Project_Data[[Reopener_mechanism]:[Reopener_mechanism]],$B$10)</f>
        <v>50.659800000000004</v>
      </c>
      <c r="C6" s="158">
        <f>HSE_Policy_DD_Summary[[#This Row],[Ofgem DD allowance]]-HSE_Policy_DD_Summary[[#This Row],[GDN submitted costs   (RIIO-2 only)]]</f>
        <v>-20.211920000000006</v>
      </c>
      <c r="D6" s="158">
        <f>SUMIFS(Project_Data[[Allowance_Draft]:[Allowance_Draft]], Project_Data[[Sector_Group]:[Sector_Group]],$F6,Project_Data[[Reopener_mechanism]:[Reopener_mechanism]],$B$10)</f>
        <v>30.447879999999998</v>
      </c>
      <c r="F6" s="310" t="s">
        <v>87</v>
      </c>
      <c r="G6" s="310">
        <f>HSE_Policy_Assessment!U34</f>
        <v>30.448</v>
      </c>
      <c r="H6" s="84" t="str">
        <f>IF(ABS(G6-HSE_Policy_DD_Summary[[#This Row],[Ofgem DD allowance]])&lt;0.001,"OK","Error")</f>
        <v>OK</v>
      </c>
    </row>
    <row r="7" spans="1:8">
      <c r="A7" s="60" t="s">
        <v>96</v>
      </c>
      <c r="B7" s="158">
        <f>SUMIFS(Project_Data[[Submitted_Cost_Submission]:[Submitted_Cost_Submission]], Project_Data[[Sector_Group]:[Sector_Group]],$F7,Project_Data[[Reopener_mechanism]:[Reopener_mechanism]],$B$10)</f>
        <v>25.752839999999999</v>
      </c>
      <c r="C7" s="158">
        <f>HSE_Policy_DD_Summary[[#This Row],[Ofgem DD allowance]]-HSE_Policy_DD_Summary[[#This Row],[GDN submitted costs   (RIIO-2 only)]]</f>
        <v>-1.0420200000000008</v>
      </c>
      <c r="D7" s="158">
        <f>SUMIFS(Project_Data[[Allowance_Draft]:[Allowance_Draft]], Project_Data[[Sector_Group]:[Sector_Group]],$F7,Project_Data[[Reopener_mechanism]:[Reopener_mechanism]],$B$10)</f>
        <v>24.710819999999998</v>
      </c>
      <c r="F7" s="310" t="s">
        <v>93</v>
      </c>
      <c r="G7" s="310">
        <f>HSE_Policy_Assessment!U35</f>
        <v>24.710999999999999</v>
      </c>
      <c r="H7" s="84" t="str">
        <f>IF(ABS(G7-HSE_Policy_DD_Summary[[#This Row],[Ofgem DD allowance]])&lt;0.001,"OK","Error")</f>
        <v>OK</v>
      </c>
    </row>
    <row r="8" spans="1:8">
      <c r="A8" s="59" t="s">
        <v>256</v>
      </c>
      <c r="B8" s="159">
        <f>SUM(B4:B7)</f>
        <v>122.22058000000001</v>
      </c>
      <c r="C8" s="159">
        <f t="shared" ref="C8:D8" si="0">SUM(C4:C7)</f>
        <v>-27.956320000000005</v>
      </c>
      <c r="D8" s="159">
        <f t="shared" si="0"/>
        <v>94.264259999999993</v>
      </c>
    </row>
    <row r="9" spans="1:8">
      <c r="A9" s="66"/>
    </row>
    <row r="10" spans="1:8" ht="21">
      <c r="A10" s="60" t="s">
        <v>100</v>
      </c>
      <c r="B10" s="60" t="s">
        <v>115</v>
      </c>
    </row>
  </sheetData>
  <conditionalFormatting sqref="H4:H7">
    <cfRule type="cellIs" dxfId="0" priority="1" operator="equal">
      <formula>"OK"</formula>
    </cfRule>
  </conditionalFormatting>
  <dataValidations count="1">
    <dataValidation type="list" allowBlank="1" showInputMessage="1" showErrorMessage="1" sqref="B10" xr:uid="{9140C60D-A9CF-4CC4-A181-DCCB80701E08}">
      <formula1>list_Mechanisms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2E1DA-297C-464B-AF22-CF82F27D7655}">
  <sheetPr>
    <tabColor rgb="FFFF9999"/>
  </sheetPr>
  <dimension ref="A2:E11"/>
  <sheetViews>
    <sheetView workbookViewId="0"/>
  </sheetViews>
  <sheetFormatPr defaultRowHeight="13.5"/>
  <sheetData>
    <row r="2" spans="1:5">
      <c r="A2" t="s">
        <v>206</v>
      </c>
    </row>
    <row r="3" spans="1:5" ht="31.5">
      <c r="A3" s="254" t="s">
        <v>233</v>
      </c>
      <c r="B3" s="59" t="s">
        <v>625</v>
      </c>
      <c r="C3" s="59" t="s">
        <v>626</v>
      </c>
      <c r="D3" s="59" t="s">
        <v>627</v>
      </c>
      <c r="E3" s="59" t="s">
        <v>628</v>
      </c>
    </row>
    <row r="4" spans="1:5">
      <c r="A4" s="145" t="s">
        <v>77</v>
      </c>
      <c r="B4" s="228">
        <f>HSE_Policy_Assessment!U21</f>
        <v>566.23856078642109</v>
      </c>
      <c r="C4" s="227">
        <f>HSE_Policy_Assessment!V21</f>
        <v>6.7444619040599646E-2</v>
      </c>
      <c r="D4" s="227">
        <f>HSE_Policy_Assessment!W21</f>
        <v>38.189744018337599</v>
      </c>
      <c r="E4" s="227">
        <f>HSE_Policy_Assessment!X21</f>
        <v>8.1270000000000007</v>
      </c>
    </row>
    <row r="5" spans="1:5">
      <c r="A5" s="145" t="s">
        <v>79</v>
      </c>
      <c r="B5" s="228">
        <f>HSE_Policy_Assessment!U22</f>
        <v>493.77875643797995</v>
      </c>
      <c r="C5" s="227">
        <f>HSE_Policy_Assessment!V22</f>
        <v>6.7444619040599646E-2</v>
      </c>
      <c r="D5" s="227">
        <f>HSE_Policy_Assessment!W22</f>
        <v>33.302720118300599</v>
      </c>
      <c r="E5" s="227">
        <f>HSE_Policy_Assessment!X22</f>
        <v>8.4459999999999997</v>
      </c>
    </row>
    <row r="6" spans="1:5">
      <c r="A6" s="145" t="s">
        <v>81</v>
      </c>
      <c r="B6" s="228">
        <f>HSE_Policy_Assessment!U23</f>
        <v>472.758283266494</v>
      </c>
      <c r="C6" s="227">
        <f>HSE_Policy_Assessment!V23</f>
        <v>6.7444619040599646E-2</v>
      </c>
      <c r="D6" s="227">
        <f>HSE_Policy_Assessment!W23</f>
        <v>31.885002313196583</v>
      </c>
      <c r="E6" s="227">
        <f>HSE_Policy_Assessment!X23</f>
        <v>6.9619999999999997</v>
      </c>
    </row>
    <row r="7" spans="1:5">
      <c r="A7" s="145" t="s">
        <v>83</v>
      </c>
      <c r="B7" s="228">
        <f>HSE_Policy_Assessment!U24</f>
        <v>271.66453330305274</v>
      </c>
      <c r="C7" s="227">
        <f>HSE_Policy_Assessment!V24</f>
        <v>6.7444619040599646E-2</v>
      </c>
      <c r="D7" s="227">
        <f>HSE_Policy_Assessment!W24</f>
        <v>18.322310955466687</v>
      </c>
      <c r="E7" s="227">
        <f>HSE_Policy_Assessment!X24</f>
        <v>4.5709999999999997</v>
      </c>
    </row>
    <row r="8" spans="1:5">
      <c r="A8" s="145" t="s">
        <v>86</v>
      </c>
      <c r="B8" s="228">
        <f>HSE_Policy_Assessment!U25</f>
        <v>542.06634202012685</v>
      </c>
      <c r="C8" s="227">
        <f>HSE_Policy_Assessment!V25</f>
        <v>6.7444619040599646E-2</v>
      </c>
      <c r="D8" s="227">
        <f>HSE_Policy_Assessment!W25</f>
        <v>36.559457932278846</v>
      </c>
      <c r="E8" s="227">
        <f>HSE_Policy_Assessment!X25</f>
        <v>11</v>
      </c>
    </row>
    <row r="9" spans="1:5">
      <c r="A9" s="145" t="s">
        <v>90</v>
      </c>
      <c r="B9" s="228">
        <f>HSE_Policy_Assessment!U26</f>
        <v>451.98595756187098</v>
      </c>
      <c r="C9" s="227">
        <f>HSE_Policy_Assessment!V26</f>
        <v>6.7444619040599646E-2</v>
      </c>
      <c r="D9" s="227">
        <f>HSE_Policy_Assessment!W26</f>
        <v>30.484020719461025</v>
      </c>
      <c r="E9" s="227">
        <f>HSE_Policy_Assessment!X26</f>
        <v>10.242000000000001</v>
      </c>
    </row>
    <row r="10" spans="1:5">
      <c r="A10" s="145" t="s">
        <v>92</v>
      </c>
      <c r="B10" s="228">
        <f>HSE_Policy_Assessment!U27</f>
        <v>878.25206108046166</v>
      </c>
      <c r="C10" s="227">
        <f>HSE_Policy_Assessment!V27</f>
        <v>6.7444619040599646E-2</v>
      </c>
      <c r="D10" s="227">
        <f>HSE_Policy_Assessment!W27</f>
        <v>59.233375681193188</v>
      </c>
      <c r="E10" s="227">
        <f>HSE_Policy_Assessment!X27</f>
        <v>20.206</v>
      </c>
    </row>
    <row r="11" spans="1:5">
      <c r="A11" s="145" t="s">
        <v>96</v>
      </c>
      <c r="B11" s="228">
        <f>HSE_Policy_Assessment!U28</f>
        <v>366.38962578955329</v>
      </c>
      <c r="C11" s="227">
        <f>HSE_Policy_Assessment!V28</f>
        <v>6.7444619040599646E-2</v>
      </c>
      <c r="D11" s="227">
        <f>HSE_Policy_Assessment!W28</f>
        <v>24.711008731804284</v>
      </c>
      <c r="E11" s="227">
        <f>HSE_Policy_Assessment!X28</f>
        <v>24.710999999999999</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5ABAE-5726-4B8D-8144-FFACA14A3650}">
  <sheetPr>
    <tabColor rgb="FFFF9999"/>
    <pageSetUpPr autoPageBreaks="0"/>
  </sheetPr>
  <dimension ref="A2:F10"/>
  <sheetViews>
    <sheetView workbookViewId="0">
      <selection activeCell="D16" sqref="D16"/>
    </sheetView>
  </sheetViews>
  <sheetFormatPr defaultRowHeight="13.5"/>
  <cols>
    <col min="1" max="1" width="26.4609375" customWidth="1"/>
    <col min="2" max="4" width="14.765625" customWidth="1"/>
    <col min="6" max="6" width="16.15234375" bestFit="1" customWidth="1"/>
  </cols>
  <sheetData>
    <row r="2" spans="1:6">
      <c r="A2" s="10" t="s">
        <v>208</v>
      </c>
    </row>
    <row r="3" spans="1:6" ht="31.5">
      <c r="A3" s="59" t="s">
        <v>232</v>
      </c>
      <c r="B3" s="59" t="s">
        <v>621</v>
      </c>
      <c r="C3" s="59" t="s">
        <v>622</v>
      </c>
      <c r="D3" s="59" t="s">
        <v>623</v>
      </c>
      <c r="F3" s="59" t="s">
        <v>14</v>
      </c>
    </row>
    <row r="4" spans="1:6">
      <c r="A4" s="60" t="s">
        <v>73</v>
      </c>
      <c r="B4" s="158">
        <f>SUMIFS(Project_Data[[Submitted_Cost_Submission]:[Submitted_Cost_Submission]], Project_Data[[Sector_Group]:[Sector_Group]],$F4,Project_Data[[Reopener_mechanism]:[Reopener_mechanism]],$B$10)</f>
        <v>15.65</v>
      </c>
      <c r="C4" s="158">
        <f>Streetworks_DD_Summary[[#This Row],[Ofgem DD allowance]]-Streetworks_DD_Summary[[#This Row],[GDN submitted costs   (RIIO-2 only)]]</f>
        <v>-15.65</v>
      </c>
      <c r="D4" s="158">
        <f>SUMIFS(Project_Data[[Allowance_Draft]:[Allowance_Draft]], Project_Data[[Sector_Group]:[Sector_Group]],$F4,Project_Data[[Reopener_mechanism]:[Reopener_mechanism]],$B$10)</f>
        <v>0</v>
      </c>
      <c r="F4" s="158" t="s">
        <v>73</v>
      </c>
    </row>
    <row r="5" spans="1:6">
      <c r="A5" s="60" t="s">
        <v>86</v>
      </c>
      <c r="B5" s="158">
        <f>SUMIFS(Project_Data[[Submitted_Cost_Submission]:[Submitted_Cost_Submission]], Project_Data[[Sector_Group]:[Sector_Group]],$F5,Project_Data[[Reopener_mechanism]:[Reopener_mechanism]],$B$10)</f>
        <v>17.475999999999999</v>
      </c>
      <c r="C5" s="158">
        <f>Streetworks_DD_Summary[[#This Row],[Ofgem DD allowance]]-Streetworks_DD_Summary[[#This Row],[GDN submitted costs   (RIIO-2 only)]]</f>
        <v>-13.351599999999999</v>
      </c>
      <c r="D5" s="158">
        <f>SUMIFS(Project_Data[[Allowance_Draft]:[Allowance_Draft]], Project_Data[[Sector_Group]:[Sector_Group]],$F5,Project_Data[[Reopener_mechanism]:[Reopener_mechanism]],$B$10)</f>
        <v>4.1243999999999996</v>
      </c>
      <c r="F5" s="158" t="s">
        <v>84</v>
      </c>
    </row>
    <row r="6" spans="1:6">
      <c r="A6" s="60" t="s">
        <v>353</v>
      </c>
      <c r="B6" s="158">
        <f>SUMIFS(Project_Data[[Submitted_Cost_Submission]:[Submitted_Cost_Submission]], Project_Data[[Sector_Group]:[Sector_Group]],$F6,Project_Data[[Reopener_mechanism]:[Reopener_mechanism]],$B$10)</f>
        <v>14.96</v>
      </c>
      <c r="C6" s="158">
        <f>Streetworks_DD_Summary[[#This Row],[Ofgem DD allowance]]-Streetworks_DD_Summary[[#This Row],[GDN submitted costs   (RIIO-2 only)]]</f>
        <v>-5.0670000000000002</v>
      </c>
      <c r="D6" s="158">
        <f>SUMIFS(Project_Data[[Allowance_Draft]:[Allowance_Draft]], Project_Data[[Sector_Group]:[Sector_Group]],$F6,Project_Data[[Reopener_mechanism]:[Reopener_mechanism]],$B$10)</f>
        <v>9.8930000000000007</v>
      </c>
      <c r="F6" s="158" t="s">
        <v>87</v>
      </c>
    </row>
    <row r="7" spans="1:6">
      <c r="A7" s="60" t="s">
        <v>96</v>
      </c>
      <c r="B7" s="158">
        <f>SUMIFS(Project_Data[[Submitted_Cost_Submission]:[Submitted_Cost_Submission]], Project_Data[[Sector_Group]:[Sector_Group]],$F7,Project_Data[[Reopener_mechanism]:[Reopener_mechanism]],$B$10)</f>
        <v>24.31</v>
      </c>
      <c r="C7" s="158">
        <f>Streetworks_DD_Summary[[#This Row],[Ofgem DD allowance]]-Streetworks_DD_Summary[[#This Row],[GDN submitted costs   (RIIO-2 only)]]</f>
        <v>-22.442999999999998</v>
      </c>
      <c r="D7" s="158">
        <f>SUMIFS(Project_Data[[Allowance_Draft]:[Allowance_Draft]], Project_Data[[Sector_Group]:[Sector_Group]],$F7,Project_Data[[Reopener_mechanism]:[Reopener_mechanism]],$B$10)</f>
        <v>1.867</v>
      </c>
      <c r="F7" s="158" t="s">
        <v>93</v>
      </c>
    </row>
    <row r="8" spans="1:6">
      <c r="A8" s="59" t="s">
        <v>256</v>
      </c>
      <c r="B8" s="159">
        <f>SUM(B4:B7)</f>
        <v>72.396000000000001</v>
      </c>
      <c r="C8" s="159">
        <f t="shared" ref="C8:D8" si="0">SUM(C4:C7)</f>
        <v>-56.511600000000001</v>
      </c>
      <c r="D8" s="159">
        <f t="shared" si="0"/>
        <v>15.884399999999999</v>
      </c>
    </row>
    <row r="9" spans="1:6">
      <c r="A9" s="66"/>
    </row>
    <row r="10" spans="1:6" ht="31.5">
      <c r="A10" s="60" t="s">
        <v>100</v>
      </c>
      <c r="B10" s="60" t="s">
        <v>120</v>
      </c>
    </row>
  </sheetData>
  <dataValidations count="1">
    <dataValidation type="list" allowBlank="1" showInputMessage="1" showErrorMessage="1" sqref="B10" xr:uid="{1F754FE9-9782-4EA4-A790-7600B044400A}">
      <formula1>list_Mechanisms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8854-DC6E-4DDB-8688-094BA707CC0E}">
  <sheetPr>
    <tabColor rgb="FFFF9999"/>
  </sheetPr>
  <dimension ref="A2:E6"/>
  <sheetViews>
    <sheetView workbookViewId="0"/>
  </sheetViews>
  <sheetFormatPr defaultRowHeight="13.5"/>
  <cols>
    <col min="2" max="2" width="9.23046875" customWidth="1"/>
    <col min="3" max="3" width="10.15234375" customWidth="1"/>
    <col min="4" max="4" width="10.61328125" customWidth="1"/>
  </cols>
  <sheetData>
    <row r="2" spans="1:5">
      <c r="A2" t="s">
        <v>210</v>
      </c>
    </row>
    <row r="3" spans="1:5" ht="40" customHeight="1">
      <c r="A3" s="145"/>
      <c r="B3" s="169" t="s">
        <v>629</v>
      </c>
      <c r="C3" s="169" t="s">
        <v>630</v>
      </c>
      <c r="D3" s="169" t="s">
        <v>622</v>
      </c>
      <c r="E3" s="169" t="s">
        <v>623</v>
      </c>
    </row>
    <row r="4" spans="1:5">
      <c r="A4" s="145" t="s">
        <v>631</v>
      </c>
      <c r="B4" s="259">
        <v>13.67</v>
      </c>
      <c r="C4" s="145" t="s">
        <v>632</v>
      </c>
      <c r="D4" s="259">
        <v>-13.67</v>
      </c>
      <c r="E4" s="259">
        <v>0</v>
      </c>
    </row>
    <row r="5" spans="1:5" ht="28" customHeight="1">
      <c r="A5" s="170" t="s">
        <v>633</v>
      </c>
      <c r="B5" s="259">
        <v>1.98</v>
      </c>
      <c r="C5" s="145" t="s">
        <v>632</v>
      </c>
      <c r="D5" s="259">
        <v>-1.98</v>
      </c>
      <c r="E5" s="259">
        <v>0</v>
      </c>
    </row>
    <row r="6" spans="1:5">
      <c r="A6" s="171" t="s">
        <v>256</v>
      </c>
      <c r="B6" s="259">
        <v>15.65</v>
      </c>
      <c r="C6" s="145" t="s">
        <v>581</v>
      </c>
      <c r="D6" s="259">
        <v>-15.65</v>
      </c>
      <c r="E6" s="259">
        <v>0</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47934-1DF1-463B-AAAF-AD720AA807C7}">
  <sheetPr>
    <tabColor rgb="FFFF9999"/>
  </sheetPr>
  <dimension ref="A2:E6"/>
  <sheetViews>
    <sheetView workbookViewId="0"/>
  </sheetViews>
  <sheetFormatPr defaultRowHeight="13.5"/>
  <cols>
    <col min="4" max="4" width="9.84375" customWidth="1"/>
  </cols>
  <sheetData>
    <row r="2" spans="1:5">
      <c r="A2" t="s">
        <v>212</v>
      </c>
    </row>
    <row r="3" spans="1:5" ht="38.5" customHeight="1">
      <c r="A3" s="145"/>
      <c r="B3" s="169" t="s">
        <v>634</v>
      </c>
      <c r="C3" s="169" t="s">
        <v>630</v>
      </c>
      <c r="D3" s="169" t="s">
        <v>622</v>
      </c>
      <c r="E3" s="169" t="s">
        <v>623</v>
      </c>
    </row>
    <row r="4" spans="1:5">
      <c r="A4" s="145" t="s">
        <v>635</v>
      </c>
      <c r="B4" s="145">
        <v>5.8979999999999997</v>
      </c>
      <c r="C4" s="145" t="s">
        <v>636</v>
      </c>
      <c r="D4" s="145">
        <v>-5.4089999999999998</v>
      </c>
      <c r="E4" s="145">
        <v>0.48899999999999999</v>
      </c>
    </row>
    <row r="5" spans="1:5" ht="26.5" customHeight="1">
      <c r="A5" s="170" t="s">
        <v>637</v>
      </c>
      <c r="B5" s="145">
        <v>11.577999999999999</v>
      </c>
      <c r="C5" s="145" t="s">
        <v>636</v>
      </c>
      <c r="D5" s="145">
        <v>-7.9429999999999996</v>
      </c>
      <c r="E5" s="145">
        <v>3.6349999999999998</v>
      </c>
    </row>
    <row r="6" spans="1:5">
      <c r="A6" s="171" t="s">
        <v>256</v>
      </c>
      <c r="B6" s="145">
        <v>17.475999999999999</v>
      </c>
      <c r="C6" s="145" t="s">
        <v>581</v>
      </c>
      <c r="D6" s="145">
        <v>-13.352</v>
      </c>
      <c r="E6" s="145">
        <v>4.1239999999999997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28D9A-B1D8-4945-A3BA-C74A4D0D8B4D}">
  <sheetPr>
    <tabColor rgb="FFFF9999"/>
  </sheetPr>
  <dimension ref="A2:E7"/>
  <sheetViews>
    <sheetView workbookViewId="0"/>
  </sheetViews>
  <sheetFormatPr defaultRowHeight="13.5"/>
  <cols>
    <col min="4" max="4" width="10.23046875" customWidth="1"/>
  </cols>
  <sheetData>
    <row r="2" spans="1:5">
      <c r="A2" t="s">
        <v>214</v>
      </c>
    </row>
    <row r="3" spans="1:5" ht="40" customHeight="1">
      <c r="A3" s="145"/>
      <c r="B3" s="169" t="s">
        <v>638</v>
      </c>
      <c r="C3" s="169" t="s">
        <v>630</v>
      </c>
      <c r="D3" s="169" t="s">
        <v>622</v>
      </c>
      <c r="E3" s="169" t="s">
        <v>623</v>
      </c>
    </row>
    <row r="4" spans="1:5">
      <c r="A4" s="145" t="s">
        <v>639</v>
      </c>
      <c r="B4" s="259">
        <v>11.43</v>
      </c>
      <c r="C4" s="145" t="s">
        <v>640</v>
      </c>
      <c r="D4" s="259">
        <v>-2.42</v>
      </c>
      <c r="E4" s="259">
        <v>9.01</v>
      </c>
    </row>
    <row r="5" spans="1:5">
      <c r="A5" s="145" t="s">
        <v>641</v>
      </c>
      <c r="B5" s="145">
        <v>0.88300000000000001</v>
      </c>
      <c r="C5" s="145" t="s">
        <v>104</v>
      </c>
      <c r="D5" s="259">
        <v>0</v>
      </c>
      <c r="E5" s="145">
        <v>0.88300000000000001</v>
      </c>
    </row>
    <row r="6" spans="1:5" ht="27" customHeight="1">
      <c r="A6" s="170" t="s">
        <v>637</v>
      </c>
      <c r="B6" s="145">
        <v>2.6440000000000001</v>
      </c>
      <c r="C6" s="145" t="s">
        <v>632</v>
      </c>
      <c r="D6" s="145">
        <v>-2.6440000000000001</v>
      </c>
      <c r="E6" s="259">
        <v>0</v>
      </c>
    </row>
    <row r="7" spans="1:5">
      <c r="A7" s="171" t="s">
        <v>256</v>
      </c>
      <c r="B7" s="145">
        <v>14.957000000000001</v>
      </c>
      <c r="C7" s="145" t="s">
        <v>581</v>
      </c>
      <c r="D7" s="145">
        <v>-5.0640000000000001</v>
      </c>
      <c r="E7" s="145">
        <v>9.8930000000000007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B0F3-C235-4C34-BC40-B214D0CE3544}">
  <sheetPr>
    <tabColor rgb="FFFF9999"/>
  </sheetPr>
  <dimension ref="A2:E7"/>
  <sheetViews>
    <sheetView workbookViewId="0"/>
  </sheetViews>
  <sheetFormatPr defaultRowHeight="13.5"/>
  <cols>
    <col min="4" max="4" width="9.84375" customWidth="1"/>
  </cols>
  <sheetData>
    <row r="2" spans="1:5">
      <c r="A2" t="s">
        <v>216</v>
      </c>
    </row>
    <row r="3" spans="1:5" ht="40.5" customHeight="1">
      <c r="A3" s="145"/>
      <c r="B3" s="169" t="s">
        <v>642</v>
      </c>
      <c r="C3" s="169" t="s">
        <v>630</v>
      </c>
      <c r="D3" s="169" t="s">
        <v>622</v>
      </c>
      <c r="E3" s="169" t="s">
        <v>623</v>
      </c>
    </row>
    <row r="4" spans="1:5">
      <c r="A4" s="145" t="s">
        <v>635</v>
      </c>
      <c r="B4" s="259">
        <v>6.85</v>
      </c>
      <c r="C4" s="145" t="s">
        <v>643</v>
      </c>
      <c r="D4" s="145">
        <v>-5.9740000000000002</v>
      </c>
      <c r="E4" s="145">
        <v>0.876</v>
      </c>
    </row>
    <row r="5" spans="1:5" ht="27" customHeight="1">
      <c r="A5" s="170" t="s">
        <v>637</v>
      </c>
      <c r="B5" s="259">
        <v>14.36</v>
      </c>
      <c r="C5" s="145" t="s">
        <v>643</v>
      </c>
      <c r="D5" s="145">
        <v>-13.493</v>
      </c>
      <c r="E5" s="145">
        <v>0.86699999999999999</v>
      </c>
    </row>
    <row r="6" spans="1:5">
      <c r="A6" s="145" t="s">
        <v>644</v>
      </c>
      <c r="B6" s="259">
        <v>3.1</v>
      </c>
      <c r="C6" s="145" t="s">
        <v>643</v>
      </c>
      <c r="D6" s="145">
        <v>-2.976</v>
      </c>
      <c r="E6" s="145">
        <v>0.124</v>
      </c>
    </row>
    <row r="7" spans="1:5">
      <c r="A7" s="171" t="s">
        <v>256</v>
      </c>
      <c r="B7" s="259">
        <v>24.31</v>
      </c>
      <c r="C7" s="145" t="s">
        <v>581</v>
      </c>
      <c r="D7" s="145">
        <v>-22.443000000000001</v>
      </c>
      <c r="E7" s="145">
        <v>1.867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A37E0-EF29-4570-8093-E25DEED7A479}">
  <sheetPr>
    <tabColor rgb="FFFF9999"/>
    <pageSetUpPr autoPageBreaks="0"/>
  </sheetPr>
  <dimension ref="A2:F10"/>
  <sheetViews>
    <sheetView workbookViewId="0">
      <selection activeCell="D6" sqref="D6"/>
    </sheetView>
  </sheetViews>
  <sheetFormatPr defaultRowHeight="13.5"/>
  <cols>
    <col min="1" max="1" width="26.4609375" customWidth="1"/>
    <col min="2" max="4" width="14.765625" customWidth="1"/>
    <col min="6" max="6" width="16.15234375" bestFit="1" customWidth="1"/>
  </cols>
  <sheetData>
    <row r="2" spans="1:6">
      <c r="A2" s="10" t="s">
        <v>218</v>
      </c>
    </row>
    <row r="3" spans="1:6" ht="31.5">
      <c r="A3" s="59" t="s">
        <v>232</v>
      </c>
      <c r="B3" s="59" t="s">
        <v>621</v>
      </c>
      <c r="C3" s="59" t="s">
        <v>622</v>
      </c>
      <c r="D3" s="59" t="s">
        <v>623</v>
      </c>
      <c r="F3" s="59" t="s">
        <v>14</v>
      </c>
    </row>
    <row r="4" spans="1:6">
      <c r="A4" s="60" t="s">
        <v>73</v>
      </c>
      <c r="B4" s="158">
        <f>SUMIFS(Project_Data[[Submitted_Cost_Submission]:[Submitted_Cost_Submission]], Project_Data[[Sector_Group]:[Sector_Group]],$F4,Project_Data[[Reopener_mechanism]:[Reopener_mechanism]],$B$10)</f>
        <v>20.48</v>
      </c>
      <c r="C4" s="158">
        <f>Streetworks_DD_Summary37[[#This Row],[Ofgem DD allowance]]-Streetworks_DD_Summary37[[#This Row],[GDN submitted costs   (RIIO-2 only)]]</f>
        <v>-4.1000000000000014</v>
      </c>
      <c r="D4" s="158">
        <f>SUMIFS(Project_Data[[Allowance_Draft]:[Allowance_Draft]], Project_Data[[Sector_Group]:[Sector_Group]],$F4,Project_Data[[Reopener_mechanism]:[Reopener_mechanism]],$B$10)</f>
        <v>16.38</v>
      </c>
      <c r="F4" s="158" t="s">
        <v>73</v>
      </c>
    </row>
    <row r="5" spans="1:6">
      <c r="A5" s="60" t="s">
        <v>86</v>
      </c>
      <c r="B5" s="158">
        <f>SUMIFS(Project_Data[[Submitted_Cost_Submission]:[Submitted_Cost_Submission]], Project_Data[[Sector_Group]:[Sector_Group]],$F5,Project_Data[[Reopener_mechanism]:[Reopener_mechanism]],$B$10)</f>
        <v>0</v>
      </c>
      <c r="C5" s="158">
        <f>Streetworks_DD_Summary37[[#This Row],[Ofgem DD allowance]]-Streetworks_DD_Summary37[[#This Row],[GDN submitted costs   (RIIO-2 only)]]</f>
        <v>0</v>
      </c>
      <c r="D5" s="158">
        <f>SUMIFS(Project_Data[[Allowance_Draft]:[Allowance_Draft]], Project_Data[[Sector_Group]:[Sector_Group]],$F5,Project_Data[[Reopener_mechanism]:[Reopener_mechanism]],$B$10)</f>
        <v>0</v>
      </c>
      <c r="F5" s="158" t="s">
        <v>84</v>
      </c>
    </row>
    <row r="6" spans="1:6">
      <c r="A6" s="60" t="s">
        <v>353</v>
      </c>
      <c r="B6" s="158">
        <f>SUMIFS(Project_Data[[Submitted_Cost_Submission]:[Submitted_Cost_Submission]], Project_Data[[Sector_Group]:[Sector_Group]],$F6,Project_Data[[Reopener_mechanism]:[Reopener_mechanism]],$B$10)</f>
        <v>0</v>
      </c>
      <c r="C6" s="158">
        <f>Streetworks_DD_Summary37[[#This Row],[Ofgem DD allowance]]-Streetworks_DD_Summary37[[#This Row],[GDN submitted costs   (RIIO-2 only)]]</f>
        <v>0</v>
      </c>
      <c r="D6" s="158">
        <f>SUMIFS(Project_Data[[Allowance_Draft]:[Allowance_Draft]], Project_Data[[Sector_Group]:[Sector_Group]],$F6,Project_Data[[Reopener_mechanism]:[Reopener_mechanism]],$B$10)</f>
        <v>0</v>
      </c>
      <c r="F6" s="158" t="s">
        <v>87</v>
      </c>
    </row>
    <row r="7" spans="1:6">
      <c r="A7" s="60" t="s">
        <v>96</v>
      </c>
      <c r="B7" s="158">
        <f>SUMIFS(Project_Data[[Submitted_Cost_Submission]:[Submitted_Cost_Submission]], Project_Data[[Sector_Group]:[Sector_Group]],$F7,Project_Data[[Reopener_mechanism]:[Reopener_mechanism]],$B$10)</f>
        <v>0</v>
      </c>
      <c r="C7" s="158">
        <f>Streetworks_DD_Summary37[[#This Row],[Ofgem DD allowance]]-Streetworks_DD_Summary37[[#This Row],[GDN submitted costs   (RIIO-2 only)]]</f>
        <v>0</v>
      </c>
      <c r="D7" s="158">
        <f>SUMIFS(Project_Data[[Allowance_Draft]:[Allowance_Draft]], Project_Data[[Sector_Group]:[Sector_Group]],$F7,Project_Data[[Reopener_mechanism]:[Reopener_mechanism]],$B$10)</f>
        <v>0</v>
      </c>
      <c r="F7" s="158" t="s">
        <v>93</v>
      </c>
    </row>
    <row r="8" spans="1:6">
      <c r="A8" s="59" t="s">
        <v>256</v>
      </c>
      <c r="B8" s="159">
        <f>SUM(B4:B7)</f>
        <v>20.48</v>
      </c>
      <c r="C8" s="159">
        <f t="shared" ref="C8:D8" si="0">SUM(C4:C7)</f>
        <v>-4.1000000000000014</v>
      </c>
      <c r="D8" s="159">
        <f t="shared" si="0"/>
        <v>16.38</v>
      </c>
    </row>
    <row r="9" spans="1:6">
      <c r="A9" s="66"/>
    </row>
    <row r="10" spans="1:6" ht="42">
      <c r="A10" s="60" t="s">
        <v>100</v>
      </c>
      <c r="B10" s="60" t="s">
        <v>125</v>
      </c>
    </row>
  </sheetData>
  <dataValidations count="1">
    <dataValidation type="list" allowBlank="1" showInputMessage="1" showErrorMessage="1" sqref="B10" xr:uid="{7205AEAF-D925-428E-B6DA-3E57081C8417}">
      <formula1>list_Mechanisms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E204-7DA4-4912-8590-907A1FA88338}">
  <sheetPr>
    <tabColor rgb="FFFF9999"/>
  </sheetPr>
  <dimension ref="A2:D7"/>
  <sheetViews>
    <sheetView workbookViewId="0"/>
  </sheetViews>
  <sheetFormatPr defaultRowHeight="13.5"/>
  <cols>
    <col min="1" max="1" width="19.15234375" customWidth="1"/>
    <col min="2" max="2" width="13.23046875" customWidth="1"/>
    <col min="3" max="3" width="13.84375" customWidth="1"/>
    <col min="4" max="4" width="15.15234375" customWidth="1"/>
  </cols>
  <sheetData>
    <row r="2" spans="1:4">
      <c r="A2" t="s">
        <v>220</v>
      </c>
    </row>
    <row r="3" spans="1:4" ht="29.5" customHeight="1">
      <c r="A3" s="171" t="s">
        <v>645</v>
      </c>
      <c r="B3" s="169" t="s">
        <v>629</v>
      </c>
      <c r="C3" s="169" t="s">
        <v>622</v>
      </c>
      <c r="D3" s="171" t="s">
        <v>646</v>
      </c>
    </row>
    <row r="4" spans="1:4">
      <c r="A4" s="145" t="s">
        <v>647</v>
      </c>
      <c r="B4" s="259">
        <v>20.48</v>
      </c>
      <c r="C4" s="259">
        <v>0</v>
      </c>
      <c r="D4" s="259">
        <v>20.48</v>
      </c>
    </row>
    <row r="5" spans="1:4" ht="28" customHeight="1">
      <c r="A5" s="170" t="s">
        <v>648</v>
      </c>
      <c r="B5" s="259">
        <v>0</v>
      </c>
      <c r="C5" s="259">
        <v>-2.0499999999999998</v>
      </c>
      <c r="D5" s="259">
        <v>-2.0499999999999998</v>
      </c>
    </row>
    <row r="6" spans="1:4" ht="28" customHeight="1">
      <c r="A6" s="170" t="s">
        <v>649</v>
      </c>
      <c r="B6" s="259" t="s">
        <v>581</v>
      </c>
      <c r="C6" s="259">
        <v>-2.0499999999999998</v>
      </c>
      <c r="D6" s="259">
        <v>-2.0499999999999998</v>
      </c>
    </row>
    <row r="7" spans="1:4">
      <c r="A7" s="171" t="s">
        <v>256</v>
      </c>
      <c r="B7" s="259">
        <v>20.48</v>
      </c>
      <c r="C7" s="259">
        <v>-4.0999999999999996</v>
      </c>
      <c r="D7" s="259">
        <v>16.38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D612-2D14-4D41-B5D8-586825355C75}">
  <sheetPr>
    <tabColor rgb="FFFF9999"/>
  </sheetPr>
  <dimension ref="A2:D20"/>
  <sheetViews>
    <sheetView workbookViewId="0"/>
  </sheetViews>
  <sheetFormatPr defaultRowHeight="13.5"/>
  <cols>
    <col min="2" max="2" width="23.765625" customWidth="1"/>
    <col min="3" max="3" width="19.765625" customWidth="1"/>
    <col min="4" max="4" width="38" customWidth="1"/>
  </cols>
  <sheetData>
    <row r="2" spans="1:4">
      <c r="A2" t="s">
        <v>222</v>
      </c>
    </row>
    <row r="3" spans="1:4">
      <c r="A3" s="175" t="s">
        <v>650</v>
      </c>
      <c r="B3" s="177" t="s">
        <v>651</v>
      </c>
      <c r="C3" s="177" t="s">
        <v>652</v>
      </c>
      <c r="D3" s="59" t="s">
        <v>653</v>
      </c>
    </row>
    <row r="4" spans="1:4" ht="17.149999999999999" customHeight="1">
      <c r="A4" s="340">
        <v>1</v>
      </c>
      <c r="B4" s="342" t="s">
        <v>654</v>
      </c>
      <c r="C4" s="344" t="s">
        <v>655</v>
      </c>
      <c r="D4" s="180" t="s">
        <v>656</v>
      </c>
    </row>
    <row r="5" spans="1:4" ht="15.65" customHeight="1">
      <c r="A5" s="341"/>
      <c r="B5" s="343"/>
      <c r="C5" s="345"/>
      <c r="D5" s="181" t="s">
        <v>657</v>
      </c>
    </row>
    <row r="6" spans="1:4" ht="17.149999999999999" customHeight="1">
      <c r="A6" s="341"/>
      <c r="B6" s="343"/>
      <c r="C6" s="345"/>
      <c r="D6" s="182" t="s">
        <v>658</v>
      </c>
    </row>
    <row r="7" spans="1:4" ht="18" customHeight="1">
      <c r="A7" s="341"/>
      <c r="B7" s="343"/>
      <c r="C7" s="345"/>
      <c r="D7" s="182" t="s">
        <v>659</v>
      </c>
    </row>
    <row r="8" spans="1:4" ht="17.149999999999999" customHeight="1">
      <c r="A8" s="341"/>
      <c r="B8" s="343"/>
      <c r="C8" s="345"/>
      <c r="D8" s="182" t="s">
        <v>660</v>
      </c>
    </row>
    <row r="9" spans="1:4" ht="34.5" customHeight="1">
      <c r="A9" s="341"/>
      <c r="B9" s="343"/>
      <c r="C9" s="345"/>
      <c r="D9" s="182" t="s">
        <v>661</v>
      </c>
    </row>
    <row r="10" spans="1:4" ht="23.5" customHeight="1">
      <c r="A10" s="341"/>
      <c r="B10" s="343"/>
      <c r="C10" s="345"/>
      <c r="D10" s="183" t="s">
        <v>662</v>
      </c>
    </row>
    <row r="11" spans="1:4" ht="25.5" customHeight="1">
      <c r="A11" s="340">
        <v>2</v>
      </c>
      <c r="B11" s="342" t="s">
        <v>663</v>
      </c>
      <c r="C11" s="346">
        <v>46112</v>
      </c>
      <c r="D11" s="180" t="s">
        <v>656</v>
      </c>
    </row>
    <row r="12" spans="1:4" ht="32.15" customHeight="1">
      <c r="A12" s="341"/>
      <c r="B12" s="343"/>
      <c r="C12" s="347"/>
      <c r="D12" s="181" t="s">
        <v>664</v>
      </c>
    </row>
    <row r="13" spans="1:4" ht="24.65" customHeight="1">
      <c r="A13" s="341"/>
      <c r="B13" s="343"/>
      <c r="C13" s="347"/>
      <c r="D13" s="182" t="s">
        <v>658</v>
      </c>
    </row>
    <row r="14" spans="1:4" ht="24.65" customHeight="1">
      <c r="A14" s="341"/>
      <c r="B14" s="343"/>
      <c r="C14" s="347"/>
      <c r="D14" s="182" t="s">
        <v>659</v>
      </c>
    </row>
    <row r="15" spans="1:4" ht="22.5" customHeight="1">
      <c r="A15" s="341"/>
      <c r="B15" s="343"/>
      <c r="C15" s="347"/>
      <c r="D15" s="182" t="s">
        <v>660</v>
      </c>
    </row>
    <row r="16" spans="1:4" ht="38.15" customHeight="1">
      <c r="A16" s="341"/>
      <c r="B16" s="343"/>
      <c r="C16" s="347"/>
      <c r="D16" s="182" t="s">
        <v>661</v>
      </c>
    </row>
    <row r="17" spans="1:4" ht="42.65" customHeight="1">
      <c r="A17" s="341"/>
      <c r="B17" s="343"/>
      <c r="C17" s="347"/>
      <c r="D17" s="181" t="s">
        <v>665</v>
      </c>
    </row>
    <row r="18" spans="1:4" ht="39.65" customHeight="1">
      <c r="A18" s="176">
        <v>3</v>
      </c>
      <c r="B18" s="178" t="s">
        <v>666</v>
      </c>
      <c r="C18" s="179">
        <v>46112</v>
      </c>
      <c r="D18" s="60" t="s">
        <v>667</v>
      </c>
    </row>
    <row r="19" spans="1:4">
      <c r="A19" s="66"/>
    </row>
    <row r="20" spans="1:4">
      <c r="A20" s="66"/>
    </row>
  </sheetData>
  <mergeCells count="6">
    <mergeCell ref="A4:A10"/>
    <mergeCell ref="B4:B10"/>
    <mergeCell ref="C4:C10"/>
    <mergeCell ref="A11:A17"/>
    <mergeCell ref="B11:B17"/>
    <mergeCell ref="C11:C1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347E4-56D4-47F3-8E9D-F33510F0766A}">
  <sheetPr>
    <tabColor rgb="FFFF9999"/>
  </sheetPr>
  <dimension ref="A2:G11"/>
  <sheetViews>
    <sheetView workbookViewId="0"/>
  </sheetViews>
  <sheetFormatPr defaultRowHeight="13.5"/>
  <cols>
    <col min="1" max="1" width="19.15234375" customWidth="1"/>
    <col min="2" max="2" width="13.23046875" customWidth="1"/>
    <col min="3" max="3" width="13.84375" customWidth="1"/>
    <col min="4" max="4" width="15.15234375" customWidth="1"/>
  </cols>
  <sheetData>
    <row r="2" spans="1:7">
      <c r="A2" t="s">
        <v>224</v>
      </c>
    </row>
    <row r="3" spans="1:7" ht="32.5">
      <c r="A3" s="169" t="s">
        <v>668</v>
      </c>
      <c r="B3" s="169" t="s">
        <v>554</v>
      </c>
      <c r="C3" s="169" t="s">
        <v>555</v>
      </c>
      <c r="D3" s="169" t="s">
        <v>556</v>
      </c>
      <c r="E3" s="169" t="s">
        <v>270</v>
      </c>
      <c r="F3" s="169" t="s">
        <v>557</v>
      </c>
      <c r="G3" s="169" t="s">
        <v>669</v>
      </c>
    </row>
    <row r="4" spans="1:7" ht="28" customHeight="1">
      <c r="A4" s="170" t="s">
        <v>77</v>
      </c>
      <c r="B4" s="259">
        <v>0.27</v>
      </c>
      <c r="C4" s="259">
        <v>0.29099999999999998</v>
      </c>
      <c r="D4" s="259">
        <v>0.17599999999999999</v>
      </c>
      <c r="E4" s="259">
        <v>0.746</v>
      </c>
      <c r="F4" s="259">
        <v>6.6440000000000001</v>
      </c>
      <c r="G4" s="259">
        <v>8.1270000000000007</v>
      </c>
    </row>
    <row r="5" spans="1:7">
      <c r="A5" s="145" t="s">
        <v>79</v>
      </c>
      <c r="B5" s="259">
        <v>0.39100000000000001</v>
      </c>
      <c r="C5" s="259">
        <v>0.42</v>
      </c>
      <c r="D5" s="259">
        <v>0.25</v>
      </c>
      <c r="E5" s="259">
        <v>1.339</v>
      </c>
      <c r="F5" s="259">
        <v>6.0460000000000003</v>
      </c>
      <c r="G5" s="259">
        <v>8.4459999999999997</v>
      </c>
    </row>
    <row r="6" spans="1:7">
      <c r="A6" s="145" t="s">
        <v>81</v>
      </c>
      <c r="B6" s="259">
        <v>0.22800000000000001</v>
      </c>
      <c r="C6" s="259">
        <v>0.246</v>
      </c>
      <c r="D6" s="259">
        <v>0.14199999999999999</v>
      </c>
      <c r="E6" s="259">
        <v>0.747</v>
      </c>
      <c r="F6" s="259">
        <v>5.5990000000000002</v>
      </c>
      <c r="G6" s="259">
        <v>6.9619999999999997</v>
      </c>
    </row>
    <row r="7" spans="1:7">
      <c r="A7" s="145" t="s">
        <v>83</v>
      </c>
      <c r="B7" s="259">
        <v>0.248</v>
      </c>
      <c r="C7" s="259">
        <v>0.26600000000000001</v>
      </c>
      <c r="D7" s="259">
        <v>0.16</v>
      </c>
      <c r="E7" s="259">
        <v>0.627</v>
      </c>
      <c r="F7" s="259">
        <v>3.27</v>
      </c>
      <c r="G7" s="259">
        <v>4.5709999999999997</v>
      </c>
    </row>
    <row r="8" spans="1:7">
      <c r="A8" s="145" t="s">
        <v>670</v>
      </c>
      <c r="B8" s="259">
        <v>0.497</v>
      </c>
      <c r="C8" s="259">
        <v>1.298</v>
      </c>
      <c r="D8" s="259">
        <v>1.113</v>
      </c>
      <c r="E8" s="259">
        <v>1.113</v>
      </c>
      <c r="F8" s="259">
        <v>6.9790000000000001</v>
      </c>
      <c r="G8" s="259">
        <v>11</v>
      </c>
    </row>
    <row r="9" spans="1:7">
      <c r="A9" s="145" t="s">
        <v>671</v>
      </c>
      <c r="B9" s="259">
        <v>0</v>
      </c>
      <c r="C9" s="259">
        <v>4.7E-2</v>
      </c>
      <c r="D9" s="259">
        <v>3.1509999999999998</v>
      </c>
      <c r="E9" s="259">
        <v>3.3460000000000001</v>
      </c>
      <c r="F9" s="259">
        <v>3.698</v>
      </c>
      <c r="G9" s="259">
        <v>10.242000000000001</v>
      </c>
    </row>
    <row r="10" spans="1:7">
      <c r="A10" s="145" t="s">
        <v>672</v>
      </c>
      <c r="B10" s="259">
        <v>0</v>
      </c>
      <c r="C10" s="259">
        <v>6.7000000000000004E-2</v>
      </c>
      <c r="D10" s="259">
        <v>6.4550000000000001</v>
      </c>
      <c r="E10" s="259">
        <v>6.5839999999999996</v>
      </c>
      <c r="F10" s="259">
        <v>7.1</v>
      </c>
      <c r="G10" s="259">
        <v>20.206</v>
      </c>
    </row>
    <row r="11" spans="1:7">
      <c r="A11" s="145" t="s">
        <v>673</v>
      </c>
      <c r="B11" s="259">
        <v>2.1019999999999999</v>
      </c>
      <c r="C11" s="259">
        <v>4.2610000000000001</v>
      </c>
      <c r="D11" s="259">
        <v>6.42</v>
      </c>
      <c r="E11" s="259">
        <v>5.8440000000000003</v>
      </c>
      <c r="F11" s="259">
        <v>6.0839999999999996</v>
      </c>
      <c r="G11" s="259">
        <v>24.710999999999999</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C70A-4F9B-40E8-B48F-DE9C24C22754}">
  <sheetPr>
    <tabColor rgb="FFFF9999"/>
  </sheetPr>
  <dimension ref="A2:G11"/>
  <sheetViews>
    <sheetView workbookViewId="0"/>
  </sheetViews>
  <sheetFormatPr defaultRowHeight="13.5"/>
  <cols>
    <col min="1" max="1" width="19.15234375" customWidth="1"/>
    <col min="2" max="2" width="13.23046875" customWidth="1"/>
    <col min="3" max="3" width="13.84375" customWidth="1"/>
    <col min="4" max="4" width="15.15234375" customWidth="1"/>
  </cols>
  <sheetData>
    <row r="2" spans="1:7">
      <c r="A2" t="s">
        <v>226</v>
      </c>
    </row>
    <row r="3" spans="1:7" ht="32.5">
      <c r="A3" s="169" t="s">
        <v>668</v>
      </c>
      <c r="B3" s="169" t="s">
        <v>554</v>
      </c>
      <c r="C3" s="169" t="s">
        <v>555</v>
      </c>
      <c r="D3" s="169" t="s">
        <v>556</v>
      </c>
      <c r="E3" s="169" t="s">
        <v>270</v>
      </c>
      <c r="F3" s="169" t="s">
        <v>557</v>
      </c>
      <c r="G3" s="169" t="s">
        <v>669</v>
      </c>
    </row>
    <row r="4" spans="1:7" ht="28" customHeight="1">
      <c r="A4" s="170" t="s">
        <v>77</v>
      </c>
      <c r="B4" s="259">
        <v>0</v>
      </c>
      <c r="C4" s="259">
        <v>0</v>
      </c>
      <c r="D4" s="259">
        <v>0</v>
      </c>
      <c r="E4" s="259">
        <v>0</v>
      </c>
      <c r="F4" s="259">
        <v>0</v>
      </c>
      <c r="G4" s="259">
        <v>0</v>
      </c>
    </row>
    <row r="5" spans="1:7">
      <c r="A5" s="145" t="s">
        <v>79</v>
      </c>
      <c r="B5" s="259">
        <v>0</v>
      </c>
      <c r="C5" s="259">
        <v>0</v>
      </c>
      <c r="D5" s="259">
        <v>0</v>
      </c>
      <c r="E5" s="259">
        <v>0</v>
      </c>
      <c r="F5" s="259">
        <v>0</v>
      </c>
      <c r="G5" s="259">
        <v>0</v>
      </c>
    </row>
    <row r="6" spans="1:7">
      <c r="A6" s="145" t="s">
        <v>81</v>
      </c>
      <c r="B6" s="259">
        <v>0</v>
      </c>
      <c r="C6" s="259">
        <v>0</v>
      </c>
      <c r="D6" s="259">
        <v>0</v>
      </c>
      <c r="E6" s="259">
        <v>0</v>
      </c>
      <c r="F6" s="259">
        <v>0</v>
      </c>
      <c r="G6" s="259">
        <v>0</v>
      </c>
    </row>
    <row r="7" spans="1:7">
      <c r="A7" s="145" t="s">
        <v>83</v>
      </c>
      <c r="B7" s="259">
        <v>0</v>
      </c>
      <c r="C7" s="259">
        <v>0</v>
      </c>
      <c r="D7" s="259">
        <v>0</v>
      </c>
      <c r="E7" s="259">
        <v>0</v>
      </c>
      <c r="F7" s="259">
        <v>0</v>
      </c>
      <c r="G7" s="259">
        <v>0</v>
      </c>
    </row>
    <row r="8" spans="1:7">
      <c r="A8" s="145" t="s">
        <v>670</v>
      </c>
      <c r="B8" s="259">
        <v>0.82399999999999995</v>
      </c>
      <c r="C8" s="259">
        <v>0.82499999999999996</v>
      </c>
      <c r="D8" s="259">
        <v>0.82499999999999996</v>
      </c>
      <c r="E8" s="259">
        <v>0.82499999999999996</v>
      </c>
      <c r="F8" s="259">
        <v>0.82499999999999996</v>
      </c>
      <c r="G8" s="259">
        <v>4.1239999999999997</v>
      </c>
    </row>
    <row r="9" spans="1:7">
      <c r="A9" s="145" t="s">
        <v>671</v>
      </c>
      <c r="B9" s="259">
        <v>0</v>
      </c>
      <c r="C9" s="259">
        <v>0</v>
      </c>
      <c r="D9" s="259">
        <v>0</v>
      </c>
      <c r="E9" s="259">
        <v>0</v>
      </c>
      <c r="F9" s="259">
        <v>0</v>
      </c>
      <c r="G9" s="259">
        <v>0</v>
      </c>
    </row>
    <row r="10" spans="1:7">
      <c r="A10" s="145" t="s">
        <v>672</v>
      </c>
      <c r="B10" s="259">
        <v>2.6219999999999999</v>
      </c>
      <c r="C10" s="259">
        <v>2.5419999999999998</v>
      </c>
      <c r="D10" s="259">
        <v>1.8129999999999999</v>
      </c>
      <c r="E10" s="259">
        <v>1.353</v>
      </c>
      <c r="F10" s="259">
        <v>1.5629999999999999</v>
      </c>
      <c r="G10" s="259">
        <v>9.8930000000000007</v>
      </c>
    </row>
    <row r="11" spans="1:7">
      <c r="A11" s="145" t="s">
        <v>673</v>
      </c>
      <c r="B11" s="259">
        <v>0.16700000000000001</v>
      </c>
      <c r="C11" s="259">
        <v>0.28000000000000003</v>
      </c>
      <c r="D11" s="259">
        <v>0.57199999999999995</v>
      </c>
      <c r="E11" s="259">
        <v>0.42399999999999999</v>
      </c>
      <c r="F11" s="259">
        <v>0.42399999999999999</v>
      </c>
      <c r="G11" s="259">
        <v>1.867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1363-F19D-41F4-8F55-10099BB1D465}">
  <sheetPr>
    <tabColor rgb="FFFF9999"/>
  </sheetPr>
  <dimension ref="A2:G7"/>
  <sheetViews>
    <sheetView workbookViewId="0"/>
  </sheetViews>
  <sheetFormatPr defaultRowHeight="13.5"/>
  <cols>
    <col min="1" max="1" width="19.15234375" customWidth="1"/>
    <col min="2" max="2" width="13.23046875" customWidth="1"/>
    <col min="3" max="3" width="13.84375" customWidth="1"/>
    <col min="4" max="4" width="15.15234375" customWidth="1"/>
  </cols>
  <sheetData>
    <row r="2" spans="1:7">
      <c r="A2" t="s">
        <v>228</v>
      </c>
    </row>
    <row r="3" spans="1:7" ht="32.5">
      <c r="A3" s="169" t="s">
        <v>668</v>
      </c>
      <c r="B3" s="169" t="s">
        <v>554</v>
      </c>
      <c r="C3" s="169" t="s">
        <v>555</v>
      </c>
      <c r="D3" s="169" t="s">
        <v>556</v>
      </c>
      <c r="E3" s="169" t="s">
        <v>270</v>
      </c>
      <c r="F3" s="169" t="s">
        <v>557</v>
      </c>
      <c r="G3" s="169" t="s">
        <v>669</v>
      </c>
    </row>
    <row r="4" spans="1:7" ht="28" customHeight="1">
      <c r="A4" s="170" t="s">
        <v>77</v>
      </c>
      <c r="B4" s="259">
        <v>0</v>
      </c>
      <c r="C4" s="259">
        <v>0</v>
      </c>
      <c r="D4" s="259">
        <v>0</v>
      </c>
      <c r="E4" s="259">
        <v>0</v>
      </c>
      <c r="F4" s="259">
        <v>7.69</v>
      </c>
      <c r="G4" s="259">
        <v>7.69</v>
      </c>
    </row>
    <row r="5" spans="1:7">
      <c r="A5" s="145" t="s">
        <v>79</v>
      </c>
      <c r="B5" s="259">
        <v>0</v>
      </c>
      <c r="C5" s="259">
        <v>0</v>
      </c>
      <c r="D5" s="259">
        <v>0</v>
      </c>
      <c r="E5" s="259">
        <v>0</v>
      </c>
      <c r="F5" s="259">
        <v>0.89</v>
      </c>
      <c r="G5" s="259">
        <v>0.89</v>
      </c>
    </row>
    <row r="6" spans="1:7">
      <c r="A6" s="145" t="s">
        <v>81</v>
      </c>
      <c r="B6" s="259">
        <v>0</v>
      </c>
      <c r="C6" s="259">
        <v>0</v>
      </c>
      <c r="D6" s="259">
        <v>0</v>
      </c>
      <c r="E6" s="259">
        <v>0</v>
      </c>
      <c r="F6" s="259">
        <v>4.3099999999999996</v>
      </c>
      <c r="G6" s="259">
        <v>4.3099999999999996</v>
      </c>
    </row>
    <row r="7" spans="1:7">
      <c r="A7" s="145" t="s">
        <v>83</v>
      </c>
      <c r="B7" s="259">
        <v>0</v>
      </c>
      <c r="C7" s="259">
        <v>0</v>
      </c>
      <c r="D7" s="259">
        <v>0</v>
      </c>
      <c r="E7" s="259">
        <v>0</v>
      </c>
      <c r="F7" s="259">
        <v>3.49</v>
      </c>
      <c r="G7" s="259">
        <v>3.49</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1B729-E07D-4525-AE82-337F344343B5}">
  <sheetPr>
    <tabColor rgb="FFFF9999"/>
  </sheetPr>
  <dimension ref="A2:D20"/>
  <sheetViews>
    <sheetView workbookViewId="0"/>
  </sheetViews>
  <sheetFormatPr defaultRowHeight="13.5"/>
  <cols>
    <col min="2" max="2" width="23.765625" customWidth="1"/>
    <col min="3" max="3" width="19.765625" customWidth="1"/>
    <col min="4" max="4" width="38" customWidth="1"/>
  </cols>
  <sheetData>
    <row r="2" spans="1:4">
      <c r="A2" t="s">
        <v>230</v>
      </c>
    </row>
    <row r="3" spans="1:4">
      <c r="A3" s="175" t="s">
        <v>650</v>
      </c>
      <c r="B3" s="177" t="s">
        <v>651</v>
      </c>
      <c r="C3" s="177" t="s">
        <v>652</v>
      </c>
      <c r="D3" s="59" t="s">
        <v>653</v>
      </c>
    </row>
    <row r="4" spans="1:4" ht="17.149999999999999" customHeight="1">
      <c r="A4" s="340">
        <v>1</v>
      </c>
      <c r="B4" s="342" t="s">
        <v>654</v>
      </c>
      <c r="C4" s="344" t="s">
        <v>655</v>
      </c>
      <c r="D4" s="180" t="s">
        <v>656</v>
      </c>
    </row>
    <row r="5" spans="1:4" ht="15.65" customHeight="1">
      <c r="A5" s="341"/>
      <c r="B5" s="343"/>
      <c r="C5" s="345"/>
      <c r="D5" s="181" t="s">
        <v>657</v>
      </c>
    </row>
    <row r="6" spans="1:4" ht="17.149999999999999" customHeight="1">
      <c r="A6" s="341"/>
      <c r="B6" s="343"/>
      <c r="C6" s="345"/>
      <c r="D6" s="182" t="s">
        <v>658</v>
      </c>
    </row>
    <row r="7" spans="1:4" ht="18" customHeight="1">
      <c r="A7" s="341"/>
      <c r="B7" s="343"/>
      <c r="C7" s="345"/>
      <c r="D7" s="182" t="s">
        <v>659</v>
      </c>
    </row>
    <row r="8" spans="1:4" ht="17.149999999999999" customHeight="1">
      <c r="A8" s="341"/>
      <c r="B8" s="343"/>
      <c r="C8" s="345"/>
      <c r="D8" s="182" t="s">
        <v>660</v>
      </c>
    </row>
    <row r="9" spans="1:4" ht="34.5" customHeight="1">
      <c r="A9" s="341"/>
      <c r="B9" s="343"/>
      <c r="C9" s="345"/>
      <c r="D9" s="182" t="s">
        <v>661</v>
      </c>
    </row>
    <row r="10" spans="1:4" ht="23.5" customHeight="1">
      <c r="A10" s="341"/>
      <c r="B10" s="343"/>
      <c r="C10" s="345"/>
      <c r="D10" s="183" t="s">
        <v>662</v>
      </c>
    </row>
    <row r="11" spans="1:4" ht="25.5" customHeight="1">
      <c r="A11" s="340">
        <v>2</v>
      </c>
      <c r="B11" s="342" t="s">
        <v>663</v>
      </c>
      <c r="C11" s="346">
        <v>46112</v>
      </c>
      <c r="D11" s="180" t="s">
        <v>656</v>
      </c>
    </row>
    <row r="12" spans="1:4" ht="32.15" customHeight="1">
      <c r="A12" s="341"/>
      <c r="B12" s="343"/>
      <c r="C12" s="347"/>
      <c r="D12" s="181" t="s">
        <v>664</v>
      </c>
    </row>
    <row r="13" spans="1:4" ht="24.65" customHeight="1">
      <c r="A13" s="341"/>
      <c r="B13" s="343"/>
      <c r="C13" s="347"/>
      <c r="D13" s="182" t="s">
        <v>658</v>
      </c>
    </row>
    <row r="14" spans="1:4" ht="24.65" customHeight="1">
      <c r="A14" s="341"/>
      <c r="B14" s="343"/>
      <c r="C14" s="347"/>
      <c r="D14" s="182" t="s">
        <v>659</v>
      </c>
    </row>
    <row r="15" spans="1:4" ht="22.5" customHeight="1">
      <c r="A15" s="341"/>
      <c r="B15" s="343"/>
      <c r="C15" s="347"/>
      <c r="D15" s="182" t="s">
        <v>660</v>
      </c>
    </row>
    <row r="16" spans="1:4" ht="38.15" customHeight="1">
      <c r="A16" s="341"/>
      <c r="B16" s="343"/>
      <c r="C16" s="347"/>
      <c r="D16" s="182" t="s">
        <v>661</v>
      </c>
    </row>
    <row r="17" spans="1:4" ht="42.65" customHeight="1">
      <c r="A17" s="341"/>
      <c r="B17" s="343"/>
      <c r="C17" s="347"/>
      <c r="D17" s="181" t="s">
        <v>665</v>
      </c>
    </row>
    <row r="18" spans="1:4" ht="39.65" customHeight="1">
      <c r="A18" s="176">
        <v>3</v>
      </c>
      <c r="B18" s="178" t="s">
        <v>666</v>
      </c>
      <c r="C18" s="179">
        <v>46112</v>
      </c>
      <c r="D18" s="60" t="s">
        <v>667</v>
      </c>
    </row>
    <row r="19" spans="1:4">
      <c r="A19" s="66"/>
    </row>
    <row r="20" spans="1:4">
      <c r="A20" s="66"/>
    </row>
  </sheetData>
  <mergeCells count="6">
    <mergeCell ref="A4:A10"/>
    <mergeCell ref="B4:B10"/>
    <mergeCell ref="C4:C10"/>
    <mergeCell ref="A11:A17"/>
    <mergeCell ref="B11:B17"/>
    <mergeCell ref="C11:C1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C3E97-CA99-4307-BA9C-875571A6F722}">
  <sheetPr>
    <tabColor rgb="FF00B0F0"/>
  </sheetPr>
  <dimension ref="A1"/>
  <sheetViews>
    <sheetView workbookViewId="0">
      <selection activeCell="H12" sqref="H12"/>
    </sheetView>
  </sheetViews>
  <sheetFormatPr defaultRowHeight="13.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A26E-0298-40E5-86EC-7B6F357686BA}">
  <sheetPr>
    <tabColor rgb="FF00B0F0"/>
    <pageSetUpPr autoPageBreaks="0"/>
  </sheetPr>
  <dimension ref="A1:X79"/>
  <sheetViews>
    <sheetView topLeftCell="A4" workbookViewId="0"/>
  </sheetViews>
  <sheetFormatPr defaultColWidth="9.23046875" defaultRowHeight="10.5"/>
  <cols>
    <col min="1" max="1" width="1.4609375" style="57" customWidth="1"/>
    <col min="2" max="9" width="11.765625" style="57" customWidth="1"/>
    <col min="10" max="10" width="11.765625" style="229" customWidth="1"/>
    <col min="11" max="11" width="12.4609375" style="229" customWidth="1"/>
    <col min="12" max="12" width="1.765625" style="57" customWidth="1"/>
    <col min="13" max="18" width="11.765625" style="57" customWidth="1"/>
    <col min="19" max="19" width="1.765625" style="57" customWidth="1"/>
    <col min="20" max="24" width="11.765625" style="57" customWidth="1"/>
    <col min="25" max="25" width="19.84375" style="57" customWidth="1"/>
    <col min="26" max="16384" width="9.23046875" style="57"/>
  </cols>
  <sheetData>
    <row r="1" spans="1:23">
      <c r="A1" s="226" t="s">
        <v>674</v>
      </c>
    </row>
    <row r="3" spans="1:23">
      <c r="B3" s="226" t="s">
        <v>675</v>
      </c>
      <c r="M3" s="226" t="s">
        <v>676</v>
      </c>
      <c r="T3" s="226" t="s">
        <v>677</v>
      </c>
    </row>
    <row r="4" spans="1:23" ht="11" thickBot="1"/>
    <row r="5" spans="1:23" ht="11" thickBot="1">
      <c r="E5" s="255" t="s">
        <v>678</v>
      </c>
      <c r="F5" s="255"/>
      <c r="G5" s="255"/>
      <c r="H5" s="255"/>
      <c r="I5" s="255"/>
      <c r="N5" s="256" t="s">
        <v>679</v>
      </c>
      <c r="O5" s="236" t="s">
        <v>680</v>
      </c>
      <c r="V5" s="348" t="s">
        <v>681</v>
      </c>
      <c r="W5" s="348"/>
    </row>
    <row r="6" spans="1:23" ht="21">
      <c r="E6" s="261">
        <v>2022</v>
      </c>
      <c r="F6" s="262">
        <v>2023</v>
      </c>
      <c r="G6" s="262">
        <v>2024</v>
      </c>
      <c r="H6" s="262">
        <v>2025</v>
      </c>
      <c r="I6" s="263">
        <v>2026</v>
      </c>
      <c r="J6" s="237" t="s">
        <v>682</v>
      </c>
      <c r="K6" s="237" t="s">
        <v>683</v>
      </c>
      <c r="M6" s="57" t="s">
        <v>684</v>
      </c>
      <c r="N6" s="238" t="s">
        <v>685</v>
      </c>
      <c r="O6" s="239" t="s">
        <v>686</v>
      </c>
      <c r="P6" s="240" t="s">
        <v>687</v>
      </c>
      <c r="Q6" s="241" t="s">
        <v>688</v>
      </c>
      <c r="R6" s="156" t="s">
        <v>689</v>
      </c>
      <c r="T6" s="244" t="s">
        <v>259</v>
      </c>
      <c r="U6" s="244" t="s">
        <v>233</v>
      </c>
      <c r="V6" s="244" t="s">
        <v>625</v>
      </c>
      <c r="W6" s="250" t="s">
        <v>690</v>
      </c>
    </row>
    <row r="7" spans="1:23">
      <c r="B7" s="246" t="s">
        <v>77</v>
      </c>
      <c r="C7" s="145" t="s">
        <v>691</v>
      </c>
      <c r="D7" s="145" t="s">
        <v>692</v>
      </c>
      <c r="E7" s="228">
        <v>280.27297991292068</v>
      </c>
      <c r="F7" s="228">
        <v>281.70303617732458</v>
      </c>
      <c r="G7" s="228">
        <v>283.7799010288453</v>
      </c>
      <c r="H7" s="228">
        <v>231.95388716715021</v>
      </c>
      <c r="I7" s="228">
        <v>227.18771140344165</v>
      </c>
      <c r="J7" s="230"/>
      <c r="K7" s="231"/>
      <c r="M7" s="171" t="s">
        <v>77</v>
      </c>
      <c r="N7" s="227">
        <f>J15</f>
        <v>12.752973745104271</v>
      </c>
      <c r="O7" s="227">
        <f>(59.14*0.797633431285179)</f>
        <v>47.172041126205492</v>
      </c>
      <c r="P7" s="227">
        <f t="shared" ref="P7:P14" si="0">SUM(N7:O7)</f>
        <v>59.925014871309763</v>
      </c>
      <c r="Q7" s="235"/>
      <c r="R7" s="259">
        <f t="shared" ref="R7:R14" si="1">(N7/P7)</f>
        <v>0.21281552908232984</v>
      </c>
      <c r="T7" s="171" t="s">
        <v>73</v>
      </c>
      <c r="U7" s="171" t="s">
        <v>77</v>
      </c>
      <c r="V7" s="228">
        <f>AVERAGE(E15:I15)</f>
        <v>566.23856078642109</v>
      </c>
      <c r="W7" s="227">
        <f t="shared" ref="W7:W14" si="2">(P7/V7)*1000000</f>
        <v>105829.97877799568</v>
      </c>
    </row>
    <row r="8" spans="1:23">
      <c r="B8" s="247"/>
      <c r="C8" s="145"/>
      <c r="D8" s="145" t="s">
        <v>693</v>
      </c>
      <c r="E8" s="228">
        <v>261.54182812624867</v>
      </c>
      <c r="F8" s="228">
        <v>277.78217430517435</v>
      </c>
      <c r="G8" s="228">
        <v>251.25750701074577</v>
      </c>
      <c r="H8" s="228">
        <v>302.62823097096754</v>
      </c>
      <c r="I8" s="228">
        <v>313.22493688926414</v>
      </c>
      <c r="J8" s="232"/>
      <c r="K8" s="233"/>
      <c r="M8" s="171" t="s">
        <v>79</v>
      </c>
      <c r="N8" s="227">
        <f>J24</f>
        <v>4.8701806055233163</v>
      </c>
      <c r="O8" s="227">
        <f>(17.97*0.797633431285179)</f>
        <v>14.333472760194667</v>
      </c>
      <c r="P8" s="227">
        <f t="shared" si="0"/>
        <v>19.203653365717983</v>
      </c>
      <c r="Q8" s="229"/>
      <c r="R8" s="259">
        <f t="shared" si="1"/>
        <v>0.25360698366996537</v>
      </c>
      <c r="T8" s="171" t="s">
        <v>73</v>
      </c>
      <c r="U8" s="171" t="s">
        <v>79</v>
      </c>
      <c r="V8" s="228">
        <f>AVERAGE(E24:I24)</f>
        <v>493.77875643797995</v>
      </c>
      <c r="W8" s="227">
        <f t="shared" si="2"/>
        <v>38891.210112499073</v>
      </c>
    </row>
    <row r="9" spans="1:23">
      <c r="B9" s="247"/>
      <c r="C9" s="145" t="s">
        <v>694</v>
      </c>
      <c r="D9" s="145" t="s">
        <v>692</v>
      </c>
      <c r="E9" s="228">
        <v>0</v>
      </c>
      <c r="F9" s="228">
        <v>0</v>
      </c>
      <c r="G9" s="228">
        <v>0</v>
      </c>
      <c r="H9" s="228">
        <v>0</v>
      </c>
      <c r="I9" s="228">
        <v>0</v>
      </c>
      <c r="J9" s="232"/>
      <c r="K9" s="233"/>
      <c r="M9" s="171" t="s">
        <v>81</v>
      </c>
      <c r="N9" s="227">
        <f>J33</f>
        <v>7.9781843457841379</v>
      </c>
      <c r="O9" s="227">
        <f>(35.81*0.797633431285179)</f>
        <v>28.563253174322263</v>
      </c>
      <c r="P9" s="227">
        <f t="shared" si="0"/>
        <v>36.541437520106399</v>
      </c>
      <c r="Q9" s="229"/>
      <c r="R9" s="259">
        <f t="shared" si="1"/>
        <v>0.21833252568113273</v>
      </c>
      <c r="T9" s="171" t="s">
        <v>73</v>
      </c>
      <c r="U9" s="171" t="s">
        <v>81</v>
      </c>
      <c r="V9" s="228">
        <f>AVERAGE(E33:I33)</f>
        <v>472.758283266494</v>
      </c>
      <c r="W9" s="227">
        <f t="shared" si="2"/>
        <v>77294.124319992043</v>
      </c>
    </row>
    <row r="10" spans="1:23">
      <c r="B10" s="247"/>
      <c r="C10" s="145"/>
      <c r="D10" s="145" t="s">
        <v>693</v>
      </c>
      <c r="E10" s="228">
        <v>0</v>
      </c>
      <c r="F10" s="228">
        <v>0</v>
      </c>
      <c r="G10" s="228">
        <v>0</v>
      </c>
      <c r="H10" s="228">
        <v>0</v>
      </c>
      <c r="I10" s="228">
        <v>0</v>
      </c>
      <c r="J10" s="232"/>
      <c r="K10" s="233"/>
      <c r="M10" s="171" t="s">
        <v>83</v>
      </c>
      <c r="N10" s="227">
        <f>J42</f>
        <v>3.9925069648128519</v>
      </c>
      <c r="O10" s="227">
        <f>(15.06*0.797633431285179)</f>
        <v>12.012359475154797</v>
      </c>
      <c r="P10" s="227">
        <f t="shared" si="0"/>
        <v>16.00486643996765</v>
      </c>
      <c r="Q10" s="257">
        <f>SUM(P7:P10)</f>
        <v>131.67497219710179</v>
      </c>
      <c r="R10" s="259">
        <f t="shared" si="1"/>
        <v>0.24945581269223774</v>
      </c>
      <c r="T10" s="171" t="s">
        <v>73</v>
      </c>
      <c r="U10" s="171" t="s">
        <v>83</v>
      </c>
      <c r="V10" s="228">
        <f>AVERAGE(E42:I42)</f>
        <v>271.66453330305274</v>
      </c>
      <c r="W10" s="227">
        <f t="shared" si="2"/>
        <v>58914.081442179187</v>
      </c>
    </row>
    <row r="11" spans="1:23">
      <c r="B11" s="247"/>
      <c r="C11" s="145" t="s">
        <v>695</v>
      </c>
      <c r="D11" s="145" t="s">
        <v>692</v>
      </c>
      <c r="E11" s="228">
        <v>3.0104839565707171</v>
      </c>
      <c r="F11" s="228">
        <v>7.1064908805438867</v>
      </c>
      <c r="G11" s="228">
        <v>0.24366167546866263</v>
      </c>
      <c r="H11" s="228">
        <v>0</v>
      </c>
      <c r="I11" s="228">
        <v>27</v>
      </c>
      <c r="J11" s="232"/>
      <c r="K11" s="233"/>
      <c r="M11" s="171" t="s">
        <v>86</v>
      </c>
      <c r="N11" s="227">
        <f>J51</f>
        <v>16.213999999999999</v>
      </c>
      <c r="O11" s="227">
        <f>(47.23*0.797633431285179)</f>
        <v>37.672226959599001</v>
      </c>
      <c r="P11" s="227">
        <f t="shared" si="0"/>
        <v>53.886226959599</v>
      </c>
      <c r="Q11" s="258">
        <f>P11</f>
        <v>53.886226959599</v>
      </c>
      <c r="R11" s="259">
        <f t="shared" si="1"/>
        <v>0.30089321362500265</v>
      </c>
      <c r="T11" s="171" t="s">
        <v>86</v>
      </c>
      <c r="U11" s="171" t="s">
        <v>86</v>
      </c>
      <c r="V11" s="228">
        <f>AVERAGE(E51:I51)</f>
        <v>542.06634202012685</v>
      </c>
      <c r="W11" s="227">
        <f t="shared" si="2"/>
        <v>99408.915076299294</v>
      </c>
    </row>
    <row r="12" spans="1:23">
      <c r="B12" s="247"/>
      <c r="C12" s="145"/>
      <c r="D12" s="145" t="s">
        <v>693</v>
      </c>
      <c r="E12" s="228">
        <v>2.3434153162100246</v>
      </c>
      <c r="F12" s="228">
        <v>4.499564736950699</v>
      </c>
      <c r="G12" s="228">
        <v>12.405842125372207</v>
      </c>
      <c r="H12" s="228">
        <v>21.26387280662717</v>
      </c>
      <c r="I12" s="228">
        <v>41.987279442278982</v>
      </c>
      <c r="J12" s="232"/>
      <c r="K12" s="233"/>
      <c r="M12" s="171" t="s">
        <v>90</v>
      </c>
      <c r="N12" s="227">
        <f>J60</f>
        <v>19.936</v>
      </c>
      <c r="O12" s="227">
        <f>(49.4*0.797633431285179)</f>
        <v>39.403091505487843</v>
      </c>
      <c r="P12" s="227">
        <f t="shared" si="0"/>
        <v>59.339091505487843</v>
      </c>
      <c r="Q12" s="229"/>
      <c r="R12" s="259">
        <f t="shared" si="1"/>
        <v>0.33596739508821538</v>
      </c>
      <c r="T12" s="171" t="s">
        <v>353</v>
      </c>
      <c r="U12" s="171" t="s">
        <v>90</v>
      </c>
      <c r="V12" s="228">
        <f>AVERAGE(E60:I60)</f>
        <v>451.98595756187098</v>
      </c>
      <c r="W12" s="227">
        <f t="shared" si="2"/>
        <v>131285.2545808685</v>
      </c>
    </row>
    <row r="13" spans="1:23">
      <c r="B13" s="247"/>
      <c r="C13" s="145" t="s">
        <v>696</v>
      </c>
      <c r="D13" s="145" t="s">
        <v>692</v>
      </c>
      <c r="E13" s="228">
        <v>0</v>
      </c>
      <c r="F13" s="228">
        <v>0</v>
      </c>
      <c r="G13" s="228">
        <v>0</v>
      </c>
      <c r="H13" s="228">
        <v>0</v>
      </c>
      <c r="I13" s="228">
        <v>0</v>
      </c>
      <c r="J13" s="232"/>
      <c r="K13" s="233"/>
      <c r="M13" s="171" t="s">
        <v>92</v>
      </c>
      <c r="N13" s="227">
        <f>J69</f>
        <v>30.724</v>
      </c>
      <c r="O13" s="227">
        <f>(74.4*0.797633431285179)</f>
        <v>59.343927287617326</v>
      </c>
      <c r="P13" s="227">
        <f t="shared" si="0"/>
        <v>90.067927287617323</v>
      </c>
      <c r="Q13" s="257">
        <f>SUM(P12:P13)</f>
        <v>149.40701879310518</v>
      </c>
      <c r="R13" s="259">
        <f t="shared" si="1"/>
        <v>0.34112031802272841</v>
      </c>
      <c r="T13" s="171" t="s">
        <v>353</v>
      </c>
      <c r="U13" s="171" t="s">
        <v>92</v>
      </c>
      <c r="V13" s="228">
        <f>AVERAGE(E69:I69)</f>
        <v>878.25206108046166</v>
      </c>
      <c r="W13" s="227">
        <f t="shared" si="2"/>
        <v>102553.61903371121</v>
      </c>
    </row>
    <row r="14" spans="1:23">
      <c r="B14" s="247"/>
      <c r="C14" s="145"/>
      <c r="D14" s="145" t="s">
        <v>693</v>
      </c>
      <c r="E14" s="228">
        <v>0</v>
      </c>
      <c r="F14" s="228">
        <v>0</v>
      </c>
      <c r="G14" s="228">
        <v>0</v>
      </c>
      <c r="H14" s="228">
        <v>0</v>
      </c>
      <c r="I14" s="228">
        <v>0</v>
      </c>
      <c r="J14" s="232"/>
      <c r="K14" s="233"/>
      <c r="M14" s="171" t="s">
        <v>96</v>
      </c>
      <c r="N14" s="227">
        <f>J78</f>
        <v>25.752842224627276</v>
      </c>
      <c r="O14" s="227">
        <v>0</v>
      </c>
      <c r="P14" s="227">
        <f t="shared" si="0"/>
        <v>25.752842224627276</v>
      </c>
      <c r="Q14" s="257">
        <f>P14</f>
        <v>25.752842224627276</v>
      </c>
      <c r="R14" s="259">
        <f t="shared" si="1"/>
        <v>1</v>
      </c>
      <c r="T14" s="171" t="s">
        <v>96</v>
      </c>
      <c r="U14" s="171" t="s">
        <v>96</v>
      </c>
      <c r="V14" s="228">
        <f>AVERAGE(E78:I78)</f>
        <v>366.38962578955329</v>
      </c>
      <c r="W14" s="227">
        <f t="shared" si="2"/>
        <v>70288.131573406456</v>
      </c>
    </row>
    <row r="15" spans="1:23">
      <c r="B15" s="247"/>
      <c r="C15" s="149"/>
      <c r="D15" s="156" t="s">
        <v>697</v>
      </c>
      <c r="E15" s="269">
        <f>SUM(E7:E14)</f>
        <v>547.16870731195002</v>
      </c>
      <c r="F15" s="269">
        <f>SUM(F7:F14)</f>
        <v>571.0912660999935</v>
      </c>
      <c r="G15" s="269">
        <f>SUM(G7:G14)</f>
        <v>547.686911840432</v>
      </c>
      <c r="H15" s="269">
        <f>SUM(H7:H14)</f>
        <v>555.84599094474493</v>
      </c>
      <c r="I15" s="269">
        <f>SUM(I7:I14)</f>
        <v>609.39992773498489</v>
      </c>
      <c r="J15" s="270">
        <v>12.752973745104271</v>
      </c>
      <c r="K15" s="271">
        <f>(J15*1000000)</f>
        <v>12752973.74510427</v>
      </c>
      <c r="W15" s="229"/>
    </row>
    <row r="16" spans="1:23">
      <c r="B16" s="246" t="s">
        <v>79</v>
      </c>
      <c r="C16" s="145" t="s">
        <v>691</v>
      </c>
      <c r="D16" s="145" t="s">
        <v>692</v>
      </c>
      <c r="E16" s="228">
        <v>198.85413742992174</v>
      </c>
      <c r="F16" s="228">
        <v>202.86412348645067</v>
      </c>
      <c r="G16" s="228">
        <v>189.84691609686479</v>
      </c>
      <c r="H16" s="228">
        <v>189.92974163381194</v>
      </c>
      <c r="I16" s="228">
        <v>187.32796435115699</v>
      </c>
      <c r="J16" s="231"/>
      <c r="K16" s="231"/>
      <c r="M16" s="171" t="s">
        <v>698</v>
      </c>
      <c r="N16" s="144">
        <v>0.79763343128517905</v>
      </c>
      <c r="U16" s="240" t="s">
        <v>699</v>
      </c>
      <c r="V16" s="243"/>
      <c r="W16" s="234">
        <f>QUARTILE(W7:W14,1)</f>
        <v>67444.619040599646</v>
      </c>
    </row>
    <row r="17" spans="2:24">
      <c r="B17" s="247"/>
      <c r="C17" s="145"/>
      <c r="D17" s="145" t="s">
        <v>693</v>
      </c>
      <c r="E17" s="228">
        <v>232.20027797453034</v>
      </c>
      <c r="F17" s="228">
        <v>248.18698643476381</v>
      </c>
      <c r="G17" s="228">
        <v>225.78134133035761</v>
      </c>
      <c r="H17" s="228">
        <v>211.74473510798978</v>
      </c>
      <c r="I17" s="228">
        <v>210.38612282544526</v>
      </c>
      <c r="J17" s="233"/>
      <c r="K17" s="233"/>
    </row>
    <row r="18" spans="2:24" ht="11" thickBot="1">
      <c r="B18" s="247"/>
      <c r="C18" s="145" t="s">
        <v>694</v>
      </c>
      <c r="D18" s="145" t="s">
        <v>692</v>
      </c>
      <c r="E18" s="228">
        <v>0</v>
      </c>
      <c r="F18" s="228">
        <v>0</v>
      </c>
      <c r="G18" s="228">
        <v>0</v>
      </c>
      <c r="H18" s="228">
        <v>0</v>
      </c>
      <c r="I18" s="228">
        <v>0</v>
      </c>
      <c r="J18" s="233"/>
      <c r="K18" s="233"/>
    </row>
    <row r="19" spans="2:24" ht="11" thickBot="1">
      <c r="B19" s="247"/>
      <c r="C19" s="145"/>
      <c r="D19" s="145" t="s">
        <v>693</v>
      </c>
      <c r="E19" s="228">
        <v>0</v>
      </c>
      <c r="F19" s="228">
        <v>0</v>
      </c>
      <c r="G19" s="228">
        <v>0</v>
      </c>
      <c r="H19" s="228">
        <v>0</v>
      </c>
      <c r="I19" s="228">
        <v>0</v>
      </c>
      <c r="J19" s="233"/>
      <c r="K19" s="233"/>
      <c r="U19" s="348" t="s">
        <v>700</v>
      </c>
      <c r="V19" s="348"/>
      <c r="W19" s="348"/>
    </row>
    <row r="20" spans="2:24" ht="21">
      <c r="B20" s="247"/>
      <c r="C20" s="145" t="s">
        <v>695</v>
      </c>
      <c r="D20" s="145" t="s">
        <v>692</v>
      </c>
      <c r="E20" s="228">
        <v>8.4051124267179311</v>
      </c>
      <c r="F20" s="228">
        <v>24.305564736215043</v>
      </c>
      <c r="G20" s="228">
        <v>20.528417206495735</v>
      </c>
      <c r="H20" s="228">
        <v>16.477922790148067</v>
      </c>
      <c r="I20" s="228">
        <v>16.477922790148067</v>
      </c>
      <c r="J20" s="233"/>
      <c r="K20" s="233"/>
      <c r="T20" s="244" t="s">
        <v>233</v>
      </c>
      <c r="U20" s="244" t="s">
        <v>625</v>
      </c>
      <c r="V20" s="244" t="s">
        <v>701</v>
      </c>
      <c r="W20" s="245" t="s">
        <v>627</v>
      </c>
      <c r="X20" s="242" t="s">
        <v>628</v>
      </c>
    </row>
    <row r="21" spans="2:24">
      <c r="B21" s="247"/>
      <c r="C21" s="145"/>
      <c r="D21" s="145" t="s">
        <v>693</v>
      </c>
      <c r="E21" s="228">
        <v>16.878894383989206</v>
      </c>
      <c r="F21" s="228">
        <v>47.559051831078364</v>
      </c>
      <c r="G21" s="228">
        <v>61.228263376003</v>
      </c>
      <c r="H21" s="228">
        <v>71.955142988905834</v>
      </c>
      <c r="I21" s="228">
        <v>87.955142988905834</v>
      </c>
      <c r="J21" s="233"/>
      <c r="K21" s="233"/>
      <c r="T21" s="171" t="s">
        <v>77</v>
      </c>
      <c r="U21" s="260">
        <f t="shared" ref="U21:U28" si="3">V7</f>
        <v>566.23856078642109</v>
      </c>
      <c r="V21" s="227">
        <f t="shared" ref="V21:V28" si="4">$W$16*10^-6</f>
        <v>6.7444619040599646E-2</v>
      </c>
      <c r="W21" s="227">
        <f t="shared" ref="W21:W28" si="5">(U21*V21)</f>
        <v>38.189744018337599</v>
      </c>
      <c r="X21" s="227">
        <f t="shared" ref="X21:X28" si="6">ROUND(W21*R7,3)</f>
        <v>8.1270000000000007</v>
      </c>
    </row>
    <row r="22" spans="2:24">
      <c r="B22" s="247"/>
      <c r="C22" s="145" t="s">
        <v>696</v>
      </c>
      <c r="D22" s="145" t="s">
        <v>692</v>
      </c>
      <c r="E22" s="228">
        <v>0</v>
      </c>
      <c r="F22" s="228">
        <v>0</v>
      </c>
      <c r="G22" s="228">
        <v>0</v>
      </c>
      <c r="H22" s="228">
        <v>0</v>
      </c>
      <c r="I22" s="228">
        <v>0</v>
      </c>
      <c r="J22" s="233"/>
      <c r="K22" s="233"/>
      <c r="T22" s="171" t="s">
        <v>79</v>
      </c>
      <c r="U22" s="260">
        <f t="shared" si="3"/>
        <v>493.77875643797995</v>
      </c>
      <c r="V22" s="227">
        <f t="shared" si="4"/>
        <v>6.7444619040599646E-2</v>
      </c>
      <c r="W22" s="227">
        <f t="shared" si="5"/>
        <v>33.302720118300599</v>
      </c>
      <c r="X22" s="227">
        <f t="shared" si="6"/>
        <v>8.4459999999999997</v>
      </c>
    </row>
    <row r="23" spans="2:24">
      <c r="B23" s="247"/>
      <c r="C23" s="145"/>
      <c r="D23" s="145" t="s">
        <v>693</v>
      </c>
      <c r="E23" s="228">
        <v>0</v>
      </c>
      <c r="F23" s="228">
        <v>0</v>
      </c>
      <c r="G23" s="228">
        <v>0</v>
      </c>
      <c r="H23" s="228">
        <v>0</v>
      </c>
      <c r="I23" s="228">
        <v>0</v>
      </c>
      <c r="J23" s="233"/>
      <c r="K23" s="233"/>
      <c r="T23" s="171" t="s">
        <v>81</v>
      </c>
      <c r="U23" s="260">
        <f t="shared" si="3"/>
        <v>472.758283266494</v>
      </c>
      <c r="V23" s="227">
        <f t="shared" si="4"/>
        <v>6.7444619040599646E-2</v>
      </c>
      <c r="W23" s="227">
        <f t="shared" si="5"/>
        <v>31.885002313196583</v>
      </c>
      <c r="X23" s="227">
        <f t="shared" si="6"/>
        <v>6.9619999999999997</v>
      </c>
    </row>
    <row r="24" spans="2:24">
      <c r="B24" s="247"/>
      <c r="C24" s="149"/>
      <c r="D24" s="156" t="s">
        <v>697</v>
      </c>
      <c r="E24" s="269">
        <f>SUM(E16:E23)</f>
        <v>456.3384222151592</v>
      </c>
      <c r="F24" s="269">
        <f>SUM(F16:F23)</f>
        <v>522.91572648850786</v>
      </c>
      <c r="G24" s="269">
        <f>SUM(G16:G23)</f>
        <v>497.38493800972111</v>
      </c>
      <c r="H24" s="269">
        <f>SUM(H16:H23)</f>
        <v>490.10754252085565</v>
      </c>
      <c r="I24" s="269">
        <f>SUM(I16:I23)</f>
        <v>502.14715295565611</v>
      </c>
      <c r="J24" s="271">
        <v>4.8701806055233163</v>
      </c>
      <c r="K24" s="271">
        <f>(J24*1000000)</f>
        <v>4870180.6055233162</v>
      </c>
      <c r="T24" s="171" t="s">
        <v>83</v>
      </c>
      <c r="U24" s="260">
        <f t="shared" si="3"/>
        <v>271.66453330305274</v>
      </c>
      <c r="V24" s="227">
        <f t="shared" si="4"/>
        <v>6.7444619040599646E-2</v>
      </c>
      <c r="W24" s="227">
        <f t="shared" si="5"/>
        <v>18.322310955466687</v>
      </c>
      <c r="X24" s="227">
        <f t="shared" si="6"/>
        <v>4.5709999999999997</v>
      </c>
    </row>
    <row r="25" spans="2:24">
      <c r="B25" s="246" t="s">
        <v>81</v>
      </c>
      <c r="C25" s="145" t="s">
        <v>691</v>
      </c>
      <c r="D25" s="145" t="s">
        <v>692</v>
      </c>
      <c r="E25" s="228">
        <v>183.06270642233167</v>
      </c>
      <c r="F25" s="228">
        <v>209.9199253779891</v>
      </c>
      <c r="G25" s="228">
        <v>212.68804403386639</v>
      </c>
      <c r="H25" s="228">
        <v>202.96807839283781</v>
      </c>
      <c r="I25" s="228">
        <v>200.29744578240573</v>
      </c>
      <c r="J25" s="231"/>
      <c r="K25" s="231"/>
      <c r="T25" s="171" t="s">
        <v>86</v>
      </c>
      <c r="U25" s="260">
        <f t="shared" si="3"/>
        <v>542.06634202012685</v>
      </c>
      <c r="V25" s="227">
        <f t="shared" si="4"/>
        <v>6.7444619040599646E-2</v>
      </c>
      <c r="W25" s="227">
        <f t="shared" si="5"/>
        <v>36.559457932278846</v>
      </c>
      <c r="X25" s="227">
        <f t="shared" si="6"/>
        <v>11</v>
      </c>
    </row>
    <row r="26" spans="2:24">
      <c r="B26" s="247"/>
      <c r="C26" s="145"/>
      <c r="D26" s="145" t="s">
        <v>693</v>
      </c>
      <c r="E26" s="228">
        <v>242.44824619607886</v>
      </c>
      <c r="F26" s="228">
        <v>260.02701564072254</v>
      </c>
      <c r="G26" s="228">
        <v>252.73152236282252</v>
      </c>
      <c r="H26" s="228">
        <v>258.25065652337639</v>
      </c>
      <c r="I26" s="228">
        <v>255.18536683170424</v>
      </c>
      <c r="J26" s="233"/>
      <c r="K26" s="233"/>
      <c r="T26" s="171" t="s">
        <v>90</v>
      </c>
      <c r="U26" s="260">
        <f t="shared" si="3"/>
        <v>451.98595756187098</v>
      </c>
      <c r="V26" s="227">
        <f t="shared" si="4"/>
        <v>6.7444619040599646E-2</v>
      </c>
      <c r="W26" s="227">
        <f t="shared" si="5"/>
        <v>30.484020719461025</v>
      </c>
      <c r="X26" s="227">
        <f t="shared" si="6"/>
        <v>10.242000000000001</v>
      </c>
    </row>
    <row r="27" spans="2:24">
      <c r="B27" s="247"/>
      <c r="C27" s="145" t="s">
        <v>694</v>
      </c>
      <c r="D27" s="145" t="s">
        <v>692</v>
      </c>
      <c r="E27" s="228">
        <v>0</v>
      </c>
      <c r="F27" s="228">
        <v>0</v>
      </c>
      <c r="G27" s="228">
        <v>0</v>
      </c>
      <c r="H27" s="228">
        <v>0</v>
      </c>
      <c r="I27" s="228">
        <v>0</v>
      </c>
      <c r="J27" s="233"/>
      <c r="K27" s="233"/>
      <c r="T27" s="171" t="s">
        <v>92</v>
      </c>
      <c r="U27" s="260">
        <f t="shared" si="3"/>
        <v>878.25206108046166</v>
      </c>
      <c r="V27" s="227">
        <f t="shared" si="4"/>
        <v>6.7444619040599646E-2</v>
      </c>
      <c r="W27" s="227">
        <f t="shared" si="5"/>
        <v>59.233375681193188</v>
      </c>
      <c r="X27" s="227">
        <f t="shared" si="6"/>
        <v>20.206</v>
      </c>
    </row>
    <row r="28" spans="2:24">
      <c r="B28" s="247"/>
      <c r="C28" s="145"/>
      <c r="D28" s="145" t="s">
        <v>693</v>
      </c>
      <c r="E28" s="228">
        <v>0</v>
      </c>
      <c r="F28" s="228">
        <v>0</v>
      </c>
      <c r="G28" s="228">
        <v>0</v>
      </c>
      <c r="H28" s="228">
        <v>0</v>
      </c>
      <c r="I28" s="228">
        <v>0</v>
      </c>
      <c r="J28" s="233"/>
      <c r="K28" s="233"/>
      <c r="T28" s="171" t="s">
        <v>96</v>
      </c>
      <c r="U28" s="260">
        <f t="shared" si="3"/>
        <v>366.38962578955329</v>
      </c>
      <c r="V28" s="227">
        <f t="shared" si="4"/>
        <v>6.7444619040599646E-2</v>
      </c>
      <c r="W28" s="227">
        <f t="shared" si="5"/>
        <v>24.711008731804284</v>
      </c>
      <c r="X28" s="227">
        <f t="shared" si="6"/>
        <v>24.710999999999999</v>
      </c>
    </row>
    <row r="29" spans="2:24">
      <c r="B29" s="247"/>
      <c r="C29" s="145" t="s">
        <v>695</v>
      </c>
      <c r="D29" s="145" t="s">
        <v>692</v>
      </c>
      <c r="E29" s="228">
        <v>0.58987081484375059</v>
      </c>
      <c r="F29" s="228">
        <v>0</v>
      </c>
      <c r="G29" s="228">
        <v>7.2834884262973532</v>
      </c>
      <c r="H29" s="228">
        <v>4.4510543507201277</v>
      </c>
      <c r="I29" s="228">
        <v>21.451054350720128</v>
      </c>
      <c r="J29" s="233"/>
      <c r="K29" s="233"/>
    </row>
    <row r="30" spans="2:24" ht="11" thickBot="1">
      <c r="B30" s="247"/>
      <c r="C30" s="145"/>
      <c r="D30" s="145" t="s">
        <v>693</v>
      </c>
      <c r="E30" s="228">
        <v>0.21918471176867457</v>
      </c>
      <c r="F30" s="228">
        <v>11.252814746490124</v>
      </c>
      <c r="G30" s="228">
        <v>8.2364274466418497</v>
      </c>
      <c r="H30" s="228">
        <v>5.3642569604262151</v>
      </c>
      <c r="I30" s="228">
        <v>27.364256960426214</v>
      </c>
      <c r="J30" s="233"/>
      <c r="K30" s="233"/>
      <c r="T30" s="226" t="s">
        <v>702</v>
      </c>
    </row>
    <row r="31" spans="2:24" ht="31.5">
      <c r="B31" s="247"/>
      <c r="C31" s="145" t="s">
        <v>696</v>
      </c>
      <c r="D31" s="145" t="s">
        <v>692</v>
      </c>
      <c r="E31" s="228">
        <v>0</v>
      </c>
      <c r="F31" s="228">
        <v>0</v>
      </c>
      <c r="G31" s="228">
        <v>0</v>
      </c>
      <c r="H31" s="228">
        <v>0</v>
      </c>
      <c r="I31" s="228">
        <v>0</v>
      </c>
      <c r="J31" s="233"/>
      <c r="K31" s="233"/>
      <c r="T31" s="249" t="s">
        <v>232</v>
      </c>
      <c r="U31" s="250" t="s">
        <v>703</v>
      </c>
    </row>
    <row r="32" spans="2:24">
      <c r="B32" s="247"/>
      <c r="C32" s="145"/>
      <c r="D32" s="145" t="s">
        <v>693</v>
      </c>
      <c r="E32" s="228">
        <v>0</v>
      </c>
      <c r="F32" s="228">
        <v>0</v>
      </c>
      <c r="G32" s="228">
        <v>0</v>
      </c>
      <c r="H32" s="228">
        <v>0</v>
      </c>
      <c r="I32" s="228">
        <v>0</v>
      </c>
      <c r="J32" s="233"/>
      <c r="K32" s="233"/>
      <c r="T32" s="171" t="s">
        <v>73</v>
      </c>
      <c r="U32" s="227">
        <f>SUM(X21:X24)</f>
        <v>28.106000000000002</v>
      </c>
    </row>
    <row r="33" spans="2:21">
      <c r="B33" s="247"/>
      <c r="C33" s="149"/>
      <c r="D33" s="156" t="s">
        <v>697</v>
      </c>
      <c r="E33" s="269">
        <f>SUM(E25:E32)</f>
        <v>426.320008145023</v>
      </c>
      <c r="F33" s="269">
        <f>SUM(F25:F32)</f>
        <v>481.19975576520176</v>
      </c>
      <c r="G33" s="269">
        <f>SUM(G25:G32)</f>
        <v>480.93948226962812</v>
      </c>
      <c r="H33" s="269">
        <f>SUM(H25:H32)</f>
        <v>471.03404622736053</v>
      </c>
      <c r="I33" s="269">
        <f>SUM(I25:I32)</f>
        <v>504.29812392525633</v>
      </c>
      <c r="J33" s="271">
        <v>7.9781843457841379</v>
      </c>
      <c r="K33" s="271">
        <f>(J33*1000000)</f>
        <v>7978184.345784138</v>
      </c>
      <c r="T33" s="171" t="s">
        <v>86</v>
      </c>
      <c r="U33" s="227">
        <f>X25</f>
        <v>11</v>
      </c>
    </row>
    <row r="34" spans="2:21">
      <c r="B34" s="246" t="s">
        <v>83</v>
      </c>
      <c r="C34" s="145" t="s">
        <v>691</v>
      </c>
      <c r="D34" s="145" t="s">
        <v>692</v>
      </c>
      <c r="E34" s="228">
        <v>122.66165066008858</v>
      </c>
      <c r="F34" s="228">
        <v>122.80085444859165</v>
      </c>
      <c r="G34" s="228">
        <v>127.41042255627939</v>
      </c>
      <c r="H34" s="228">
        <v>129.23828335998536</v>
      </c>
      <c r="I34" s="228">
        <v>126.63617027220043</v>
      </c>
      <c r="J34" s="231"/>
      <c r="K34" s="231"/>
      <c r="T34" s="171" t="s">
        <v>353</v>
      </c>
      <c r="U34" s="227">
        <f>SUM(X26:X27)</f>
        <v>30.448</v>
      </c>
    </row>
    <row r="35" spans="2:21">
      <c r="B35" s="247"/>
      <c r="C35" s="145"/>
      <c r="D35" s="145" t="s">
        <v>693</v>
      </c>
      <c r="E35" s="228">
        <v>146.61478538282716</v>
      </c>
      <c r="F35" s="228">
        <v>143.90612358773316</v>
      </c>
      <c r="G35" s="228">
        <v>130.24708808197795</v>
      </c>
      <c r="H35" s="228">
        <v>146.28594029297804</v>
      </c>
      <c r="I35" s="228">
        <v>145.52134787260186</v>
      </c>
      <c r="J35" s="233"/>
      <c r="K35" s="233"/>
      <c r="T35" s="171" t="s">
        <v>96</v>
      </c>
      <c r="U35" s="227">
        <f>X28</f>
        <v>24.710999999999999</v>
      </c>
    </row>
    <row r="36" spans="2:21">
      <c r="B36" s="247"/>
      <c r="C36" s="145" t="s">
        <v>694</v>
      </c>
      <c r="D36" s="145" t="s">
        <v>692</v>
      </c>
      <c r="E36" s="228">
        <v>0</v>
      </c>
      <c r="F36" s="228">
        <v>0</v>
      </c>
      <c r="G36" s="228">
        <v>0</v>
      </c>
      <c r="H36" s="228">
        <v>0</v>
      </c>
      <c r="I36" s="228">
        <v>0</v>
      </c>
      <c r="J36" s="233"/>
      <c r="K36" s="233"/>
    </row>
    <row r="37" spans="2:21">
      <c r="B37" s="247"/>
      <c r="C37" s="145"/>
      <c r="D37" s="145" t="s">
        <v>693</v>
      </c>
      <c r="E37" s="228">
        <v>0</v>
      </c>
      <c r="F37" s="228">
        <v>0</v>
      </c>
      <c r="G37" s="228">
        <v>0</v>
      </c>
      <c r="H37" s="228">
        <v>0</v>
      </c>
      <c r="I37" s="228">
        <v>0</v>
      </c>
      <c r="J37" s="233"/>
      <c r="K37" s="233"/>
    </row>
    <row r="38" spans="2:21">
      <c r="B38" s="247"/>
      <c r="C38" s="145" t="s">
        <v>695</v>
      </c>
      <c r="D38" s="145" t="s">
        <v>692</v>
      </c>
      <c r="E38" s="228">
        <v>0</v>
      </c>
      <c r="F38" s="228">
        <v>0</v>
      </c>
      <c r="G38" s="228">
        <v>0</v>
      </c>
      <c r="H38" s="228">
        <v>0</v>
      </c>
      <c r="I38" s="228">
        <v>9</v>
      </c>
      <c r="J38" s="233"/>
      <c r="K38" s="233"/>
    </row>
    <row r="39" spans="2:21">
      <c r="B39" s="247"/>
      <c r="C39" s="145"/>
      <c r="D39" s="145" t="s">
        <v>693</v>
      </c>
      <c r="E39" s="228">
        <v>0</v>
      </c>
      <c r="F39" s="228">
        <v>0</v>
      </c>
      <c r="G39" s="228">
        <v>0</v>
      </c>
      <c r="H39" s="228">
        <v>0</v>
      </c>
      <c r="I39" s="228">
        <v>8</v>
      </c>
      <c r="J39" s="233"/>
      <c r="K39" s="233"/>
    </row>
    <row r="40" spans="2:21">
      <c r="B40" s="247"/>
      <c r="C40" s="145" t="s">
        <v>696</v>
      </c>
      <c r="D40" s="145" t="s">
        <v>692</v>
      </c>
      <c r="E40" s="228">
        <v>0</v>
      </c>
      <c r="F40" s="228">
        <v>0</v>
      </c>
      <c r="G40" s="228">
        <v>0</v>
      </c>
      <c r="H40" s="228">
        <v>0</v>
      </c>
      <c r="I40" s="228">
        <v>0</v>
      </c>
      <c r="J40" s="233"/>
      <c r="K40" s="233"/>
    </row>
    <row r="41" spans="2:21">
      <c r="B41" s="247"/>
      <c r="C41" s="145"/>
      <c r="D41" s="145" t="s">
        <v>693</v>
      </c>
      <c r="E41" s="228">
        <v>0</v>
      </c>
      <c r="F41" s="228">
        <v>0</v>
      </c>
      <c r="G41" s="228">
        <v>0</v>
      </c>
      <c r="H41" s="228">
        <v>0</v>
      </c>
      <c r="I41" s="228">
        <v>0</v>
      </c>
      <c r="J41" s="233"/>
      <c r="K41" s="233"/>
    </row>
    <row r="42" spans="2:21">
      <c r="B42" s="247"/>
      <c r="C42" s="145"/>
      <c r="D42" s="171" t="s">
        <v>697</v>
      </c>
      <c r="E42" s="272">
        <f>SUM(E34:E41)</f>
        <v>269.27643604291575</v>
      </c>
      <c r="F42" s="272">
        <f>SUM(F34:F41)</f>
        <v>266.70697803632481</v>
      </c>
      <c r="G42" s="272">
        <f>SUM(G34:G41)</f>
        <v>257.65751063825735</v>
      </c>
      <c r="H42" s="272">
        <f>SUM(H34:H41)</f>
        <v>275.52422365296343</v>
      </c>
      <c r="I42" s="272">
        <f>SUM(I34:I41)</f>
        <v>289.15751814480228</v>
      </c>
      <c r="J42" s="271">
        <v>3.9925069648128519</v>
      </c>
      <c r="K42" s="271">
        <f>(J42*1000000)</f>
        <v>3992506.964812852</v>
      </c>
    </row>
    <row r="43" spans="2:21">
      <c r="B43" s="246" t="s">
        <v>86</v>
      </c>
      <c r="C43" s="145" t="s">
        <v>691</v>
      </c>
      <c r="D43" s="145" t="s">
        <v>692</v>
      </c>
      <c r="E43" s="228">
        <v>190</v>
      </c>
      <c r="F43" s="228">
        <v>205</v>
      </c>
      <c r="G43" s="228">
        <v>210</v>
      </c>
      <c r="H43" s="228">
        <v>201</v>
      </c>
      <c r="I43" s="228">
        <v>198</v>
      </c>
      <c r="J43" s="231"/>
      <c r="K43" s="231"/>
    </row>
    <row r="44" spans="2:21">
      <c r="B44" s="247"/>
      <c r="C44" s="145"/>
      <c r="D44" s="145" t="s">
        <v>693</v>
      </c>
      <c r="E44" s="228">
        <v>318</v>
      </c>
      <c r="F44" s="228">
        <v>307</v>
      </c>
      <c r="G44" s="228">
        <v>319</v>
      </c>
      <c r="H44" s="228">
        <v>312</v>
      </c>
      <c r="I44" s="228">
        <v>260</v>
      </c>
      <c r="J44" s="233"/>
      <c r="K44" s="233"/>
    </row>
    <row r="45" spans="2:21">
      <c r="B45" s="247"/>
      <c r="C45" s="145" t="s">
        <v>694</v>
      </c>
      <c r="D45" s="145" t="s">
        <v>692</v>
      </c>
      <c r="E45" s="228">
        <v>0</v>
      </c>
      <c r="F45" s="228">
        <v>0</v>
      </c>
      <c r="G45" s="228">
        <v>0</v>
      </c>
      <c r="H45" s="228">
        <v>0</v>
      </c>
      <c r="I45" s="228">
        <v>0</v>
      </c>
      <c r="J45" s="233"/>
      <c r="K45" s="233"/>
    </row>
    <row r="46" spans="2:21">
      <c r="B46" s="247"/>
      <c r="C46" s="145"/>
      <c r="D46" s="145" t="s">
        <v>693</v>
      </c>
      <c r="E46" s="228">
        <v>0</v>
      </c>
      <c r="F46" s="228">
        <v>0</v>
      </c>
      <c r="G46" s="228">
        <v>0</v>
      </c>
      <c r="H46" s="228">
        <v>0</v>
      </c>
      <c r="I46" s="228">
        <v>0</v>
      </c>
      <c r="J46" s="233"/>
      <c r="K46" s="233"/>
    </row>
    <row r="47" spans="2:21">
      <c r="B47" s="247"/>
      <c r="C47" s="145" t="s">
        <v>695</v>
      </c>
      <c r="D47" s="145" t="s">
        <v>692</v>
      </c>
      <c r="E47" s="228">
        <v>0</v>
      </c>
      <c r="F47" s="228">
        <v>0</v>
      </c>
      <c r="G47" s="228">
        <v>0</v>
      </c>
      <c r="H47" s="228">
        <v>0</v>
      </c>
      <c r="I47" s="228">
        <v>0</v>
      </c>
      <c r="J47" s="233"/>
      <c r="K47" s="233"/>
    </row>
    <row r="48" spans="2:21">
      <c r="B48" s="247"/>
      <c r="C48" s="145"/>
      <c r="D48" s="145" t="s">
        <v>693</v>
      </c>
      <c r="E48" s="228">
        <v>38.066342020126861</v>
      </c>
      <c r="F48" s="228">
        <v>38.066342020126861</v>
      </c>
      <c r="G48" s="228">
        <v>38.066342020126861</v>
      </c>
      <c r="H48" s="228">
        <v>38.066342020126861</v>
      </c>
      <c r="I48" s="228">
        <v>38.066342020126861</v>
      </c>
      <c r="J48" s="233"/>
      <c r="K48" s="233"/>
    </row>
    <row r="49" spans="2:11">
      <c r="B49" s="247"/>
      <c r="C49" s="145" t="s">
        <v>696</v>
      </c>
      <c r="D49" s="145" t="s">
        <v>692</v>
      </c>
      <c r="E49" s="228">
        <v>0</v>
      </c>
      <c r="F49" s="228">
        <v>0</v>
      </c>
      <c r="G49" s="228">
        <v>0</v>
      </c>
      <c r="H49" s="228">
        <v>0</v>
      </c>
      <c r="I49" s="228">
        <v>0</v>
      </c>
      <c r="J49" s="233"/>
      <c r="K49" s="233"/>
    </row>
    <row r="50" spans="2:11">
      <c r="B50" s="247"/>
      <c r="C50" s="145"/>
      <c r="D50" s="145" t="s">
        <v>693</v>
      </c>
      <c r="E50" s="228">
        <v>0</v>
      </c>
      <c r="F50" s="228">
        <v>0</v>
      </c>
      <c r="G50" s="228">
        <v>0</v>
      </c>
      <c r="H50" s="228">
        <v>0</v>
      </c>
      <c r="I50" s="228">
        <v>0</v>
      </c>
      <c r="J50" s="233"/>
      <c r="K50" s="233"/>
    </row>
    <row r="51" spans="2:11">
      <c r="B51" s="247"/>
      <c r="C51" s="149"/>
      <c r="D51" s="156" t="s">
        <v>697</v>
      </c>
      <c r="E51" s="269">
        <f>SUM(E43:E50)</f>
        <v>546.06634202012685</v>
      </c>
      <c r="F51" s="269">
        <f>SUM(F43:F50)</f>
        <v>550.06634202012685</v>
      </c>
      <c r="G51" s="269">
        <f>SUM(G43:G50)</f>
        <v>567.06634202012685</v>
      </c>
      <c r="H51" s="269">
        <f>SUM(H43:H50)</f>
        <v>551.06634202012685</v>
      </c>
      <c r="I51" s="269">
        <f>SUM(I43:I50)</f>
        <v>496.06634202012685</v>
      </c>
      <c r="J51" s="271">
        <v>16.213999999999999</v>
      </c>
      <c r="K51" s="271">
        <f>(J51*1000000)</f>
        <v>16213999.999999998</v>
      </c>
    </row>
    <row r="52" spans="2:11">
      <c r="B52" s="246" t="s">
        <v>90</v>
      </c>
      <c r="C52" s="145" t="s">
        <v>691</v>
      </c>
      <c r="D52" s="145" t="s">
        <v>692</v>
      </c>
      <c r="E52" s="228">
        <v>215.04354418204386</v>
      </c>
      <c r="F52" s="228">
        <v>224.37816820835397</v>
      </c>
      <c r="G52" s="228">
        <v>175.45050555293028</v>
      </c>
      <c r="H52" s="228">
        <v>233.1</v>
      </c>
      <c r="I52" s="228">
        <v>233.1</v>
      </c>
      <c r="J52" s="231"/>
      <c r="K52" s="231"/>
    </row>
    <row r="53" spans="2:11">
      <c r="B53" s="247"/>
      <c r="C53" s="145"/>
      <c r="D53" s="145" t="s">
        <v>693</v>
      </c>
      <c r="E53" s="228">
        <v>170.44140310942714</v>
      </c>
      <c r="F53" s="228">
        <v>196.39785115960839</v>
      </c>
      <c r="G53" s="228">
        <v>179.00064136862005</v>
      </c>
      <c r="H53" s="228">
        <v>281.10000000000002</v>
      </c>
      <c r="I53" s="228">
        <v>281.10000000000002</v>
      </c>
      <c r="J53" s="233"/>
      <c r="K53" s="233"/>
    </row>
    <row r="54" spans="2:11">
      <c r="B54" s="247"/>
      <c r="C54" s="145" t="s">
        <v>694</v>
      </c>
      <c r="D54" s="145" t="s">
        <v>692</v>
      </c>
      <c r="E54" s="228">
        <v>0</v>
      </c>
      <c r="F54" s="228">
        <v>0</v>
      </c>
      <c r="G54" s="228">
        <v>0</v>
      </c>
      <c r="H54" s="228">
        <v>0</v>
      </c>
      <c r="I54" s="228">
        <v>0</v>
      </c>
      <c r="J54" s="233"/>
      <c r="K54" s="233"/>
    </row>
    <row r="55" spans="2:11">
      <c r="B55" s="247"/>
      <c r="C55" s="145"/>
      <c r="D55" s="145" t="s">
        <v>693</v>
      </c>
      <c r="E55" s="228">
        <v>0</v>
      </c>
      <c r="F55" s="228">
        <v>0</v>
      </c>
      <c r="G55" s="228">
        <v>0</v>
      </c>
      <c r="H55" s="228">
        <v>0</v>
      </c>
      <c r="I55" s="228">
        <v>0</v>
      </c>
      <c r="J55" s="233"/>
      <c r="K55" s="233"/>
    </row>
    <row r="56" spans="2:11">
      <c r="B56" s="247"/>
      <c r="C56" s="145" t="s">
        <v>695</v>
      </c>
      <c r="D56" s="145" t="s">
        <v>692</v>
      </c>
      <c r="E56" s="228">
        <v>14.612547568365702</v>
      </c>
      <c r="F56" s="228">
        <v>46.315183191098555</v>
      </c>
      <c r="G56" s="228">
        <v>9.889943468906738</v>
      </c>
      <c r="H56" s="228">
        <v>0</v>
      </c>
      <c r="I56" s="228">
        <v>0</v>
      </c>
      <c r="J56" s="233"/>
      <c r="K56" s="233"/>
    </row>
    <row r="57" spans="2:11">
      <c r="B57" s="247"/>
      <c r="C57" s="145"/>
      <c r="D57" s="145" t="s">
        <v>693</v>
      </c>
      <c r="E57" s="228">
        <v>0</v>
      </c>
      <c r="F57" s="228">
        <v>0</v>
      </c>
      <c r="G57" s="228">
        <v>0</v>
      </c>
      <c r="H57" s="228">
        <v>0</v>
      </c>
      <c r="I57" s="228">
        <v>0</v>
      </c>
      <c r="J57" s="233"/>
      <c r="K57" s="233"/>
    </row>
    <row r="58" spans="2:11">
      <c r="B58" s="247"/>
      <c r="C58" s="145" t="s">
        <v>696</v>
      </c>
      <c r="D58" s="145" t="s">
        <v>692</v>
      </c>
      <c r="E58" s="228">
        <v>0</v>
      </c>
      <c r="F58" s="228">
        <v>0</v>
      </c>
      <c r="G58" s="228">
        <v>0</v>
      </c>
      <c r="H58" s="228">
        <v>0</v>
      </c>
      <c r="I58" s="228">
        <v>0</v>
      </c>
      <c r="J58" s="233"/>
      <c r="K58" s="233"/>
    </row>
    <row r="59" spans="2:11">
      <c r="B59" s="247"/>
      <c r="C59" s="145"/>
      <c r="D59" s="145" t="s">
        <v>693</v>
      </c>
      <c r="E59" s="228">
        <v>0</v>
      </c>
      <c r="F59" s="228">
        <v>0</v>
      </c>
      <c r="G59" s="228">
        <v>0</v>
      </c>
      <c r="H59" s="228">
        <v>0</v>
      </c>
      <c r="I59" s="228">
        <v>0</v>
      </c>
      <c r="J59" s="233"/>
      <c r="K59" s="233"/>
    </row>
    <row r="60" spans="2:11">
      <c r="B60" s="247"/>
      <c r="C60" s="145"/>
      <c r="D60" s="171" t="s">
        <v>697</v>
      </c>
      <c r="E60" s="272">
        <f>SUM(E52:E59)</f>
        <v>400.09749485983673</v>
      </c>
      <c r="F60" s="272">
        <f>SUM(F52:F59)</f>
        <v>467.09120255906089</v>
      </c>
      <c r="G60" s="272">
        <f>SUM(G52:G59)</f>
        <v>364.34109039045705</v>
      </c>
      <c r="H60" s="272">
        <f>SUM(H52:H59)</f>
        <v>514.20000000000005</v>
      </c>
      <c r="I60" s="272">
        <f>SUM(I52:I59)</f>
        <v>514.20000000000005</v>
      </c>
      <c r="J60" s="271">
        <v>19.936</v>
      </c>
      <c r="K60" s="271">
        <f>(J60*1000000)</f>
        <v>19936000</v>
      </c>
    </row>
    <row r="61" spans="2:11">
      <c r="B61" s="246" t="s">
        <v>92</v>
      </c>
      <c r="C61" s="145" t="s">
        <v>691</v>
      </c>
      <c r="D61" s="145" t="s">
        <v>692</v>
      </c>
      <c r="E61" s="228">
        <v>349.24070536721587</v>
      </c>
      <c r="F61" s="228">
        <v>436.71415092747219</v>
      </c>
      <c r="G61" s="228">
        <v>425.32222760845292</v>
      </c>
      <c r="H61" s="228">
        <v>468</v>
      </c>
      <c r="I61" s="228">
        <v>468</v>
      </c>
      <c r="J61" s="231"/>
      <c r="K61" s="231"/>
    </row>
    <row r="62" spans="2:11">
      <c r="B62" s="247"/>
      <c r="C62" s="145"/>
      <c r="D62" s="145" t="s">
        <v>693</v>
      </c>
      <c r="E62" s="228">
        <v>255.83044608450044</v>
      </c>
      <c r="F62" s="228">
        <v>308.66704621771129</v>
      </c>
      <c r="G62" s="228">
        <v>327.00068241821418</v>
      </c>
      <c r="H62" s="228">
        <v>410.8</v>
      </c>
      <c r="I62" s="228">
        <v>410.8</v>
      </c>
      <c r="J62" s="233"/>
      <c r="K62" s="233"/>
    </row>
    <row r="63" spans="2:11">
      <c r="B63" s="247"/>
      <c r="C63" s="145" t="s">
        <v>694</v>
      </c>
      <c r="D63" s="145" t="s">
        <v>692</v>
      </c>
      <c r="E63" s="228">
        <v>0</v>
      </c>
      <c r="F63" s="228">
        <v>0</v>
      </c>
      <c r="G63" s="228">
        <v>0</v>
      </c>
      <c r="H63" s="228">
        <v>0</v>
      </c>
      <c r="I63" s="228">
        <v>0</v>
      </c>
      <c r="J63" s="233"/>
      <c r="K63" s="233"/>
    </row>
    <row r="64" spans="2:11">
      <c r="B64" s="247"/>
      <c r="C64" s="145"/>
      <c r="D64" s="145" t="s">
        <v>693</v>
      </c>
      <c r="E64" s="228">
        <v>0</v>
      </c>
      <c r="F64" s="228">
        <v>0</v>
      </c>
      <c r="G64" s="228">
        <v>0</v>
      </c>
      <c r="H64" s="228">
        <v>0</v>
      </c>
      <c r="I64" s="228">
        <v>0</v>
      </c>
      <c r="J64" s="233"/>
      <c r="K64" s="233"/>
    </row>
    <row r="65" spans="2:11">
      <c r="B65" s="247"/>
      <c r="C65" s="145" t="s">
        <v>695</v>
      </c>
      <c r="D65" s="145" t="s">
        <v>692</v>
      </c>
      <c r="E65" s="228">
        <v>27.137588341250588</v>
      </c>
      <c r="F65" s="228">
        <v>86</v>
      </c>
      <c r="G65" s="228">
        <v>173.26338638881006</v>
      </c>
      <c r="H65" s="228">
        <v>129.12037979307965</v>
      </c>
      <c r="I65" s="228">
        <v>115.36369225560138</v>
      </c>
      <c r="J65" s="233"/>
      <c r="K65" s="233"/>
    </row>
    <row r="66" spans="2:11">
      <c r="B66" s="247"/>
      <c r="C66" s="145"/>
      <c r="D66" s="145" t="s">
        <v>693</v>
      </c>
      <c r="E66" s="228">
        <v>0</v>
      </c>
      <c r="F66" s="228">
        <v>0</v>
      </c>
      <c r="G66" s="228">
        <v>0</v>
      </c>
      <c r="H66" s="228">
        <v>0</v>
      </c>
      <c r="I66" s="228">
        <v>0</v>
      </c>
      <c r="J66" s="233"/>
      <c r="K66" s="233"/>
    </row>
    <row r="67" spans="2:11">
      <c r="B67" s="247"/>
      <c r="C67" s="145" t="s">
        <v>696</v>
      </c>
      <c r="D67" s="145" t="s">
        <v>692</v>
      </c>
      <c r="E67" s="228">
        <v>0</v>
      </c>
      <c r="F67" s="228">
        <v>0</v>
      </c>
      <c r="G67" s="228">
        <v>0</v>
      </c>
      <c r="H67" s="228">
        <v>0</v>
      </c>
      <c r="I67" s="228">
        <v>0</v>
      </c>
      <c r="J67" s="233"/>
      <c r="K67" s="233"/>
    </row>
    <row r="68" spans="2:11">
      <c r="B68" s="247"/>
      <c r="C68" s="145"/>
      <c r="D68" s="145" t="s">
        <v>693</v>
      </c>
      <c r="E68" s="228">
        <v>0</v>
      </c>
      <c r="F68" s="228">
        <v>0</v>
      </c>
      <c r="G68" s="228">
        <v>0</v>
      </c>
      <c r="H68" s="228">
        <v>0</v>
      </c>
      <c r="I68" s="228">
        <v>0</v>
      </c>
      <c r="J68" s="233"/>
      <c r="K68" s="233"/>
    </row>
    <row r="69" spans="2:11">
      <c r="B69" s="247"/>
      <c r="C69" s="145"/>
      <c r="D69" s="171" t="s">
        <v>697</v>
      </c>
      <c r="E69" s="272">
        <f>SUM(E61:E68)</f>
        <v>632.20873979296687</v>
      </c>
      <c r="F69" s="272">
        <f>SUM(F61:F68)</f>
        <v>831.38119714518348</v>
      </c>
      <c r="G69" s="272">
        <f>SUM(G61:G68)</f>
        <v>925.58629641547725</v>
      </c>
      <c r="H69" s="272">
        <f>SUM(H61:H68)</f>
        <v>1007.9203797930796</v>
      </c>
      <c r="I69" s="272">
        <f>SUM(I61:I68)</f>
        <v>994.16369225560129</v>
      </c>
      <c r="J69" s="271">
        <v>30.724</v>
      </c>
      <c r="K69" s="271">
        <f>(J69*1000000)</f>
        <v>30724000</v>
      </c>
    </row>
    <row r="70" spans="2:11">
      <c r="B70" s="246" t="s">
        <v>96</v>
      </c>
      <c r="C70" s="145" t="s">
        <v>691</v>
      </c>
      <c r="D70" s="145" t="s">
        <v>692</v>
      </c>
      <c r="E70" s="228">
        <v>179.04587936755988</v>
      </c>
      <c r="F70" s="228">
        <v>180.92423630828338</v>
      </c>
      <c r="G70" s="228">
        <v>184.97391963552289</v>
      </c>
      <c r="H70" s="228">
        <v>184.97391963552289</v>
      </c>
      <c r="I70" s="228">
        <v>184.97391963552289</v>
      </c>
      <c r="J70" s="231"/>
      <c r="K70" s="231"/>
    </row>
    <row r="71" spans="2:11">
      <c r="B71" s="247"/>
      <c r="C71" s="145"/>
      <c r="D71" s="145" t="s">
        <v>693</v>
      </c>
      <c r="E71" s="228">
        <v>153.94701671626439</v>
      </c>
      <c r="F71" s="228">
        <v>175.50722885976157</v>
      </c>
      <c r="G71" s="228">
        <v>185.72841466262909</v>
      </c>
      <c r="H71" s="228">
        <v>185.72841466262909</v>
      </c>
      <c r="I71" s="228">
        <v>185.72841466262909</v>
      </c>
      <c r="J71" s="233"/>
      <c r="K71" s="233"/>
    </row>
    <row r="72" spans="2:11">
      <c r="B72" s="247"/>
      <c r="C72" s="145" t="s">
        <v>694</v>
      </c>
      <c r="D72" s="145" t="s">
        <v>692</v>
      </c>
      <c r="E72" s="228">
        <v>0</v>
      </c>
      <c r="F72" s="228">
        <v>0</v>
      </c>
      <c r="G72" s="228">
        <v>0</v>
      </c>
      <c r="H72" s="228">
        <v>0</v>
      </c>
      <c r="I72" s="228">
        <v>0</v>
      </c>
      <c r="J72" s="233"/>
      <c r="K72" s="233"/>
    </row>
    <row r="73" spans="2:11">
      <c r="B73" s="247"/>
      <c r="C73" s="145"/>
      <c r="D73" s="145" t="s">
        <v>693</v>
      </c>
      <c r="E73" s="228">
        <v>0</v>
      </c>
      <c r="F73" s="228">
        <v>0</v>
      </c>
      <c r="G73" s="228">
        <v>0</v>
      </c>
      <c r="H73" s="228">
        <v>0</v>
      </c>
      <c r="I73" s="228">
        <v>0</v>
      </c>
      <c r="J73" s="233"/>
      <c r="K73" s="233"/>
    </row>
    <row r="74" spans="2:11">
      <c r="B74" s="247"/>
      <c r="C74" s="145" t="s">
        <v>695</v>
      </c>
      <c r="D74" s="145" t="s">
        <v>692</v>
      </c>
      <c r="E74" s="228">
        <v>0</v>
      </c>
      <c r="F74" s="228">
        <v>0</v>
      </c>
      <c r="G74" s="228">
        <v>9.6433435719551692</v>
      </c>
      <c r="H74" s="228">
        <v>9.6433435719551692</v>
      </c>
      <c r="I74" s="228">
        <v>9.6433435719551692</v>
      </c>
      <c r="J74" s="233"/>
      <c r="K74" s="233"/>
    </row>
    <row r="75" spans="2:11">
      <c r="B75" s="247"/>
      <c r="C75" s="145"/>
      <c r="D75" s="145" t="s">
        <v>693</v>
      </c>
      <c r="E75" s="228">
        <v>0</v>
      </c>
      <c r="F75" s="228">
        <v>0</v>
      </c>
      <c r="G75" s="228">
        <v>0.49557802852538596</v>
      </c>
      <c r="H75" s="228">
        <v>0.49557802852538596</v>
      </c>
      <c r="I75" s="228">
        <v>0.49557802852538596</v>
      </c>
      <c r="J75" s="233"/>
      <c r="K75" s="233"/>
    </row>
    <row r="76" spans="2:11">
      <c r="B76" s="247"/>
      <c r="C76" s="145" t="s">
        <v>696</v>
      </c>
      <c r="D76" s="145" t="s">
        <v>692</v>
      </c>
      <c r="E76" s="228">
        <v>0</v>
      </c>
      <c r="F76" s="228">
        <v>0</v>
      </c>
      <c r="G76" s="228">
        <v>0</v>
      </c>
      <c r="H76" s="228">
        <v>0</v>
      </c>
      <c r="I76" s="228">
        <v>0</v>
      </c>
      <c r="J76" s="233"/>
      <c r="K76" s="233"/>
    </row>
    <row r="77" spans="2:11">
      <c r="B77" s="247"/>
      <c r="C77" s="145"/>
      <c r="D77" s="145" t="s">
        <v>693</v>
      </c>
      <c r="E77" s="228">
        <v>0</v>
      </c>
      <c r="F77" s="228">
        <v>0</v>
      </c>
      <c r="G77" s="228">
        <v>0</v>
      </c>
      <c r="H77" s="228">
        <v>0</v>
      </c>
      <c r="I77" s="228">
        <v>0</v>
      </c>
      <c r="J77" s="233"/>
      <c r="K77" s="233"/>
    </row>
    <row r="78" spans="2:11">
      <c r="B78" s="248"/>
      <c r="C78" s="145"/>
      <c r="D78" s="171" t="s">
        <v>697</v>
      </c>
      <c r="E78" s="272">
        <f>SUM(E70:E77)</f>
        <v>332.99289608382423</v>
      </c>
      <c r="F78" s="272">
        <f>SUM(F70:F77)</f>
        <v>356.43146516804495</v>
      </c>
      <c r="G78" s="272">
        <f>SUM(G70:G77)</f>
        <v>380.84125589863248</v>
      </c>
      <c r="H78" s="272">
        <f>SUM(H70:H77)</f>
        <v>380.84125589863248</v>
      </c>
      <c r="I78" s="272">
        <f>SUM(I70:I77)</f>
        <v>380.84125589863248</v>
      </c>
      <c r="J78" s="273">
        <v>25.752842224627276</v>
      </c>
      <c r="K78" s="273">
        <f>(J78*1000000)</f>
        <v>25752842.224627275</v>
      </c>
    </row>
    <row r="79" spans="2:11">
      <c r="J79" s="235"/>
      <c r="K79" s="235"/>
    </row>
  </sheetData>
  <mergeCells count="2">
    <mergeCell ref="V5:W5"/>
    <mergeCell ref="U19:W1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432B-A2D2-4B0A-890F-0212FD5A646B}">
  <sheetPr codeName="Sheet54">
    <tabColor rgb="FFFFFF00"/>
    <pageSetUpPr autoPageBreaks="0"/>
  </sheetPr>
  <dimension ref="B2"/>
  <sheetViews>
    <sheetView workbookViewId="0"/>
  </sheetViews>
  <sheetFormatPr defaultRowHeight="13.5"/>
  <sheetData>
    <row r="2" spans="2:2">
      <c r="B2" t="s">
        <v>704</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43773-0060-4260-8D54-624283D6469F}">
  <sheetPr codeName="Sheet57">
    <tabColor rgb="FFFFFF00"/>
    <pageSetUpPr autoPageBreaks="0"/>
  </sheetPr>
  <dimension ref="A1:P68"/>
  <sheetViews>
    <sheetView zoomScale="80" zoomScaleNormal="80" workbookViewId="0">
      <selection activeCell="K9" sqref="K9"/>
    </sheetView>
  </sheetViews>
  <sheetFormatPr defaultRowHeight="13.5"/>
  <cols>
    <col min="1" max="1" width="9.4609375" bestFit="1" customWidth="1"/>
    <col min="2" max="2" width="15.15234375" bestFit="1" customWidth="1"/>
    <col min="3" max="3" width="11.61328125" bestFit="1" customWidth="1"/>
    <col min="4" max="4" width="22.23046875" bestFit="1" customWidth="1"/>
    <col min="5" max="5" width="19.765625" bestFit="1" customWidth="1"/>
    <col min="6" max="6" width="15.4609375" bestFit="1" customWidth="1"/>
    <col min="7" max="7" width="10.4609375" bestFit="1" customWidth="1"/>
    <col min="8" max="8" width="9.23046875" bestFit="1" customWidth="1"/>
    <col min="9" max="9" width="13.84375" bestFit="1" customWidth="1"/>
    <col min="10" max="10" width="8.15234375" bestFit="1" customWidth="1"/>
    <col min="11" max="11" width="27.765625" bestFit="1" customWidth="1"/>
    <col min="12" max="12" width="17.3828125" bestFit="1" customWidth="1"/>
    <col min="13" max="13" width="15.15234375" bestFit="1" customWidth="1"/>
    <col min="14" max="14" width="33.4609375" bestFit="1" customWidth="1"/>
    <col min="15" max="15" width="13.61328125" bestFit="1" customWidth="1"/>
    <col min="16" max="16" width="19.23046875" bestFit="1" customWidth="1"/>
    <col min="17" max="17" width="23.84375" bestFit="1" customWidth="1"/>
    <col min="18" max="18" width="28.3828125" bestFit="1" customWidth="1"/>
    <col min="19" max="19" width="18.3828125" bestFit="1" customWidth="1"/>
    <col min="20" max="20" width="18.15234375" bestFit="1" customWidth="1"/>
    <col min="21" max="21" width="20.84375" bestFit="1" customWidth="1"/>
    <col min="22" max="22" width="14.61328125" bestFit="1" customWidth="1"/>
  </cols>
  <sheetData>
    <row r="1" spans="1:16">
      <c r="A1" t="s">
        <v>17</v>
      </c>
      <c r="B1" t="s">
        <v>14</v>
      </c>
      <c r="C1" t="s">
        <v>705</v>
      </c>
      <c r="D1" t="s">
        <v>706</v>
      </c>
      <c r="E1" t="s">
        <v>707</v>
      </c>
      <c r="F1" t="s">
        <v>708</v>
      </c>
      <c r="G1" t="s">
        <v>709</v>
      </c>
      <c r="H1" t="s">
        <v>710</v>
      </c>
      <c r="I1" t="s">
        <v>711</v>
      </c>
      <c r="J1" t="s">
        <v>712</v>
      </c>
      <c r="K1" t="s">
        <v>713</v>
      </c>
      <c r="L1" t="s">
        <v>714</v>
      </c>
      <c r="M1" t="s">
        <v>715</v>
      </c>
      <c r="N1" t="s">
        <v>101</v>
      </c>
      <c r="O1" t="s">
        <v>98</v>
      </c>
      <c r="P1" t="s">
        <v>716</v>
      </c>
    </row>
    <row r="2" spans="1:16">
      <c r="A2" t="s">
        <v>35</v>
      </c>
      <c r="B2" t="s">
        <v>59</v>
      </c>
      <c r="C2" t="s">
        <v>62</v>
      </c>
      <c r="D2" t="s">
        <v>113</v>
      </c>
      <c r="E2" t="s">
        <v>112</v>
      </c>
      <c r="F2" t="s">
        <v>569</v>
      </c>
      <c r="G2" s="7">
        <v>45839</v>
      </c>
      <c r="H2" t="s">
        <v>717</v>
      </c>
      <c r="I2" t="s">
        <v>12</v>
      </c>
      <c r="J2" t="s">
        <v>718</v>
      </c>
      <c r="K2">
        <v>9.49</v>
      </c>
      <c r="L2">
        <v>0</v>
      </c>
      <c r="M2">
        <v>0</v>
      </c>
      <c r="N2" t="s">
        <v>111</v>
      </c>
      <c r="O2">
        <v>0.108</v>
      </c>
      <c r="P2">
        <v>0</v>
      </c>
    </row>
    <row r="3" spans="1:16">
      <c r="A3" t="s">
        <v>35</v>
      </c>
      <c r="B3" t="s">
        <v>59</v>
      </c>
      <c r="C3" t="s">
        <v>62</v>
      </c>
      <c r="D3" t="s">
        <v>113</v>
      </c>
      <c r="E3" t="s">
        <v>112</v>
      </c>
      <c r="F3" t="s">
        <v>564</v>
      </c>
      <c r="G3" s="7">
        <v>45839</v>
      </c>
      <c r="H3" t="s">
        <v>717</v>
      </c>
      <c r="I3" t="s">
        <v>12</v>
      </c>
      <c r="J3" t="s">
        <v>718</v>
      </c>
      <c r="K3">
        <v>104.01</v>
      </c>
      <c r="L3">
        <v>0</v>
      </c>
      <c r="M3">
        <v>0</v>
      </c>
      <c r="N3" t="s">
        <v>111</v>
      </c>
      <c r="O3">
        <v>0.108</v>
      </c>
      <c r="P3">
        <v>0</v>
      </c>
    </row>
    <row r="4" spans="1:16">
      <c r="A4" t="s">
        <v>21</v>
      </c>
      <c r="B4" t="s">
        <v>19</v>
      </c>
      <c r="C4" t="s">
        <v>22</v>
      </c>
      <c r="D4" t="s">
        <v>103</v>
      </c>
      <c r="E4" t="s">
        <v>102</v>
      </c>
      <c r="F4" t="s">
        <v>719</v>
      </c>
      <c r="G4" s="7">
        <v>45617</v>
      </c>
      <c r="H4" t="s">
        <v>717</v>
      </c>
      <c r="I4" t="s">
        <v>10</v>
      </c>
      <c r="J4" t="s">
        <v>718</v>
      </c>
      <c r="K4">
        <v>0</v>
      </c>
      <c r="L4">
        <v>0</v>
      </c>
      <c r="M4">
        <v>0</v>
      </c>
      <c r="N4" t="s">
        <v>104</v>
      </c>
      <c r="O4">
        <v>0.16889999999999999</v>
      </c>
      <c r="P4">
        <v>0</v>
      </c>
    </row>
    <row r="5" spans="1:16">
      <c r="A5" t="s">
        <v>21</v>
      </c>
      <c r="B5" t="s">
        <v>19</v>
      </c>
      <c r="C5" t="s">
        <v>22</v>
      </c>
      <c r="D5" t="s">
        <v>103</v>
      </c>
      <c r="E5" t="s">
        <v>102</v>
      </c>
      <c r="F5" t="s">
        <v>720</v>
      </c>
      <c r="G5" s="7">
        <v>45617</v>
      </c>
      <c r="H5" t="s">
        <v>717</v>
      </c>
      <c r="I5" t="s">
        <v>10</v>
      </c>
      <c r="J5" t="s">
        <v>718</v>
      </c>
      <c r="K5">
        <v>0</v>
      </c>
      <c r="L5">
        <v>0</v>
      </c>
      <c r="M5">
        <v>0</v>
      </c>
      <c r="N5" t="s">
        <v>104</v>
      </c>
      <c r="O5">
        <v>0.16889999999999999</v>
      </c>
      <c r="P5">
        <v>0</v>
      </c>
    </row>
    <row r="6" spans="1:16">
      <c r="A6" t="s">
        <v>21</v>
      </c>
      <c r="B6" t="s">
        <v>19</v>
      </c>
      <c r="C6" t="s">
        <v>22</v>
      </c>
      <c r="D6" t="s">
        <v>103</v>
      </c>
      <c r="E6" t="s">
        <v>102</v>
      </c>
      <c r="F6" t="s">
        <v>721</v>
      </c>
      <c r="G6" s="7">
        <v>45617</v>
      </c>
      <c r="H6" t="s">
        <v>717</v>
      </c>
      <c r="I6" t="s">
        <v>10</v>
      </c>
      <c r="J6" t="s">
        <v>718</v>
      </c>
      <c r="K6">
        <v>0</v>
      </c>
      <c r="L6">
        <v>0</v>
      </c>
      <c r="M6">
        <v>0</v>
      </c>
      <c r="N6" t="s">
        <v>104</v>
      </c>
      <c r="O6">
        <v>0.16889999999999999</v>
      </c>
      <c r="P6">
        <v>0</v>
      </c>
    </row>
    <row r="7" spans="1:16">
      <c r="A7" t="s">
        <v>21</v>
      </c>
      <c r="B7" t="s">
        <v>19</v>
      </c>
      <c r="C7" t="s">
        <v>22</v>
      </c>
      <c r="D7" t="s">
        <v>103</v>
      </c>
      <c r="E7" t="s">
        <v>102</v>
      </c>
      <c r="F7" t="s">
        <v>722</v>
      </c>
      <c r="G7" s="7">
        <v>45617</v>
      </c>
      <c r="H7" t="s">
        <v>717</v>
      </c>
      <c r="I7" t="s">
        <v>10</v>
      </c>
      <c r="J7" t="s">
        <v>718</v>
      </c>
      <c r="K7">
        <v>0</v>
      </c>
      <c r="L7">
        <v>0</v>
      </c>
      <c r="M7">
        <v>0</v>
      </c>
      <c r="N7" t="s">
        <v>104</v>
      </c>
      <c r="O7">
        <v>0.16889999999999999</v>
      </c>
      <c r="P7">
        <v>0</v>
      </c>
    </row>
    <row r="8" spans="1:16">
      <c r="A8" t="s">
        <v>21</v>
      </c>
      <c r="B8" t="s">
        <v>19</v>
      </c>
      <c r="C8" t="s">
        <v>22</v>
      </c>
      <c r="D8" t="s">
        <v>103</v>
      </c>
      <c r="E8" t="s">
        <v>102</v>
      </c>
      <c r="F8" t="s">
        <v>723</v>
      </c>
      <c r="G8" s="7">
        <v>45617</v>
      </c>
      <c r="H8" t="s">
        <v>717</v>
      </c>
      <c r="I8" t="s">
        <v>10</v>
      </c>
      <c r="J8" t="s">
        <v>718</v>
      </c>
      <c r="K8">
        <v>0</v>
      </c>
      <c r="L8">
        <v>0</v>
      </c>
      <c r="M8">
        <v>0</v>
      </c>
      <c r="N8" t="s">
        <v>104</v>
      </c>
      <c r="O8">
        <v>0.16889999999999999</v>
      </c>
      <c r="P8">
        <v>0</v>
      </c>
    </row>
    <row r="9" spans="1:16">
      <c r="A9" t="s">
        <v>21</v>
      </c>
      <c r="B9" t="s">
        <v>19</v>
      </c>
      <c r="C9" t="s">
        <v>22</v>
      </c>
      <c r="D9" t="s">
        <v>103</v>
      </c>
      <c r="E9" t="s">
        <v>102</v>
      </c>
      <c r="F9" t="s">
        <v>724</v>
      </c>
      <c r="G9" s="7">
        <v>45617</v>
      </c>
      <c r="H9" t="s">
        <v>717</v>
      </c>
      <c r="I9" t="s">
        <v>10</v>
      </c>
      <c r="J9" t="s">
        <v>718</v>
      </c>
      <c r="K9">
        <v>0</v>
      </c>
      <c r="L9">
        <v>0</v>
      </c>
      <c r="M9">
        <v>0</v>
      </c>
      <c r="N9" t="s">
        <v>104</v>
      </c>
      <c r="O9">
        <v>0.16889999999999999</v>
      </c>
      <c r="P9">
        <v>0</v>
      </c>
    </row>
    <row r="10" spans="1:16">
      <c r="A10" t="s">
        <v>21</v>
      </c>
      <c r="B10" t="s">
        <v>19</v>
      </c>
      <c r="C10" t="s">
        <v>22</v>
      </c>
      <c r="D10" t="s">
        <v>103</v>
      </c>
      <c r="E10" t="s">
        <v>102</v>
      </c>
      <c r="F10" t="s">
        <v>725</v>
      </c>
      <c r="G10" s="7">
        <v>45617</v>
      </c>
      <c r="H10" t="s">
        <v>717</v>
      </c>
      <c r="I10" t="s">
        <v>10</v>
      </c>
      <c r="J10" t="s">
        <v>718</v>
      </c>
      <c r="K10">
        <v>0</v>
      </c>
      <c r="L10">
        <v>0</v>
      </c>
      <c r="M10">
        <v>0</v>
      </c>
      <c r="N10" t="s">
        <v>104</v>
      </c>
      <c r="O10">
        <v>0.16889999999999999</v>
      </c>
      <c r="P10">
        <v>0</v>
      </c>
    </row>
    <row r="11" spans="1:16">
      <c r="A11" t="s">
        <v>21</v>
      </c>
      <c r="B11" t="s">
        <v>19</v>
      </c>
      <c r="C11" t="s">
        <v>22</v>
      </c>
      <c r="D11" t="s">
        <v>103</v>
      </c>
      <c r="E11" t="s">
        <v>102</v>
      </c>
      <c r="F11" t="s">
        <v>726</v>
      </c>
      <c r="G11" s="7">
        <v>45617</v>
      </c>
      <c r="H11" t="s">
        <v>717</v>
      </c>
      <c r="I11" t="s">
        <v>10</v>
      </c>
      <c r="J11" t="s">
        <v>718</v>
      </c>
      <c r="K11">
        <v>0</v>
      </c>
      <c r="L11">
        <v>0</v>
      </c>
      <c r="M11">
        <v>0</v>
      </c>
      <c r="N11" t="s">
        <v>104</v>
      </c>
      <c r="O11">
        <v>0.16889999999999999</v>
      </c>
      <c r="P11">
        <v>0</v>
      </c>
    </row>
    <row r="12" spans="1:16">
      <c r="A12" t="s">
        <v>21</v>
      </c>
      <c r="B12" t="s">
        <v>19</v>
      </c>
      <c r="C12" t="s">
        <v>22</v>
      </c>
      <c r="D12" t="s">
        <v>103</v>
      </c>
      <c r="E12" t="s">
        <v>102</v>
      </c>
      <c r="F12" t="s">
        <v>727</v>
      </c>
      <c r="G12" s="7">
        <v>45617</v>
      </c>
      <c r="H12" t="s">
        <v>717</v>
      </c>
      <c r="I12" t="s">
        <v>10</v>
      </c>
      <c r="J12" t="s">
        <v>718</v>
      </c>
      <c r="K12">
        <v>0</v>
      </c>
      <c r="L12">
        <v>0</v>
      </c>
      <c r="M12">
        <v>0</v>
      </c>
      <c r="N12" t="s">
        <v>104</v>
      </c>
      <c r="O12">
        <v>0.16889999999999999</v>
      </c>
      <c r="P12">
        <v>0</v>
      </c>
    </row>
    <row r="13" spans="1:16">
      <c r="A13" t="s">
        <v>21</v>
      </c>
      <c r="B13" t="s">
        <v>19</v>
      </c>
      <c r="C13" t="s">
        <v>22</v>
      </c>
      <c r="D13" t="s">
        <v>103</v>
      </c>
      <c r="E13" t="s">
        <v>102</v>
      </c>
      <c r="F13" t="s">
        <v>367</v>
      </c>
      <c r="G13" s="7">
        <v>45856</v>
      </c>
      <c r="H13" t="s">
        <v>717</v>
      </c>
      <c r="I13" t="s">
        <v>10</v>
      </c>
      <c r="J13" t="s">
        <v>718</v>
      </c>
      <c r="K13">
        <v>20.9419</v>
      </c>
      <c r="L13">
        <v>0</v>
      </c>
      <c r="M13">
        <v>0</v>
      </c>
      <c r="N13" t="s">
        <v>104</v>
      </c>
      <c r="O13">
        <v>0.16889999999999999</v>
      </c>
      <c r="P13">
        <v>0</v>
      </c>
    </row>
    <row r="14" spans="1:16">
      <c r="A14" t="s">
        <v>21</v>
      </c>
      <c r="B14" t="s">
        <v>19</v>
      </c>
      <c r="C14" t="s">
        <v>22</v>
      </c>
      <c r="D14" t="s">
        <v>103</v>
      </c>
      <c r="E14" t="s">
        <v>102</v>
      </c>
      <c r="F14" t="s">
        <v>728</v>
      </c>
      <c r="G14" s="7">
        <v>45617</v>
      </c>
      <c r="H14" t="s">
        <v>717</v>
      </c>
      <c r="I14" t="s">
        <v>10</v>
      </c>
      <c r="J14" t="s">
        <v>718</v>
      </c>
      <c r="K14">
        <v>0</v>
      </c>
      <c r="L14">
        <v>0</v>
      </c>
      <c r="M14">
        <v>0</v>
      </c>
      <c r="N14" t="s">
        <v>104</v>
      </c>
      <c r="O14">
        <v>0.16889999999999999</v>
      </c>
      <c r="P14">
        <v>0</v>
      </c>
    </row>
    <row r="15" spans="1:16">
      <c r="A15" t="s">
        <v>21</v>
      </c>
      <c r="B15" t="s">
        <v>19</v>
      </c>
      <c r="C15" t="s">
        <v>22</v>
      </c>
      <c r="D15" t="s">
        <v>103</v>
      </c>
      <c r="E15" t="s">
        <v>102</v>
      </c>
      <c r="F15" t="s">
        <v>369</v>
      </c>
      <c r="G15" s="7">
        <v>45856</v>
      </c>
      <c r="H15" t="s">
        <v>717</v>
      </c>
      <c r="I15" t="s">
        <v>10</v>
      </c>
      <c r="J15" t="s">
        <v>718</v>
      </c>
      <c r="K15">
        <v>28.45168</v>
      </c>
      <c r="L15">
        <v>0</v>
      </c>
      <c r="M15">
        <v>0</v>
      </c>
      <c r="N15" t="s">
        <v>104</v>
      </c>
      <c r="O15">
        <v>0.16889999999999999</v>
      </c>
      <c r="P15">
        <v>0</v>
      </c>
    </row>
    <row r="16" spans="1:16">
      <c r="A16" t="s">
        <v>21</v>
      </c>
      <c r="B16" t="s">
        <v>19</v>
      </c>
      <c r="C16" t="s">
        <v>22</v>
      </c>
      <c r="D16" t="s">
        <v>103</v>
      </c>
      <c r="E16" t="s">
        <v>102</v>
      </c>
      <c r="F16" t="s">
        <v>729</v>
      </c>
      <c r="G16" s="7">
        <v>45617</v>
      </c>
      <c r="H16" t="s">
        <v>717</v>
      </c>
      <c r="I16" t="s">
        <v>10</v>
      </c>
      <c r="J16" t="s">
        <v>718</v>
      </c>
      <c r="K16">
        <v>0</v>
      </c>
      <c r="L16">
        <v>0</v>
      </c>
      <c r="M16">
        <v>0</v>
      </c>
      <c r="N16" t="s">
        <v>104</v>
      </c>
      <c r="O16">
        <v>0.16889999999999999</v>
      </c>
      <c r="P16">
        <v>0</v>
      </c>
    </row>
    <row r="17" spans="1:16">
      <c r="A17" t="s">
        <v>21</v>
      </c>
      <c r="B17" t="s">
        <v>19</v>
      </c>
      <c r="C17" t="s">
        <v>22</v>
      </c>
      <c r="D17" t="s">
        <v>103</v>
      </c>
      <c r="E17" t="s">
        <v>102</v>
      </c>
      <c r="F17" t="s">
        <v>730</v>
      </c>
      <c r="G17" s="7">
        <v>45617</v>
      </c>
      <c r="H17" t="s">
        <v>717</v>
      </c>
      <c r="I17" t="s">
        <v>10</v>
      </c>
      <c r="J17" t="s">
        <v>718</v>
      </c>
      <c r="K17">
        <v>0</v>
      </c>
      <c r="L17">
        <v>0</v>
      </c>
      <c r="M17">
        <v>0</v>
      </c>
      <c r="N17" t="s">
        <v>104</v>
      </c>
      <c r="O17">
        <v>0.16889999999999999</v>
      </c>
      <c r="P17">
        <v>0</v>
      </c>
    </row>
    <row r="18" spans="1:16">
      <c r="A18" t="s">
        <v>21</v>
      </c>
      <c r="B18" t="s">
        <v>19</v>
      </c>
      <c r="C18" t="s">
        <v>22</v>
      </c>
      <c r="D18" t="s">
        <v>103</v>
      </c>
      <c r="E18" t="s">
        <v>102</v>
      </c>
      <c r="F18" t="s">
        <v>731</v>
      </c>
      <c r="G18" s="7">
        <v>45617</v>
      </c>
      <c r="H18" t="s">
        <v>717</v>
      </c>
      <c r="I18" t="s">
        <v>10</v>
      </c>
      <c r="J18" t="s">
        <v>718</v>
      </c>
      <c r="K18">
        <v>0</v>
      </c>
      <c r="L18">
        <v>0</v>
      </c>
      <c r="M18">
        <v>0</v>
      </c>
      <c r="N18" t="s">
        <v>104</v>
      </c>
      <c r="O18">
        <v>0.16889999999999999</v>
      </c>
      <c r="P18">
        <v>0</v>
      </c>
    </row>
    <row r="19" spans="1:16">
      <c r="A19" t="s">
        <v>21</v>
      </c>
      <c r="B19" t="s">
        <v>19</v>
      </c>
      <c r="C19" t="s">
        <v>22</v>
      </c>
      <c r="D19" t="s">
        <v>103</v>
      </c>
      <c r="E19" t="s">
        <v>102</v>
      </c>
      <c r="F19" t="s">
        <v>732</v>
      </c>
      <c r="G19" s="7"/>
      <c r="H19" t="s">
        <v>717</v>
      </c>
      <c r="J19" t="s">
        <v>718</v>
      </c>
      <c r="K19">
        <v>0</v>
      </c>
      <c r="L19">
        <v>0</v>
      </c>
      <c r="M19">
        <v>0</v>
      </c>
      <c r="N19" t="s">
        <v>104</v>
      </c>
      <c r="O19">
        <v>0.16889999999999999</v>
      </c>
      <c r="P19">
        <v>0</v>
      </c>
    </row>
    <row r="20" spans="1:16">
      <c r="A20" t="s">
        <v>21</v>
      </c>
      <c r="B20" t="s">
        <v>26</v>
      </c>
      <c r="C20" t="s">
        <v>28</v>
      </c>
      <c r="D20" t="s">
        <v>103</v>
      </c>
      <c r="E20" t="s">
        <v>105</v>
      </c>
      <c r="F20" t="s">
        <v>733</v>
      </c>
      <c r="G20" s="7">
        <v>45504</v>
      </c>
      <c r="H20" t="s">
        <v>717</v>
      </c>
      <c r="I20" t="s">
        <v>10</v>
      </c>
      <c r="J20" t="s">
        <v>718</v>
      </c>
      <c r="K20">
        <v>0</v>
      </c>
      <c r="L20">
        <v>0</v>
      </c>
      <c r="M20">
        <v>0</v>
      </c>
      <c r="N20" t="s">
        <v>104</v>
      </c>
      <c r="O20">
        <v>0.13420000000000001</v>
      </c>
      <c r="P20">
        <v>0</v>
      </c>
    </row>
    <row r="21" spans="1:16">
      <c r="A21" t="s">
        <v>76</v>
      </c>
      <c r="B21" t="s">
        <v>73</v>
      </c>
      <c r="C21" t="s">
        <v>77</v>
      </c>
      <c r="D21" t="s">
        <v>120</v>
      </c>
      <c r="E21" t="s">
        <v>119</v>
      </c>
      <c r="F21" t="s">
        <v>734</v>
      </c>
      <c r="G21" s="7">
        <v>45565</v>
      </c>
      <c r="H21" t="s">
        <v>717</v>
      </c>
      <c r="I21" t="s">
        <v>10</v>
      </c>
      <c r="J21" t="s">
        <v>718</v>
      </c>
      <c r="K21">
        <v>0</v>
      </c>
      <c r="L21">
        <v>0</v>
      </c>
      <c r="M21">
        <v>0</v>
      </c>
      <c r="N21" t="s">
        <v>111</v>
      </c>
      <c r="O21">
        <v>0</v>
      </c>
      <c r="P21">
        <v>0</v>
      </c>
    </row>
    <row r="22" spans="1:16">
      <c r="A22" t="s">
        <v>76</v>
      </c>
      <c r="B22" t="s">
        <v>73</v>
      </c>
      <c r="C22" t="s">
        <v>79</v>
      </c>
      <c r="D22" t="s">
        <v>120</v>
      </c>
      <c r="E22" t="s">
        <v>119</v>
      </c>
      <c r="F22" t="s">
        <v>735</v>
      </c>
      <c r="G22" s="7">
        <v>45810</v>
      </c>
      <c r="H22" t="s">
        <v>717</v>
      </c>
      <c r="I22" t="s">
        <v>10</v>
      </c>
      <c r="J22" t="s">
        <v>718</v>
      </c>
      <c r="K22">
        <v>15.65</v>
      </c>
      <c r="L22">
        <v>0</v>
      </c>
      <c r="M22">
        <v>0</v>
      </c>
      <c r="N22" t="s">
        <v>111</v>
      </c>
      <c r="O22">
        <v>0</v>
      </c>
      <c r="P22">
        <v>0</v>
      </c>
    </row>
    <row r="23" spans="1:16">
      <c r="A23" t="s">
        <v>76</v>
      </c>
      <c r="B23" t="s">
        <v>73</v>
      </c>
      <c r="C23" t="s">
        <v>81</v>
      </c>
      <c r="D23" t="s">
        <v>120</v>
      </c>
      <c r="E23" t="s">
        <v>119</v>
      </c>
      <c r="F23" t="s">
        <v>736</v>
      </c>
      <c r="G23" s="7">
        <v>45565</v>
      </c>
      <c r="H23" t="s">
        <v>717</v>
      </c>
      <c r="I23" t="s">
        <v>10</v>
      </c>
      <c r="J23" t="s">
        <v>718</v>
      </c>
      <c r="K23">
        <v>0</v>
      </c>
      <c r="L23">
        <v>0</v>
      </c>
      <c r="M23">
        <v>0</v>
      </c>
      <c r="N23" t="s">
        <v>111</v>
      </c>
      <c r="O23">
        <v>0</v>
      </c>
      <c r="P23">
        <v>0</v>
      </c>
    </row>
    <row r="24" spans="1:16">
      <c r="A24" t="s">
        <v>76</v>
      </c>
      <c r="B24" t="s">
        <v>73</v>
      </c>
      <c r="C24" t="s">
        <v>83</v>
      </c>
      <c r="D24" t="s">
        <v>120</v>
      </c>
      <c r="E24" t="s">
        <v>119</v>
      </c>
      <c r="F24" t="s">
        <v>737</v>
      </c>
      <c r="G24" s="7">
        <v>45565</v>
      </c>
      <c r="H24" t="s">
        <v>717</v>
      </c>
      <c r="I24" t="s">
        <v>10</v>
      </c>
      <c r="J24" t="s">
        <v>718</v>
      </c>
      <c r="K24">
        <v>0</v>
      </c>
      <c r="L24">
        <v>0</v>
      </c>
      <c r="M24">
        <v>0</v>
      </c>
      <c r="N24" t="s">
        <v>111</v>
      </c>
      <c r="O24">
        <v>0</v>
      </c>
      <c r="P24">
        <v>0</v>
      </c>
    </row>
    <row r="25" spans="1:16">
      <c r="A25" t="s">
        <v>76</v>
      </c>
      <c r="B25" t="s">
        <v>87</v>
      </c>
      <c r="C25" t="s">
        <v>90</v>
      </c>
      <c r="D25" t="s">
        <v>120</v>
      </c>
      <c r="E25" t="s">
        <v>122</v>
      </c>
      <c r="F25" t="s">
        <v>738</v>
      </c>
      <c r="G25" s="7">
        <v>45565</v>
      </c>
      <c r="H25" t="s">
        <v>717</v>
      </c>
      <c r="I25" t="s">
        <v>10</v>
      </c>
      <c r="J25" t="s">
        <v>718</v>
      </c>
      <c r="K25">
        <v>0</v>
      </c>
      <c r="L25">
        <v>0</v>
      </c>
      <c r="M25">
        <v>0</v>
      </c>
      <c r="N25" t="s">
        <v>111</v>
      </c>
      <c r="O25">
        <v>0</v>
      </c>
      <c r="P25">
        <v>0</v>
      </c>
    </row>
    <row r="26" spans="1:16">
      <c r="A26" t="s">
        <v>21</v>
      </c>
      <c r="B26" t="s">
        <v>26</v>
      </c>
      <c r="C26" t="s">
        <v>28</v>
      </c>
      <c r="D26" t="s">
        <v>103</v>
      </c>
      <c r="E26" t="s">
        <v>105</v>
      </c>
      <c r="F26" t="s">
        <v>382</v>
      </c>
      <c r="G26" s="7">
        <v>45856</v>
      </c>
      <c r="H26" t="s">
        <v>717</v>
      </c>
      <c r="I26" t="s">
        <v>10</v>
      </c>
      <c r="J26" t="s">
        <v>718</v>
      </c>
      <c r="K26">
        <v>0.23599999999999999</v>
      </c>
      <c r="L26">
        <v>0.23441999999999999</v>
      </c>
      <c r="M26">
        <v>1</v>
      </c>
      <c r="N26" t="s">
        <v>104</v>
      </c>
      <c r="O26">
        <v>0.13420000000000001</v>
      </c>
      <c r="P26">
        <v>3.1E-2</v>
      </c>
    </row>
    <row r="27" spans="1:16">
      <c r="A27" t="s">
        <v>21</v>
      </c>
      <c r="B27" t="s">
        <v>23</v>
      </c>
      <c r="C27" t="s">
        <v>25</v>
      </c>
      <c r="D27" t="s">
        <v>103</v>
      </c>
      <c r="E27" t="s">
        <v>106</v>
      </c>
      <c r="F27" t="s">
        <v>377</v>
      </c>
      <c r="G27" s="7">
        <v>45856</v>
      </c>
      <c r="H27" t="s">
        <v>717</v>
      </c>
      <c r="I27" t="s">
        <v>10</v>
      </c>
      <c r="J27" t="s">
        <v>718</v>
      </c>
      <c r="K27">
        <v>0.40899999999999997</v>
      </c>
      <c r="L27">
        <v>0.34699999999999998</v>
      </c>
      <c r="M27">
        <v>1</v>
      </c>
      <c r="N27" t="s">
        <v>104</v>
      </c>
      <c r="O27">
        <v>0.1081</v>
      </c>
      <c r="P27">
        <v>3.7999999999999999E-2</v>
      </c>
    </row>
    <row r="28" spans="1:16">
      <c r="A28" t="s">
        <v>21</v>
      </c>
      <c r="B28" t="s">
        <v>26</v>
      </c>
      <c r="C28" t="s">
        <v>28</v>
      </c>
      <c r="D28" t="s">
        <v>103</v>
      </c>
      <c r="E28" t="s">
        <v>105</v>
      </c>
      <c r="F28" t="s">
        <v>384</v>
      </c>
      <c r="G28" s="7">
        <v>45856</v>
      </c>
      <c r="H28" t="s">
        <v>717</v>
      </c>
      <c r="I28" t="s">
        <v>10</v>
      </c>
      <c r="J28" t="s">
        <v>718</v>
      </c>
      <c r="K28">
        <v>0.40600000000000003</v>
      </c>
      <c r="L28">
        <v>0.39660000000000001</v>
      </c>
      <c r="M28">
        <v>1</v>
      </c>
      <c r="N28" t="s">
        <v>104</v>
      </c>
      <c r="O28">
        <v>0.13420000000000001</v>
      </c>
      <c r="P28">
        <v>5.2999999999999999E-2</v>
      </c>
    </row>
    <row r="29" spans="1:16">
      <c r="A29" t="s">
        <v>21</v>
      </c>
      <c r="B29" t="s">
        <v>19</v>
      </c>
      <c r="C29" t="s">
        <v>22</v>
      </c>
      <c r="D29" t="s">
        <v>103</v>
      </c>
      <c r="E29" t="s">
        <v>102</v>
      </c>
      <c r="F29" t="s">
        <v>366</v>
      </c>
      <c r="G29" s="7">
        <v>45856</v>
      </c>
      <c r="H29" t="s">
        <v>717</v>
      </c>
      <c r="I29" t="s">
        <v>10</v>
      </c>
      <c r="J29" t="s">
        <v>718</v>
      </c>
      <c r="K29">
        <v>1.3228800000000001</v>
      </c>
      <c r="L29">
        <v>0.7026</v>
      </c>
      <c r="M29">
        <v>1</v>
      </c>
      <c r="N29" t="s">
        <v>104</v>
      </c>
      <c r="O29">
        <v>0.16889999999999999</v>
      </c>
      <c r="P29">
        <v>0.11899999999999999</v>
      </c>
    </row>
    <row r="30" spans="1:16">
      <c r="A30" t="s">
        <v>21</v>
      </c>
      <c r="B30" t="s">
        <v>23</v>
      </c>
      <c r="C30" t="s">
        <v>25</v>
      </c>
      <c r="D30" t="s">
        <v>103</v>
      </c>
      <c r="E30" t="s">
        <v>106</v>
      </c>
      <c r="F30" t="s">
        <v>379</v>
      </c>
      <c r="G30" s="7">
        <v>45856</v>
      </c>
      <c r="H30" t="s">
        <v>717</v>
      </c>
      <c r="I30" t="s">
        <v>10</v>
      </c>
      <c r="J30" t="s">
        <v>718</v>
      </c>
      <c r="K30">
        <v>1.0434399999999999</v>
      </c>
      <c r="L30">
        <v>0.72111999999999998</v>
      </c>
      <c r="M30">
        <v>1</v>
      </c>
      <c r="N30" t="s">
        <v>104</v>
      </c>
      <c r="O30">
        <v>0.1081</v>
      </c>
      <c r="P30">
        <v>7.8E-2</v>
      </c>
    </row>
    <row r="31" spans="1:16">
      <c r="A31" t="s">
        <v>21</v>
      </c>
      <c r="B31" t="s">
        <v>19</v>
      </c>
      <c r="C31" t="s">
        <v>22</v>
      </c>
      <c r="D31" t="s">
        <v>103</v>
      </c>
      <c r="E31" t="s">
        <v>102</v>
      </c>
      <c r="F31" t="s">
        <v>372</v>
      </c>
      <c r="G31" s="7">
        <v>45856</v>
      </c>
      <c r="H31" t="s">
        <v>717</v>
      </c>
      <c r="I31" t="s">
        <v>10</v>
      </c>
      <c r="J31" t="s">
        <v>718</v>
      </c>
      <c r="K31">
        <v>0.84775999999999996</v>
      </c>
      <c r="L31">
        <v>0.82501000000000002</v>
      </c>
      <c r="M31">
        <v>1</v>
      </c>
      <c r="N31" t="s">
        <v>104</v>
      </c>
      <c r="O31">
        <v>0.16889999999999999</v>
      </c>
      <c r="P31">
        <v>0.13900000000000001</v>
      </c>
    </row>
    <row r="32" spans="1:16">
      <c r="A32" t="s">
        <v>76</v>
      </c>
      <c r="B32" t="s">
        <v>73</v>
      </c>
      <c r="C32" t="s">
        <v>79</v>
      </c>
      <c r="D32" t="s">
        <v>125</v>
      </c>
      <c r="E32" t="s">
        <v>124</v>
      </c>
      <c r="F32" t="s">
        <v>739</v>
      </c>
      <c r="G32" s="7">
        <v>45810</v>
      </c>
      <c r="H32" t="s">
        <v>717</v>
      </c>
      <c r="I32" t="s">
        <v>10</v>
      </c>
      <c r="J32" t="s">
        <v>718</v>
      </c>
      <c r="K32">
        <v>0.89</v>
      </c>
      <c r="L32">
        <v>0.89</v>
      </c>
      <c r="M32">
        <v>1</v>
      </c>
      <c r="N32" t="s">
        <v>111</v>
      </c>
      <c r="O32">
        <v>0</v>
      </c>
      <c r="P32">
        <v>0</v>
      </c>
    </row>
    <row r="33" spans="1:16">
      <c r="A33" t="s">
        <v>21</v>
      </c>
      <c r="B33" t="s">
        <v>23</v>
      </c>
      <c r="C33" t="s">
        <v>25</v>
      </c>
      <c r="D33" t="s">
        <v>103</v>
      </c>
      <c r="E33" t="s">
        <v>106</v>
      </c>
      <c r="F33" t="s">
        <v>378</v>
      </c>
      <c r="G33" s="7">
        <v>45856</v>
      </c>
      <c r="H33" t="s">
        <v>717</v>
      </c>
      <c r="I33" t="s">
        <v>10</v>
      </c>
      <c r="J33" t="s">
        <v>718</v>
      </c>
      <c r="K33">
        <v>1.4855100000000001</v>
      </c>
      <c r="L33">
        <v>1.0185900000000001</v>
      </c>
      <c r="M33">
        <v>1</v>
      </c>
      <c r="N33" t="s">
        <v>104</v>
      </c>
      <c r="O33">
        <v>0.1081</v>
      </c>
      <c r="P33">
        <v>0.11</v>
      </c>
    </row>
    <row r="34" spans="1:16">
      <c r="A34" t="s">
        <v>35</v>
      </c>
      <c r="B34" t="s">
        <v>59</v>
      </c>
      <c r="C34" t="s">
        <v>62</v>
      </c>
      <c r="D34" t="s">
        <v>113</v>
      </c>
      <c r="E34" t="s">
        <v>112</v>
      </c>
      <c r="F34" t="s">
        <v>565</v>
      </c>
      <c r="G34" s="7">
        <v>45839</v>
      </c>
      <c r="H34" t="s">
        <v>717</v>
      </c>
      <c r="I34" t="s">
        <v>12</v>
      </c>
      <c r="J34" t="s">
        <v>718</v>
      </c>
      <c r="K34">
        <v>2.0699999999999998</v>
      </c>
      <c r="L34">
        <v>1.1599999999999999</v>
      </c>
      <c r="M34">
        <v>1</v>
      </c>
      <c r="N34" t="s">
        <v>111</v>
      </c>
      <c r="O34">
        <v>0.108</v>
      </c>
      <c r="P34">
        <v>0</v>
      </c>
    </row>
    <row r="35" spans="1:16">
      <c r="A35" t="s">
        <v>35</v>
      </c>
      <c r="B35" t="s">
        <v>59</v>
      </c>
      <c r="C35" t="s">
        <v>62</v>
      </c>
      <c r="D35" t="s">
        <v>113</v>
      </c>
      <c r="E35" t="s">
        <v>112</v>
      </c>
      <c r="F35" t="s">
        <v>568</v>
      </c>
      <c r="G35" s="7">
        <v>45839</v>
      </c>
      <c r="H35" t="s">
        <v>717</v>
      </c>
      <c r="I35" t="s">
        <v>12</v>
      </c>
      <c r="J35" t="s">
        <v>718</v>
      </c>
      <c r="K35">
        <v>1.36</v>
      </c>
      <c r="L35">
        <v>1.23</v>
      </c>
      <c r="M35">
        <v>1</v>
      </c>
      <c r="N35" t="s">
        <v>111</v>
      </c>
      <c r="O35">
        <v>0.108</v>
      </c>
      <c r="P35">
        <v>0</v>
      </c>
    </row>
    <row r="36" spans="1:16">
      <c r="A36" t="s">
        <v>21</v>
      </c>
      <c r="B36" t="s">
        <v>19</v>
      </c>
      <c r="C36" t="s">
        <v>22</v>
      </c>
      <c r="D36" t="s">
        <v>103</v>
      </c>
      <c r="E36" t="s">
        <v>102</v>
      </c>
      <c r="F36" t="s">
        <v>370</v>
      </c>
      <c r="G36" s="7">
        <v>45856</v>
      </c>
      <c r="H36" t="s">
        <v>717</v>
      </c>
      <c r="I36" t="s">
        <v>10</v>
      </c>
      <c r="J36" t="s">
        <v>718</v>
      </c>
      <c r="K36">
        <v>1.6055200000000001</v>
      </c>
      <c r="L36">
        <v>1.72594</v>
      </c>
      <c r="M36">
        <v>1</v>
      </c>
      <c r="N36" t="s">
        <v>104</v>
      </c>
      <c r="O36">
        <v>0.16889999999999999</v>
      </c>
      <c r="P36">
        <v>0.29199999999999998</v>
      </c>
    </row>
    <row r="37" spans="1:16">
      <c r="A37" t="s">
        <v>76</v>
      </c>
      <c r="B37" t="s">
        <v>93</v>
      </c>
      <c r="C37" t="s">
        <v>96</v>
      </c>
      <c r="D37" t="s">
        <v>120</v>
      </c>
      <c r="E37" t="s">
        <v>123</v>
      </c>
      <c r="F37" t="s">
        <v>123</v>
      </c>
      <c r="G37" s="7">
        <v>45810</v>
      </c>
      <c r="H37" t="s">
        <v>717</v>
      </c>
      <c r="I37" t="s">
        <v>10</v>
      </c>
      <c r="J37" t="s">
        <v>718</v>
      </c>
      <c r="K37">
        <v>24.31</v>
      </c>
      <c r="L37">
        <v>1.867</v>
      </c>
      <c r="M37">
        <v>1</v>
      </c>
      <c r="N37" t="s">
        <v>111</v>
      </c>
      <c r="O37">
        <v>0</v>
      </c>
      <c r="P37">
        <v>0</v>
      </c>
    </row>
    <row r="38" spans="1:16">
      <c r="A38" t="s">
        <v>35</v>
      </c>
      <c r="B38" t="s">
        <v>59</v>
      </c>
      <c r="C38" t="s">
        <v>62</v>
      </c>
      <c r="D38" t="s">
        <v>113</v>
      </c>
      <c r="E38" t="s">
        <v>112</v>
      </c>
      <c r="F38" t="s">
        <v>566</v>
      </c>
      <c r="G38" s="7">
        <v>45839</v>
      </c>
      <c r="H38" t="s">
        <v>717</v>
      </c>
      <c r="I38" t="s">
        <v>12</v>
      </c>
      <c r="J38" t="s">
        <v>718</v>
      </c>
      <c r="K38">
        <v>17.04</v>
      </c>
      <c r="L38">
        <v>2.46</v>
      </c>
      <c r="M38">
        <v>1</v>
      </c>
      <c r="N38" t="s">
        <v>111</v>
      </c>
      <c r="O38">
        <v>0.108</v>
      </c>
      <c r="P38">
        <v>0</v>
      </c>
    </row>
    <row r="39" spans="1:16">
      <c r="A39" t="s">
        <v>21</v>
      </c>
      <c r="B39" t="s">
        <v>19</v>
      </c>
      <c r="C39" t="s">
        <v>22</v>
      </c>
      <c r="D39" t="s">
        <v>103</v>
      </c>
      <c r="E39" t="s">
        <v>102</v>
      </c>
      <c r="F39" t="s">
        <v>371</v>
      </c>
      <c r="G39" s="7">
        <v>45856</v>
      </c>
      <c r="H39" t="s">
        <v>717</v>
      </c>
      <c r="I39" t="s">
        <v>10</v>
      </c>
      <c r="J39" t="s">
        <v>718</v>
      </c>
      <c r="K39">
        <v>2.8541699999999999</v>
      </c>
      <c r="L39">
        <v>2.7958699999999999</v>
      </c>
      <c r="M39">
        <v>1</v>
      </c>
      <c r="N39" t="s">
        <v>104</v>
      </c>
      <c r="O39">
        <v>0.16889999999999999</v>
      </c>
      <c r="P39">
        <v>0.47199999999999998</v>
      </c>
    </row>
    <row r="40" spans="1:16">
      <c r="A40" t="s">
        <v>35</v>
      </c>
      <c r="B40" t="s">
        <v>59</v>
      </c>
      <c r="C40" t="s">
        <v>62</v>
      </c>
      <c r="D40" t="s">
        <v>113</v>
      </c>
      <c r="E40" t="s">
        <v>112</v>
      </c>
      <c r="F40" t="s">
        <v>567</v>
      </c>
      <c r="G40" s="7">
        <v>45839</v>
      </c>
      <c r="H40" t="s">
        <v>717</v>
      </c>
      <c r="I40" t="s">
        <v>12</v>
      </c>
      <c r="J40" t="s">
        <v>718</v>
      </c>
      <c r="K40">
        <v>24.62</v>
      </c>
      <c r="L40">
        <v>3.04</v>
      </c>
      <c r="M40">
        <v>1</v>
      </c>
      <c r="N40" t="s">
        <v>111</v>
      </c>
      <c r="O40">
        <v>0.108</v>
      </c>
      <c r="P40">
        <v>0</v>
      </c>
    </row>
    <row r="41" spans="1:16">
      <c r="A41" t="s">
        <v>76</v>
      </c>
      <c r="B41" t="s">
        <v>73</v>
      </c>
      <c r="C41" t="s">
        <v>83</v>
      </c>
      <c r="D41" t="s">
        <v>125</v>
      </c>
      <c r="E41" t="s">
        <v>124</v>
      </c>
      <c r="F41" t="s">
        <v>740</v>
      </c>
      <c r="G41" s="7">
        <v>45810</v>
      </c>
      <c r="H41" t="s">
        <v>717</v>
      </c>
      <c r="I41" t="s">
        <v>10</v>
      </c>
      <c r="J41" t="s">
        <v>718</v>
      </c>
      <c r="K41">
        <v>4.8600000000000003</v>
      </c>
      <c r="L41">
        <v>3.49</v>
      </c>
      <c r="M41">
        <v>1</v>
      </c>
      <c r="N41" t="s">
        <v>111</v>
      </c>
      <c r="O41">
        <v>0</v>
      </c>
      <c r="P41">
        <v>0</v>
      </c>
    </row>
    <row r="42" spans="1:16">
      <c r="A42" t="s">
        <v>21</v>
      </c>
      <c r="B42" t="s">
        <v>23</v>
      </c>
      <c r="C42" t="s">
        <v>25</v>
      </c>
      <c r="D42" t="s">
        <v>103</v>
      </c>
      <c r="E42" t="s">
        <v>106</v>
      </c>
      <c r="F42" t="s">
        <v>380</v>
      </c>
      <c r="G42" s="7">
        <v>45856</v>
      </c>
      <c r="H42" t="s">
        <v>717</v>
      </c>
      <c r="I42" t="s">
        <v>10</v>
      </c>
      <c r="J42" t="s">
        <v>718</v>
      </c>
      <c r="K42">
        <v>4.9744599999999997</v>
      </c>
      <c r="L42">
        <v>3.57246</v>
      </c>
      <c r="M42">
        <v>1</v>
      </c>
      <c r="N42" t="s">
        <v>104</v>
      </c>
      <c r="O42">
        <v>0.1081</v>
      </c>
      <c r="P42">
        <v>0.38600000000000001</v>
      </c>
    </row>
    <row r="43" spans="1:16">
      <c r="A43" t="s">
        <v>21</v>
      </c>
      <c r="B43" t="s">
        <v>26</v>
      </c>
      <c r="C43" t="s">
        <v>28</v>
      </c>
      <c r="D43" t="s">
        <v>103</v>
      </c>
      <c r="E43" t="s">
        <v>105</v>
      </c>
      <c r="F43" t="s">
        <v>383</v>
      </c>
      <c r="G43" s="7">
        <v>45856</v>
      </c>
      <c r="H43" t="s">
        <v>717</v>
      </c>
      <c r="I43" t="s">
        <v>10</v>
      </c>
      <c r="J43" t="s">
        <v>718</v>
      </c>
      <c r="K43">
        <v>3.7702399999999998</v>
      </c>
      <c r="L43">
        <v>3.70146</v>
      </c>
      <c r="M43">
        <v>1</v>
      </c>
      <c r="N43" t="s">
        <v>104</v>
      </c>
      <c r="O43">
        <v>0.13420000000000001</v>
      </c>
      <c r="P43">
        <v>0.497</v>
      </c>
    </row>
    <row r="44" spans="1:16">
      <c r="A44" t="s">
        <v>76</v>
      </c>
      <c r="B44" t="s">
        <v>84</v>
      </c>
      <c r="C44" t="s">
        <v>86</v>
      </c>
      <c r="D44" t="s">
        <v>120</v>
      </c>
      <c r="E44" t="s">
        <v>121</v>
      </c>
      <c r="F44" t="s">
        <v>121</v>
      </c>
      <c r="G44" s="7">
        <v>45810</v>
      </c>
      <c r="H44" t="s">
        <v>717</v>
      </c>
      <c r="I44" t="s">
        <v>10</v>
      </c>
      <c r="J44" t="s">
        <v>718</v>
      </c>
      <c r="K44">
        <v>17.475999999999999</v>
      </c>
      <c r="L44">
        <v>4.1243999999999996</v>
      </c>
      <c r="M44">
        <v>1</v>
      </c>
      <c r="N44" t="s">
        <v>111</v>
      </c>
      <c r="O44">
        <v>0</v>
      </c>
      <c r="P44">
        <v>0</v>
      </c>
    </row>
    <row r="45" spans="1:16">
      <c r="A45" t="s">
        <v>21</v>
      </c>
      <c r="B45" t="s">
        <v>26</v>
      </c>
      <c r="C45" t="s">
        <v>28</v>
      </c>
      <c r="D45" t="s">
        <v>103</v>
      </c>
      <c r="E45" t="s">
        <v>105</v>
      </c>
      <c r="F45" t="s">
        <v>385</v>
      </c>
      <c r="G45" s="7">
        <v>45856</v>
      </c>
      <c r="H45" t="s">
        <v>717</v>
      </c>
      <c r="I45" t="s">
        <v>10</v>
      </c>
      <c r="J45" t="s">
        <v>718</v>
      </c>
      <c r="K45">
        <v>4.2949999999999999</v>
      </c>
      <c r="L45">
        <v>4.2949999999999999</v>
      </c>
      <c r="M45">
        <v>1</v>
      </c>
      <c r="N45" t="s">
        <v>104</v>
      </c>
      <c r="O45">
        <v>0.13420000000000001</v>
      </c>
      <c r="P45">
        <v>0.57599999999999996</v>
      </c>
    </row>
    <row r="46" spans="1:16">
      <c r="A46" t="s">
        <v>76</v>
      </c>
      <c r="B46" t="s">
        <v>73</v>
      </c>
      <c r="C46" t="s">
        <v>81</v>
      </c>
      <c r="D46" t="s">
        <v>125</v>
      </c>
      <c r="E46" t="s">
        <v>124</v>
      </c>
      <c r="F46" t="s">
        <v>741</v>
      </c>
      <c r="G46" s="7">
        <v>45810</v>
      </c>
      <c r="H46" t="s">
        <v>717</v>
      </c>
      <c r="I46" t="s">
        <v>10</v>
      </c>
      <c r="J46" t="s">
        <v>718</v>
      </c>
      <c r="K46">
        <v>5.68</v>
      </c>
      <c r="L46">
        <v>4.3099999999999996</v>
      </c>
      <c r="M46">
        <v>1</v>
      </c>
      <c r="N46" t="s">
        <v>111</v>
      </c>
      <c r="O46">
        <v>0</v>
      </c>
      <c r="P46">
        <v>0</v>
      </c>
    </row>
    <row r="47" spans="1:16">
      <c r="A47" t="s">
        <v>21</v>
      </c>
      <c r="B47" t="s">
        <v>26</v>
      </c>
      <c r="C47" t="s">
        <v>28</v>
      </c>
      <c r="D47" t="s">
        <v>103</v>
      </c>
      <c r="E47" t="s">
        <v>105</v>
      </c>
      <c r="F47" t="s">
        <v>387</v>
      </c>
      <c r="G47" s="7">
        <v>45856</v>
      </c>
      <c r="H47" t="s">
        <v>717</v>
      </c>
      <c r="I47" t="s">
        <v>10</v>
      </c>
      <c r="J47" t="s">
        <v>718</v>
      </c>
      <c r="K47">
        <v>8.1809999999999992</v>
      </c>
      <c r="L47">
        <v>4.4556199999999997</v>
      </c>
      <c r="M47">
        <v>1</v>
      </c>
      <c r="N47" t="s">
        <v>104</v>
      </c>
      <c r="O47">
        <v>0.13420000000000001</v>
      </c>
      <c r="P47">
        <v>0.59799999999999998</v>
      </c>
    </row>
    <row r="48" spans="1:16">
      <c r="A48" t="s">
        <v>76</v>
      </c>
      <c r="B48" t="s">
        <v>73</v>
      </c>
      <c r="C48" t="s">
        <v>83</v>
      </c>
      <c r="D48" t="s">
        <v>115</v>
      </c>
      <c r="E48" t="s">
        <v>114</v>
      </c>
      <c r="F48" t="s">
        <v>742</v>
      </c>
      <c r="G48" s="7">
        <v>45810</v>
      </c>
      <c r="H48" t="s">
        <v>717</v>
      </c>
      <c r="I48" t="s">
        <v>10</v>
      </c>
      <c r="J48" t="s">
        <v>718</v>
      </c>
      <c r="K48">
        <v>3.9925099999999998</v>
      </c>
      <c r="L48">
        <v>4.5709999999999997</v>
      </c>
      <c r="M48">
        <v>1</v>
      </c>
      <c r="N48" t="s">
        <v>111</v>
      </c>
      <c r="O48">
        <v>0</v>
      </c>
      <c r="P48">
        <v>0</v>
      </c>
    </row>
    <row r="49" spans="1:16">
      <c r="A49" t="s">
        <v>21</v>
      </c>
      <c r="B49" t="s">
        <v>19</v>
      </c>
      <c r="C49" t="s">
        <v>22</v>
      </c>
      <c r="D49" t="s">
        <v>103</v>
      </c>
      <c r="E49" t="s">
        <v>102</v>
      </c>
      <c r="F49" t="s">
        <v>373</v>
      </c>
      <c r="G49" s="7">
        <v>45856</v>
      </c>
      <c r="H49" t="s">
        <v>717</v>
      </c>
      <c r="I49" t="s">
        <v>10</v>
      </c>
      <c r="J49" t="s">
        <v>718</v>
      </c>
      <c r="K49">
        <v>6.7997399999999999</v>
      </c>
      <c r="L49">
        <v>5.1581200000000003</v>
      </c>
      <c r="M49">
        <v>1</v>
      </c>
      <c r="N49" t="s">
        <v>104</v>
      </c>
      <c r="O49">
        <v>0.16889999999999999</v>
      </c>
      <c r="P49">
        <v>0.871</v>
      </c>
    </row>
    <row r="50" spans="1:16">
      <c r="A50" t="s">
        <v>21</v>
      </c>
      <c r="B50" t="s">
        <v>19</v>
      </c>
      <c r="C50" t="s">
        <v>22</v>
      </c>
      <c r="D50" t="s">
        <v>103</v>
      </c>
      <c r="E50" t="s">
        <v>102</v>
      </c>
      <c r="F50" t="s">
        <v>374</v>
      </c>
      <c r="G50" s="7">
        <v>45856</v>
      </c>
      <c r="H50" t="s">
        <v>717</v>
      </c>
      <c r="I50" t="s">
        <v>10</v>
      </c>
      <c r="J50" t="s">
        <v>718</v>
      </c>
      <c r="K50">
        <v>6.0673599999999999</v>
      </c>
      <c r="L50">
        <v>5.7927900000000001</v>
      </c>
      <c r="M50">
        <v>1</v>
      </c>
      <c r="N50" t="s">
        <v>104</v>
      </c>
      <c r="O50">
        <v>0.16889999999999999</v>
      </c>
      <c r="P50">
        <v>0.97799999999999998</v>
      </c>
    </row>
    <row r="51" spans="1:16">
      <c r="A51" t="s">
        <v>76</v>
      </c>
      <c r="B51" t="s">
        <v>73</v>
      </c>
      <c r="C51" t="s">
        <v>81</v>
      </c>
      <c r="D51" t="s">
        <v>115</v>
      </c>
      <c r="E51" t="s">
        <v>114</v>
      </c>
      <c r="F51" t="s">
        <v>743</v>
      </c>
      <c r="G51" s="7">
        <v>45810</v>
      </c>
      <c r="H51" t="s">
        <v>717</v>
      </c>
      <c r="I51" t="s">
        <v>10</v>
      </c>
      <c r="J51" t="s">
        <v>718</v>
      </c>
      <c r="K51">
        <v>7.97818</v>
      </c>
      <c r="L51">
        <v>6.9619999999999997</v>
      </c>
      <c r="M51">
        <v>1</v>
      </c>
      <c r="N51" t="s">
        <v>111</v>
      </c>
      <c r="O51">
        <v>0</v>
      </c>
      <c r="P51">
        <v>0</v>
      </c>
    </row>
    <row r="52" spans="1:16">
      <c r="A52" t="s">
        <v>21</v>
      </c>
      <c r="B52" t="s">
        <v>19</v>
      </c>
      <c r="C52" t="s">
        <v>22</v>
      </c>
      <c r="D52" t="s">
        <v>103</v>
      </c>
      <c r="E52" t="s">
        <v>102</v>
      </c>
      <c r="F52" t="s">
        <v>365</v>
      </c>
      <c r="G52" s="7">
        <v>45856</v>
      </c>
      <c r="H52" t="s">
        <v>717</v>
      </c>
      <c r="I52" t="s">
        <v>10</v>
      </c>
      <c r="J52" t="s">
        <v>718</v>
      </c>
      <c r="K52">
        <v>7.8385300000000004</v>
      </c>
      <c r="L52">
        <v>7.3965199999999998</v>
      </c>
      <c r="M52">
        <v>1</v>
      </c>
      <c r="N52" t="s">
        <v>104</v>
      </c>
      <c r="O52">
        <v>0.16889999999999999</v>
      </c>
      <c r="P52">
        <v>1.2490000000000001</v>
      </c>
    </row>
    <row r="53" spans="1:16">
      <c r="A53" t="s">
        <v>76</v>
      </c>
      <c r="B53" t="s">
        <v>73</v>
      </c>
      <c r="C53" t="s">
        <v>77</v>
      </c>
      <c r="D53" t="s">
        <v>125</v>
      </c>
      <c r="E53" t="s">
        <v>124</v>
      </c>
      <c r="F53" t="s">
        <v>744</v>
      </c>
      <c r="G53" s="7">
        <v>45810</v>
      </c>
      <c r="H53" t="s">
        <v>717</v>
      </c>
      <c r="I53" t="s">
        <v>10</v>
      </c>
      <c r="J53" t="s">
        <v>718</v>
      </c>
      <c r="K53">
        <v>9.0500000000000007</v>
      </c>
      <c r="L53">
        <v>7.69</v>
      </c>
      <c r="M53">
        <v>1</v>
      </c>
      <c r="N53" t="s">
        <v>111</v>
      </c>
      <c r="O53">
        <v>0</v>
      </c>
      <c r="P53">
        <v>0</v>
      </c>
    </row>
    <row r="54" spans="1:16">
      <c r="A54" t="s">
        <v>21</v>
      </c>
      <c r="B54" t="s">
        <v>19</v>
      </c>
      <c r="C54" t="s">
        <v>22</v>
      </c>
      <c r="D54" t="s">
        <v>103</v>
      </c>
      <c r="E54" t="s">
        <v>102</v>
      </c>
      <c r="F54" t="s">
        <v>364</v>
      </c>
      <c r="G54" s="7">
        <v>45856</v>
      </c>
      <c r="H54" t="s">
        <v>717</v>
      </c>
      <c r="I54" t="s">
        <v>10</v>
      </c>
      <c r="J54" t="s">
        <v>718</v>
      </c>
      <c r="K54">
        <v>8.1218000000000004</v>
      </c>
      <c r="L54">
        <v>7.8971499999999999</v>
      </c>
      <c r="M54">
        <v>1</v>
      </c>
      <c r="N54" t="s">
        <v>104</v>
      </c>
      <c r="O54">
        <v>0.16889999999999999</v>
      </c>
      <c r="P54">
        <v>1.3340000000000001</v>
      </c>
    </row>
    <row r="55" spans="1:16">
      <c r="A55" t="s">
        <v>76</v>
      </c>
      <c r="B55" t="s">
        <v>73</v>
      </c>
      <c r="C55" t="s">
        <v>77</v>
      </c>
      <c r="D55" t="s">
        <v>115</v>
      </c>
      <c r="E55" t="s">
        <v>114</v>
      </c>
      <c r="F55" t="s">
        <v>745</v>
      </c>
      <c r="G55" s="7">
        <v>45810</v>
      </c>
      <c r="H55" t="s">
        <v>717</v>
      </c>
      <c r="I55" t="s">
        <v>10</v>
      </c>
      <c r="J55" t="s">
        <v>718</v>
      </c>
      <c r="K55">
        <v>12.752969999999999</v>
      </c>
      <c r="L55">
        <v>8.1270000000000007</v>
      </c>
      <c r="M55">
        <v>1</v>
      </c>
      <c r="N55" t="s">
        <v>111</v>
      </c>
      <c r="O55">
        <v>0</v>
      </c>
      <c r="P55">
        <v>0</v>
      </c>
    </row>
    <row r="56" spans="1:16">
      <c r="A56" t="s">
        <v>76</v>
      </c>
      <c r="B56" t="s">
        <v>73</v>
      </c>
      <c r="C56" t="s">
        <v>79</v>
      </c>
      <c r="D56" t="s">
        <v>115</v>
      </c>
      <c r="E56" t="s">
        <v>114</v>
      </c>
      <c r="F56" t="s">
        <v>746</v>
      </c>
      <c r="G56" s="7">
        <v>45810</v>
      </c>
      <c r="H56" t="s">
        <v>717</v>
      </c>
      <c r="I56" t="s">
        <v>10</v>
      </c>
      <c r="J56" t="s">
        <v>718</v>
      </c>
      <c r="K56">
        <v>4.8702800000000002</v>
      </c>
      <c r="L56">
        <v>8.4459999999999997</v>
      </c>
      <c r="M56">
        <v>1</v>
      </c>
      <c r="N56" t="s">
        <v>111</v>
      </c>
      <c r="O56">
        <v>0</v>
      </c>
      <c r="P56">
        <v>0</v>
      </c>
    </row>
    <row r="57" spans="1:16">
      <c r="A57" t="s">
        <v>76</v>
      </c>
      <c r="B57" t="s">
        <v>87</v>
      </c>
      <c r="C57" t="s">
        <v>92</v>
      </c>
      <c r="D57" t="s">
        <v>120</v>
      </c>
      <c r="E57" t="s">
        <v>122</v>
      </c>
      <c r="F57" t="s">
        <v>747</v>
      </c>
      <c r="G57" s="7">
        <v>45810</v>
      </c>
      <c r="H57" t="s">
        <v>717</v>
      </c>
      <c r="I57" t="s">
        <v>10</v>
      </c>
      <c r="J57" t="s">
        <v>718</v>
      </c>
      <c r="K57">
        <v>14.96</v>
      </c>
      <c r="L57">
        <v>9.8930000000000007</v>
      </c>
      <c r="M57">
        <v>1</v>
      </c>
      <c r="N57" t="s">
        <v>111</v>
      </c>
      <c r="O57">
        <v>0</v>
      </c>
      <c r="P57">
        <v>0</v>
      </c>
    </row>
    <row r="58" spans="1:16">
      <c r="A58" t="s">
        <v>76</v>
      </c>
      <c r="B58" t="s">
        <v>87</v>
      </c>
      <c r="C58" t="s">
        <v>90</v>
      </c>
      <c r="D58" t="s">
        <v>115</v>
      </c>
      <c r="E58" t="s">
        <v>117</v>
      </c>
      <c r="F58" t="s">
        <v>748</v>
      </c>
      <c r="G58" s="7">
        <v>45856</v>
      </c>
      <c r="H58" t="s">
        <v>717</v>
      </c>
      <c r="I58" t="s">
        <v>10</v>
      </c>
      <c r="J58" t="s">
        <v>718</v>
      </c>
      <c r="K58">
        <v>19.9358</v>
      </c>
      <c r="L58">
        <v>10.24189</v>
      </c>
      <c r="M58">
        <v>1</v>
      </c>
      <c r="N58" t="s">
        <v>111</v>
      </c>
      <c r="O58">
        <v>0</v>
      </c>
      <c r="P58">
        <v>0</v>
      </c>
    </row>
    <row r="59" spans="1:16">
      <c r="A59" t="s">
        <v>76</v>
      </c>
      <c r="B59" t="s">
        <v>84</v>
      </c>
      <c r="C59" t="s">
        <v>86</v>
      </c>
      <c r="D59" t="s">
        <v>115</v>
      </c>
      <c r="E59" t="s">
        <v>116</v>
      </c>
      <c r="F59" t="s">
        <v>749</v>
      </c>
      <c r="G59" s="7">
        <v>45810</v>
      </c>
      <c r="H59" t="s">
        <v>717</v>
      </c>
      <c r="I59" t="s">
        <v>10</v>
      </c>
      <c r="J59" t="s">
        <v>718</v>
      </c>
      <c r="K59">
        <v>16.213999999999999</v>
      </c>
      <c r="L59">
        <v>10.999560000000001</v>
      </c>
      <c r="M59">
        <v>1</v>
      </c>
      <c r="N59" t="s">
        <v>111</v>
      </c>
      <c r="O59">
        <v>0</v>
      </c>
      <c r="P59">
        <v>0</v>
      </c>
    </row>
    <row r="60" spans="1:16">
      <c r="A60" t="s">
        <v>21</v>
      </c>
      <c r="B60" t="s">
        <v>26</v>
      </c>
      <c r="C60" t="s">
        <v>28</v>
      </c>
      <c r="D60" t="s">
        <v>103</v>
      </c>
      <c r="E60" t="s">
        <v>105</v>
      </c>
      <c r="F60" t="s">
        <v>386</v>
      </c>
      <c r="G60" s="7">
        <v>45856</v>
      </c>
      <c r="H60" t="s">
        <v>717</v>
      </c>
      <c r="I60" t="s">
        <v>10</v>
      </c>
      <c r="J60" t="s">
        <v>718</v>
      </c>
      <c r="K60">
        <v>13.539289999999999</v>
      </c>
      <c r="L60">
        <v>13.01361</v>
      </c>
      <c r="M60">
        <v>1</v>
      </c>
      <c r="N60" t="s">
        <v>104</v>
      </c>
      <c r="O60">
        <v>0.13420000000000001</v>
      </c>
      <c r="P60">
        <v>1.746</v>
      </c>
    </row>
    <row r="61" spans="1:16">
      <c r="A61" t="s">
        <v>21</v>
      </c>
      <c r="B61" t="s">
        <v>19</v>
      </c>
      <c r="C61" t="s">
        <v>22</v>
      </c>
      <c r="D61" t="s">
        <v>103</v>
      </c>
      <c r="E61" t="s">
        <v>102</v>
      </c>
      <c r="F61" t="s">
        <v>375</v>
      </c>
      <c r="G61" s="7">
        <v>45856</v>
      </c>
      <c r="H61" t="s">
        <v>717</v>
      </c>
      <c r="I61" t="s">
        <v>10</v>
      </c>
      <c r="J61" t="s">
        <v>718</v>
      </c>
      <c r="K61">
        <v>17.03444</v>
      </c>
      <c r="L61">
        <v>16.220829999999999</v>
      </c>
      <c r="M61">
        <v>1</v>
      </c>
      <c r="N61" t="s">
        <v>104</v>
      </c>
      <c r="O61">
        <v>0.16889999999999999</v>
      </c>
      <c r="P61">
        <v>2.74</v>
      </c>
    </row>
    <row r="62" spans="1:16">
      <c r="A62" t="s">
        <v>76</v>
      </c>
      <c r="B62" t="s">
        <v>87</v>
      </c>
      <c r="C62" t="s">
        <v>92</v>
      </c>
      <c r="D62" t="s">
        <v>115</v>
      </c>
      <c r="E62" t="s">
        <v>117</v>
      </c>
      <c r="F62" t="s">
        <v>750</v>
      </c>
      <c r="G62" s="7">
        <v>45856</v>
      </c>
      <c r="H62" t="s">
        <v>717</v>
      </c>
      <c r="I62" t="s">
        <v>10</v>
      </c>
      <c r="J62" t="s">
        <v>718</v>
      </c>
      <c r="K62">
        <v>30.724</v>
      </c>
      <c r="L62">
        <v>20.20599</v>
      </c>
      <c r="M62">
        <v>1</v>
      </c>
      <c r="N62" t="s">
        <v>111</v>
      </c>
      <c r="O62">
        <v>0</v>
      </c>
      <c r="P62">
        <v>0</v>
      </c>
    </row>
    <row r="63" spans="1:16">
      <c r="A63" t="s">
        <v>76</v>
      </c>
      <c r="B63" t="s">
        <v>93</v>
      </c>
      <c r="C63" t="s">
        <v>96</v>
      </c>
      <c r="D63" t="s">
        <v>115</v>
      </c>
      <c r="E63" t="s">
        <v>118</v>
      </c>
      <c r="F63" t="s">
        <v>751</v>
      </c>
      <c r="G63" s="7">
        <v>45810</v>
      </c>
      <c r="H63" t="s">
        <v>717</v>
      </c>
      <c r="I63" t="s">
        <v>10</v>
      </c>
      <c r="J63" t="s">
        <v>718</v>
      </c>
      <c r="K63">
        <v>25.752839999999999</v>
      </c>
      <c r="L63">
        <v>24.710819999999998</v>
      </c>
      <c r="M63">
        <v>1</v>
      </c>
      <c r="N63" t="s">
        <v>111</v>
      </c>
      <c r="O63">
        <v>0</v>
      </c>
      <c r="P63">
        <v>0</v>
      </c>
    </row>
    <row r="64" spans="1:16">
      <c r="A64" t="s">
        <v>21</v>
      </c>
      <c r="B64" t="s">
        <v>19</v>
      </c>
      <c r="C64" t="s">
        <v>22</v>
      </c>
      <c r="D64" t="s">
        <v>103</v>
      </c>
      <c r="E64" t="s">
        <v>102</v>
      </c>
      <c r="F64" t="s">
        <v>376</v>
      </c>
      <c r="G64" s="7">
        <v>45856</v>
      </c>
      <c r="H64" t="s">
        <v>717</v>
      </c>
      <c r="I64" t="s">
        <v>10</v>
      </c>
      <c r="J64" t="s">
        <v>718</v>
      </c>
      <c r="K64">
        <v>57.848390000000002</v>
      </c>
      <c r="L64">
        <v>36.509749999999997</v>
      </c>
      <c r="M64">
        <v>1</v>
      </c>
      <c r="N64" t="s">
        <v>104</v>
      </c>
      <c r="O64">
        <v>0.16889999999999999</v>
      </c>
      <c r="P64">
        <v>6.1660000000000004</v>
      </c>
    </row>
    <row r="65" spans="1:16">
      <c r="A65" t="s">
        <v>21</v>
      </c>
      <c r="B65" t="s">
        <v>19</v>
      </c>
      <c r="C65" t="s">
        <v>22</v>
      </c>
      <c r="D65" t="s">
        <v>103</v>
      </c>
      <c r="E65" t="s">
        <v>102</v>
      </c>
      <c r="F65" t="s">
        <v>368</v>
      </c>
      <c r="G65" s="7">
        <v>45856</v>
      </c>
      <c r="H65" t="s">
        <v>717</v>
      </c>
      <c r="I65" t="s">
        <v>10</v>
      </c>
      <c r="J65" t="s">
        <v>718</v>
      </c>
      <c r="K65">
        <v>45.030709999999999</v>
      </c>
      <c r="L65">
        <v>37.641779999999997</v>
      </c>
      <c r="M65">
        <v>1</v>
      </c>
      <c r="N65" t="s">
        <v>104</v>
      </c>
      <c r="O65">
        <v>0.16889999999999999</v>
      </c>
      <c r="P65">
        <v>6.3579999999999997</v>
      </c>
    </row>
    <row r="66" spans="1:16">
      <c r="A66" t="s">
        <v>21</v>
      </c>
      <c r="B66" t="s">
        <v>26</v>
      </c>
      <c r="C66" t="s">
        <v>28</v>
      </c>
      <c r="D66" t="s">
        <v>103</v>
      </c>
      <c r="E66" t="s">
        <v>105</v>
      </c>
      <c r="F66" t="s">
        <v>381</v>
      </c>
      <c r="G66" s="7">
        <v>45856</v>
      </c>
      <c r="H66" t="s">
        <v>717</v>
      </c>
      <c r="I66" t="s">
        <v>10</v>
      </c>
      <c r="J66" t="s">
        <v>718</v>
      </c>
      <c r="K66">
        <v>51.029000000000003</v>
      </c>
      <c r="L66">
        <v>48.16657</v>
      </c>
      <c r="M66">
        <v>1</v>
      </c>
      <c r="N66" t="s">
        <v>104</v>
      </c>
      <c r="O66">
        <v>0.13420000000000001</v>
      </c>
      <c r="P66">
        <v>6.4640000000000004</v>
      </c>
    </row>
    <row r="67" spans="1:16">
      <c r="A67" t="s">
        <v>21</v>
      </c>
      <c r="B67" t="s">
        <v>23</v>
      </c>
      <c r="C67" t="s">
        <v>25</v>
      </c>
      <c r="D67" t="s">
        <v>110</v>
      </c>
      <c r="E67" t="s">
        <v>109</v>
      </c>
      <c r="F67" t="s">
        <v>109</v>
      </c>
      <c r="G67" s="7">
        <v>45839</v>
      </c>
      <c r="H67" t="s">
        <v>717</v>
      </c>
      <c r="I67" t="s">
        <v>10</v>
      </c>
      <c r="J67" t="s">
        <v>718</v>
      </c>
      <c r="K67">
        <v>104.6153</v>
      </c>
      <c r="L67">
        <v>79.349770000000007</v>
      </c>
      <c r="M67">
        <v>1</v>
      </c>
      <c r="N67" t="s">
        <v>111</v>
      </c>
      <c r="O67">
        <v>0.1081</v>
      </c>
      <c r="P67">
        <v>0</v>
      </c>
    </row>
    <row r="68" spans="1:16">
      <c r="A68" t="s">
        <v>35</v>
      </c>
      <c r="B68" t="s">
        <v>33</v>
      </c>
      <c r="C68" t="s">
        <v>36</v>
      </c>
      <c r="D68" t="s">
        <v>108</v>
      </c>
      <c r="E68" t="s">
        <v>107</v>
      </c>
      <c r="F68" t="s">
        <v>107</v>
      </c>
      <c r="G68" s="7">
        <v>45856</v>
      </c>
      <c r="H68" t="s">
        <v>717</v>
      </c>
      <c r="I68" t="s">
        <v>12</v>
      </c>
      <c r="J68" t="s">
        <v>718</v>
      </c>
      <c r="K68">
        <v>201.6</v>
      </c>
      <c r="L68">
        <v>93.105040000000002</v>
      </c>
      <c r="M68">
        <v>1</v>
      </c>
      <c r="N68" t="s">
        <v>104</v>
      </c>
      <c r="O68">
        <v>0.108</v>
      </c>
      <c r="P68">
        <v>10.055</v>
      </c>
    </row>
  </sheetData>
  <phoneticPr fontId="12"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1065</PublicationRequestID>
    <DocumentTitle xmlns="3ffacce4-957f-4f0a-910f-9efe2ecf512c">RIIO-2 Re-opener Applications 2025 DD Data File</DocumentTitle>
    <DocumentRank xmlns="3ffacce4-957f-4f0a-910f-9efe2ecf512c">Subsidiary</DocumentRank>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82C5B3-0D7C-4C71-B95C-43EEBC4BD5B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D22E9CDD-FBAC-40E3-9DD7-6673151C3A68}">
  <ds:schemaRefs>
    <ds:schemaRef ds:uri="http://schemas.microsoft.com/DataMashup"/>
  </ds:schemaRefs>
</ds:datastoreItem>
</file>

<file path=customXml/itemProps3.xml><?xml version="1.0" encoding="utf-8"?>
<ds:datastoreItem xmlns:ds="http://schemas.openxmlformats.org/officeDocument/2006/customXml" ds:itemID="{016FD924-3AB1-4031-903D-8934A1598DFB}">
  <ds:schemaRefs>
    <ds:schemaRef ds:uri="http://schemas.microsoft.com/sharepoint/v3/contenttype/forms"/>
  </ds:schemaRefs>
</ds:datastoreItem>
</file>

<file path=customXml/itemProps4.xml><?xml version="1.0" encoding="utf-8"?>
<ds:datastoreItem xmlns:ds="http://schemas.openxmlformats.org/officeDocument/2006/customXml" ds:itemID="{70F88CE4-AFE5-4808-A097-D411C9562854}">
  <ds:schemaRefs>
    <ds:schemaRef ds:uri="http://schemas.microsoft.com/office/2006/metadata/properties"/>
    <ds:schemaRef ds:uri="http://schemas.microsoft.com/office/infopath/2007/PartnerControls"/>
    <ds:schemaRef ds:uri="http://schemas.microsoft.com/sharepoint/v3"/>
    <ds:schemaRef ds:uri="3ffacce4-957f-4f0a-910f-9efe2ecf512c"/>
    <ds:schemaRef ds:uri="d66eba0d-a2b9-4833-9603-ab5d8f45883c"/>
  </ds:schemaRefs>
</ds:datastoreItem>
</file>

<file path=customXml/itemProps5.xml><?xml version="1.0" encoding="utf-8"?>
<ds:datastoreItem xmlns:ds="http://schemas.openxmlformats.org/officeDocument/2006/customXml" ds:itemID="{7789077C-7EB6-4058-AF7E-4D4A8CF43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59</vt:i4>
      </vt:variant>
      <vt:variant>
        <vt:lpstr>Named Ranges</vt:lpstr>
      </vt:variant>
      <vt:variant>
        <vt:i4>24</vt:i4>
      </vt:variant>
    </vt:vector>
  </HeadingPairs>
  <TitlesOfParts>
    <vt:vector size="83" baseType="lpstr">
      <vt:lpstr>Cover</vt:lpstr>
      <vt:lpstr>Applications</vt:lpstr>
      <vt:lpstr>Contents</vt:lpstr>
      <vt:lpstr>Overview_Document&gt;&gt;</vt:lpstr>
      <vt:lpstr>Table1_Licensees</vt:lpstr>
      <vt:lpstr>Table2_Reopener_Applications</vt:lpstr>
      <vt:lpstr>Table3_DDs_Summary</vt:lpstr>
      <vt:lpstr>Table4_DD_Consumer_Cost</vt:lpstr>
      <vt:lpstr>Table5_Consultation_Stages</vt:lpstr>
      <vt:lpstr>Table6_DDReview</vt:lpstr>
      <vt:lpstr>Overview_A2</vt:lpstr>
      <vt:lpstr>Overview_A3</vt:lpstr>
      <vt:lpstr>ET_Annex&gt;&gt;</vt:lpstr>
      <vt:lpstr>TableET1_DD_Summary</vt:lpstr>
      <vt:lpstr>TableET2_MSIP_Projects</vt:lpstr>
      <vt:lpstr>TableET3_NGET_Draft_Det</vt:lpstr>
      <vt:lpstr>TableET4_NGET_ET2</vt:lpstr>
      <vt:lpstr>TableET5_NGET_ET3</vt:lpstr>
      <vt:lpstr>TableET6_SHET_Draft_Det</vt:lpstr>
      <vt:lpstr>TableET7_SHET_ET2</vt:lpstr>
      <vt:lpstr>TableET8_SHET_ET3</vt:lpstr>
      <vt:lpstr>TableET9_SPT_Draft_Det</vt:lpstr>
      <vt:lpstr>TableET10_SPT_ET2</vt:lpstr>
      <vt:lpstr>TableET11_SPT_ET3</vt:lpstr>
      <vt:lpstr>TableET12_Gremista_Costs</vt:lpstr>
      <vt:lpstr>TableET13_Gremista_DD_Adjustm</vt:lpstr>
      <vt:lpstr>ET_A5_MSIP_Direction_NGET</vt:lpstr>
      <vt:lpstr>ET_A5_MSIP_Direction_SHET</vt:lpstr>
      <vt:lpstr>ET_A5_MSIP_Direction_SPT</vt:lpstr>
      <vt:lpstr>ET_A6_Appendix2</vt:lpstr>
      <vt:lpstr>ED_Annex&gt;&gt;</vt:lpstr>
      <vt:lpstr>TableED1_DD_Summary</vt:lpstr>
      <vt:lpstr>TableED2_HOWSUM_Projects</vt:lpstr>
      <vt:lpstr>TableED3_ENWL_LRE_Request</vt:lpstr>
      <vt:lpstr>TableED4_LRE_EJP_Assessment</vt:lpstr>
      <vt:lpstr>TableED5_LRE_DD_Summmary</vt:lpstr>
      <vt:lpstr>ED_A5_LRE_Direction</vt:lpstr>
      <vt:lpstr>ED_A6_HOWSUM_Direction</vt:lpstr>
      <vt:lpstr>GD_Annex&gt;&gt;</vt:lpstr>
      <vt:lpstr>TableGD1_GD_Reopeners</vt:lpstr>
      <vt:lpstr>TableGD2_DDs_Summary</vt:lpstr>
      <vt:lpstr>TableGD3_HSE_DD_Summary</vt:lpstr>
      <vt:lpstr>TableGD3a_HSE_Benchmarking</vt:lpstr>
      <vt:lpstr>TableGD4_Streetworks_DD_Summary</vt:lpstr>
      <vt:lpstr>TableGD4a_Cadent_Costs</vt:lpstr>
      <vt:lpstr>TableGD4b_NGN_Costs</vt:lpstr>
      <vt:lpstr>TableGD4c_SGN_Costs</vt:lpstr>
      <vt:lpstr>TableGD4d_WWU_Costs</vt:lpstr>
      <vt:lpstr>TableGD5_NetZero_DD_Summary</vt:lpstr>
      <vt:lpstr>TableGD5a_NetZero_Cadent_Costs</vt:lpstr>
      <vt:lpstr>TableGD5b_NetZero_Deliverables</vt:lpstr>
      <vt:lpstr>GD_A1_Annex1</vt:lpstr>
      <vt:lpstr>GD_A1_Annex2</vt:lpstr>
      <vt:lpstr>GD_A2_Annex1</vt:lpstr>
      <vt:lpstr>GD_A2_Annex2</vt:lpstr>
      <vt:lpstr>Supporting_Data&gt;&gt;</vt:lpstr>
      <vt:lpstr>HSE_Policy_Assessment</vt:lpstr>
      <vt:lpstr>Look_up_Tables&gt;&gt;</vt:lpstr>
      <vt:lpstr>Project_Data</vt:lpstr>
      <vt:lpstr>TableED3_ENWL_LRE_Request!_Ref199319870</vt:lpstr>
      <vt:lpstr>TableED4_LRE_EJP_Assessment!_Ref199331182</vt:lpstr>
      <vt:lpstr>ED_A6_HOWSUM_Direction!list_Projects</vt:lpstr>
      <vt:lpstr>ET_A5_MSIP_Direction_SHET!list_Projects</vt:lpstr>
      <vt:lpstr>ET_A5_MSIP_Direction_SPT!list_Projects</vt:lpstr>
      <vt:lpstr>GD_A1_Annex1!list_Projects</vt:lpstr>
      <vt:lpstr>GD_A1_Annex2!list_Projects</vt:lpstr>
      <vt:lpstr>GD_A2_Annex1!list_Projects</vt:lpstr>
      <vt:lpstr>GD_A2_Annex2!list_Projects</vt:lpstr>
      <vt:lpstr>Overview_A2!list_Projects</vt:lpstr>
      <vt:lpstr>Overview_A3!list_Projects</vt:lpstr>
      <vt:lpstr>Table5_Consultation_Stages!list_Projects</vt:lpstr>
      <vt:lpstr>TableET10_SPT_ET2!list_Projects</vt:lpstr>
      <vt:lpstr>TableET11_SPT_ET3!list_Projects</vt:lpstr>
      <vt:lpstr>TableET4_NGET_ET2!list_Projects</vt:lpstr>
      <vt:lpstr>TableET5_NGET_ET3!list_Projects</vt:lpstr>
      <vt:lpstr>TableET6_SHET_Draft_Det!list_Projects</vt:lpstr>
      <vt:lpstr>TableET7_SHET_ET2!list_Projects</vt:lpstr>
      <vt:lpstr>TableET8_SHET_ET3!list_Projects</vt:lpstr>
      <vt:lpstr>TableET9_SPT_Draft_Det!list_Projects</vt:lpstr>
      <vt:lpstr>TableGD3_HSE_DD_Summary!list_Projects</vt:lpstr>
      <vt:lpstr>TableGD4_Streetworks_DD_Summary!list_Projects</vt:lpstr>
      <vt:lpstr>TableGD5_NetZero_DD_Summary!list_Projects</vt:lpstr>
      <vt:lpstr>list_Projects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Neill Guha</dc:creator>
  <cp:keywords/>
  <dc:description/>
  <cp:lastModifiedBy>Sash Steele</cp:lastModifiedBy>
  <cp:revision/>
  <dcterms:created xsi:type="dcterms:W3CDTF">2022-04-27T10:55:13Z</dcterms:created>
  <dcterms:modified xsi:type="dcterms:W3CDTF">2025-07-17T10:13:42Z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052bc15f-22a7-4ffe-8008-0294a981ca2e</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nbPXGlehV1PdSIBeElNa4i6LaRy8ySnh</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0x010100D7C6947C0F765F428416B2828D309B65</vt:lpwstr>
  </property>
  <property fmtid="{D5CDD505-2E9C-101B-9397-08002B2CF9AE}" pid="15" name="Project Sponsor">
    <vt:lpwstr/>
  </property>
  <property fmtid="{D5CDD505-2E9C-101B-9397-08002B2CF9AE}" pid="16" name="From1">
    <vt:lpwstr/>
  </property>
  <property fmtid="{D5CDD505-2E9C-101B-9397-08002B2CF9AE}" pid="17" name="BJSCSummaryMarking">
    <vt:lpwstr>OFFICIAL Internal Only</vt:lpwstr>
  </property>
  <property fmtid="{D5CDD505-2E9C-101B-9397-08002B2CF9AE}" pid="18" name="Ref No">
    <vt:lpwstr/>
  </property>
  <property fmtid="{D5CDD505-2E9C-101B-9397-08002B2CF9AE}" pid="19" name="CC">
    <vt:lpwstr/>
  </property>
  <property fmtid="{D5CDD505-2E9C-101B-9397-08002B2CF9AE}" pid="20" name="To">
    <vt:lpwstr/>
  </property>
  <property fmtid="{D5CDD505-2E9C-101B-9397-08002B2CF9AE}" pid="21" name="::">
    <vt:lpwstr/>
  </property>
  <property fmtid="{D5CDD505-2E9C-101B-9397-08002B2CF9AE}" pid="22" name="Attach Count">
    <vt:lpwstr/>
  </property>
  <property fmtid="{D5CDD505-2E9C-101B-9397-08002B2CF9AE}" pid="23" name=":">
    <vt:lpwstr/>
  </property>
  <property fmtid="{D5CDD505-2E9C-101B-9397-08002B2CF9AE}" pid="24" name="Importance">
    <vt:lpwstr/>
  </property>
  <property fmtid="{D5CDD505-2E9C-101B-9397-08002B2CF9AE}" pid="25" name="BJSCdd9eba61-d6b9-469b_x">
    <vt:lpwstr>Internal Only</vt:lpwstr>
  </property>
  <property fmtid="{D5CDD505-2E9C-101B-9397-08002B2CF9AE}" pid="26" name="Project Name">
    <vt:lpwstr/>
  </property>
  <property fmtid="{D5CDD505-2E9C-101B-9397-08002B2CF9AE}" pid="27" name="BCC">
    <vt:lpwstr/>
  </property>
  <property fmtid="{D5CDD505-2E9C-101B-9397-08002B2CF9AE}" pid="28" name="Organisation">
    <vt:lpwstr/>
  </property>
  <property fmtid="{D5CDD505-2E9C-101B-9397-08002B2CF9AE}" pid="29" name="Descriptor">
    <vt:lpwstr/>
  </property>
  <property fmtid="{D5CDD505-2E9C-101B-9397-08002B2CF9AE}" pid="30" name="Classification">
    <vt:lpwstr/>
  </property>
  <property fmtid="{D5CDD505-2E9C-101B-9397-08002B2CF9AE}" pid="31" name="Recipient">
    <vt:lpwstr/>
  </property>
  <property fmtid="{D5CDD505-2E9C-101B-9397-08002B2CF9AE}" pid="32" name="Applicable Duration">
    <vt:lpwstr/>
  </property>
  <property fmtid="{D5CDD505-2E9C-101B-9397-08002B2CF9AE}" pid="33" name="MSIP_Label_38144ccb-b10a-4c0f-b070-7a3b00ac7463_Enabled">
    <vt:lpwstr>true</vt:lpwstr>
  </property>
  <property fmtid="{D5CDD505-2E9C-101B-9397-08002B2CF9AE}" pid="34" name="MSIP_Label_38144ccb-b10a-4c0f-b070-7a3b00ac7463_SetDate">
    <vt:lpwstr>2023-01-19T12:28:29Z</vt:lpwstr>
  </property>
  <property fmtid="{D5CDD505-2E9C-101B-9397-08002B2CF9AE}" pid="35" name="MSIP_Label_38144ccb-b10a-4c0f-b070-7a3b00ac7463_Method">
    <vt:lpwstr>Standard</vt:lpwstr>
  </property>
  <property fmtid="{D5CDD505-2E9C-101B-9397-08002B2CF9AE}" pid="36" name="MSIP_Label_38144ccb-b10a-4c0f-b070-7a3b00ac7463_Name">
    <vt:lpwstr>InternalOnly</vt:lpwstr>
  </property>
  <property fmtid="{D5CDD505-2E9C-101B-9397-08002B2CF9AE}" pid="37" name="MSIP_Label_38144ccb-b10a-4c0f-b070-7a3b00ac7463_SiteId">
    <vt:lpwstr>185562ad-39bc-4840-8e40-be6216340c52</vt:lpwstr>
  </property>
  <property fmtid="{D5CDD505-2E9C-101B-9397-08002B2CF9AE}" pid="38" name="MSIP_Label_38144ccb-b10a-4c0f-b070-7a3b00ac7463_ActionId">
    <vt:lpwstr>92808f6a-dc0f-4bdd-b157-b74d7c5b5cd8</vt:lpwstr>
  </property>
  <property fmtid="{D5CDD505-2E9C-101B-9397-08002B2CF9AE}" pid="39" name="MSIP_Label_38144ccb-b10a-4c0f-b070-7a3b00ac7463_ContentBits">
    <vt:lpwstr>2</vt:lpwstr>
  </property>
  <property fmtid="{D5CDD505-2E9C-101B-9397-08002B2CF9AE}" pid="40" name="MediaServiceImageTags">
    <vt:lpwstr/>
  </property>
</Properties>
</file>