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1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gemcloud.sharepoint.com/sites/ensy_oa/LDES_RAB_Lib/09 Publications/June 19 Financial Framework Consultation/"/>
    </mc:Choice>
  </mc:AlternateContent>
  <xr:revisionPtr revIDLastSave="0" documentId="8_{8BDAEE22-094A-4D2B-BA78-23906C5786B1}" xr6:coauthVersionLast="47" xr6:coauthVersionMax="47" xr10:uidLastSave="{00000000-0000-0000-0000-000000000000}"/>
  <bookViews>
    <workbookView xWindow="48" yWindow="-13068" windowWidth="23256" windowHeight="12576" tabRatio="892" firstSheet="1" activeTab="1" xr2:uid="{00000000-000D-0000-FFFF-FFFF00000000}"/>
  </bookViews>
  <sheets>
    <sheet name="Cover" sheetId="1" r:id="rId1"/>
    <sheet name="Version_Control" sheetId="2" r:id="rId2"/>
    <sheet name="Inputs" sheetId="3" r:id="rId3"/>
    <sheet name="Data_Sources" sheetId="4" r:id="rId4"/>
    <sheet name="Pre_Op_RAV" sheetId="5" r:id="rId5"/>
    <sheet name="Finance" sheetId="6" r:id="rId6"/>
    <sheet name="Op_Rav" sheetId="7" r:id="rId7"/>
    <sheet name="Allowances_Cap" sheetId="8" r:id="rId8"/>
    <sheet name="Allowances_Floor" sheetId="9" r:id="rId9"/>
    <sheet name="Tax_Deductions" sheetId="10" r:id="rId10"/>
    <sheet name="Tax_Cap" sheetId="11" r:id="rId11"/>
    <sheet name="Tax_Floor" sheetId="12" r:id="rId12"/>
    <sheet name="Cap_Floor_Levels" sheetId="13" r:id="rId13"/>
  </sheets>
  <definedNames>
    <definedName name="_xlnm.Print_Area" localSheetId="7">Allowances_Cap!$A$1:$AW$63</definedName>
    <definedName name="_xlnm.Print_Area" localSheetId="8">Allowances_Floor!$A$1:$AX$164</definedName>
    <definedName name="_xlnm.Print_Area" localSheetId="12">Cap_Floor_Levels!$A$1:$AT$25</definedName>
    <definedName name="_xlnm.Print_Area" localSheetId="0">Cover!$A$2:$C$38</definedName>
    <definedName name="_xlnm.Print_Area" localSheetId="3">Data_Sources!$A$1:$AX$121</definedName>
    <definedName name="_xlnm.Print_Area" localSheetId="5">Finance!$A$1:$AX$162</definedName>
    <definedName name="_xlnm.Print_Area" localSheetId="2">Inputs!$A$1:$AX$182</definedName>
    <definedName name="_xlnm.Print_Area" localSheetId="6">Op_Rav!$A$1:$AW$44</definedName>
    <definedName name="_xlnm.Print_Area" localSheetId="4">Pre_Op_RAV!$A$1:$AX$69</definedName>
    <definedName name="_xlnm.Print_Area" localSheetId="10">Tax_Cap!$A$1:$AW$49</definedName>
    <definedName name="_xlnm.Print_Area" localSheetId="9">Tax_Deductions!$A$1:$AW$78</definedName>
    <definedName name="_xlnm.Print_Area" localSheetId="11">Tax_Floor!$A$1:$AW$84</definedName>
    <definedName name="_xlnm.Print_Titles" localSheetId="7">Allowances_Cap!$1:$4</definedName>
    <definedName name="_xlnm.Print_Titles" localSheetId="8">Allowances_Floor!$1:$4</definedName>
    <definedName name="_xlnm.Print_Titles" localSheetId="12">Cap_Floor_Levels!$1:$2</definedName>
    <definedName name="_xlnm.Print_Titles" localSheetId="0">Cover!$2:$5</definedName>
    <definedName name="_xlnm.Print_Titles" localSheetId="3">Data_Sources!$1:$2</definedName>
    <definedName name="_xlnm.Print_Titles" localSheetId="5">Finance!$1:$4</definedName>
    <definedName name="_xlnm.Print_Titles" localSheetId="2">Inputs!$1:$2</definedName>
    <definedName name="_xlnm.Print_Titles" localSheetId="6">Op_Rav!$1:$3</definedName>
    <definedName name="_xlnm.Print_Titles" localSheetId="4">Pre_Op_RAV!$1:$4</definedName>
    <definedName name="_xlnm.Print_Titles" localSheetId="10">Tax_Cap!$1:$3</definedName>
    <definedName name="_xlnm.Print_Titles" localSheetId="9">Tax_Deductions!$1:$3</definedName>
    <definedName name="_xlnm.Print_Titles" localSheetId="11">Tax_Floor!$1:$3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" i="4" l="1"/>
  <c r="I138" i="3" l="1" a="1"/>
  <c r="I138" i="3" s="1"/>
  <c r="I50" i="3" l="1" a="1"/>
  <c r="I50" i="3" s="1"/>
  <c r="I22" i="6" s="1"/>
  <c r="G56" i="5" l="1"/>
  <c r="G54" i="5"/>
  <c r="L56" i="6" l="1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AJ56" i="6"/>
  <c r="AK56" i="6"/>
  <c r="AL56" i="6"/>
  <c r="AM56" i="6"/>
  <c r="AN56" i="6"/>
  <c r="AO56" i="6"/>
  <c r="AP56" i="6"/>
  <c r="AQ56" i="6"/>
  <c r="AR56" i="6"/>
  <c r="AS56" i="6"/>
  <c r="AT56" i="6"/>
  <c r="AU56" i="6"/>
  <c r="AV56" i="6"/>
  <c r="AW56" i="6"/>
  <c r="AX56" i="6"/>
  <c r="K56" i="6"/>
  <c r="I58" i="6"/>
  <c r="I108" i="4" l="1"/>
  <c r="I107" i="4"/>
  <c r="G108" i="4"/>
  <c r="E108" i="4"/>
  <c r="E107" i="4"/>
  <c r="I17" i="4"/>
  <c r="E17" i="4"/>
  <c r="I175" i="3"/>
  <c r="U171" i="3"/>
  <c r="L171" i="3"/>
  <c r="M171" i="3"/>
  <c r="N171" i="3"/>
  <c r="O171" i="3"/>
  <c r="P171" i="3"/>
  <c r="Q171" i="3"/>
  <c r="R171" i="3"/>
  <c r="S171" i="3"/>
  <c r="T171" i="3"/>
  <c r="V171" i="3"/>
  <c r="W171" i="3"/>
  <c r="X171" i="3"/>
  <c r="Y171" i="3"/>
  <c r="Z171" i="3"/>
  <c r="AA171" i="3"/>
  <c r="AB171" i="3"/>
  <c r="AC171" i="3"/>
  <c r="AD171" i="3"/>
  <c r="AE171" i="3"/>
  <c r="AF171" i="3"/>
  <c r="AG171" i="3"/>
  <c r="AH171" i="3"/>
  <c r="AI171" i="3"/>
  <c r="AJ171" i="3"/>
  <c r="AK171" i="3"/>
  <c r="AL171" i="3"/>
  <c r="AM171" i="3"/>
  <c r="AN171" i="3"/>
  <c r="AO171" i="3"/>
  <c r="AP171" i="3"/>
  <c r="AQ171" i="3"/>
  <c r="AR171" i="3"/>
  <c r="AS171" i="3"/>
  <c r="AT171" i="3"/>
  <c r="AU171" i="3"/>
  <c r="AV171" i="3"/>
  <c r="AW171" i="3"/>
  <c r="AX171" i="3"/>
  <c r="K171" i="3"/>
  <c r="I111" i="4"/>
  <c r="G111" i="4"/>
  <c r="E111" i="4"/>
  <c r="I49" i="4"/>
  <c r="G49" i="4"/>
  <c r="E49" i="4"/>
  <c r="I19" i="4"/>
  <c r="K12" i="7"/>
  <c r="G29" i="3"/>
  <c r="G19" i="4" s="1"/>
  <c r="G12" i="7"/>
  <c r="I140" i="3"/>
  <c r="G53" i="5" l="1"/>
  <c r="K22" i="3" l="1"/>
  <c r="L22" i="3" s="1"/>
  <c r="M22" i="3" s="1"/>
  <c r="N22" i="3" s="1"/>
  <c r="O22" i="3" s="1"/>
  <c r="P22" i="3" s="1"/>
  <c r="Q22" i="3" s="1"/>
  <c r="R22" i="3" s="1"/>
  <c r="S22" i="3" s="1"/>
  <c r="T22" i="3" s="1"/>
  <c r="U22" i="3" s="1"/>
  <c r="V22" i="3" s="1"/>
  <c r="W22" i="3" s="1"/>
  <c r="X22" i="3" s="1"/>
  <c r="Y22" i="3" s="1"/>
  <c r="Z22" i="3" s="1"/>
  <c r="AA22" i="3" s="1"/>
  <c r="AB22" i="3" s="1"/>
  <c r="AC22" i="3" s="1"/>
  <c r="AD22" i="3" s="1"/>
  <c r="AE22" i="3" s="1"/>
  <c r="AF22" i="3" s="1"/>
  <c r="AG22" i="3" s="1"/>
  <c r="AH22" i="3" s="1"/>
  <c r="AI22" i="3" s="1"/>
  <c r="AJ22" i="3" s="1"/>
  <c r="AK22" i="3" s="1"/>
  <c r="AL22" i="3" s="1"/>
  <c r="AM22" i="3" s="1"/>
  <c r="AN22" i="3" s="1"/>
  <c r="AO22" i="3" s="1"/>
  <c r="AP22" i="3" s="1"/>
  <c r="AQ22" i="3" s="1"/>
  <c r="AR22" i="3" s="1"/>
  <c r="AS22" i="3" s="1"/>
  <c r="AT22" i="3" s="1"/>
  <c r="AU22" i="3" s="1"/>
  <c r="AV22" i="3" s="1"/>
  <c r="AW22" i="3" s="1"/>
  <c r="AX22" i="3" s="1"/>
  <c r="K23" i="3" l="1"/>
  <c r="I119" i="4"/>
  <c r="I118" i="4"/>
  <c r="I117" i="4"/>
  <c r="G119" i="4"/>
  <c r="E119" i="4"/>
  <c r="E118" i="4"/>
  <c r="G118" i="4"/>
  <c r="G117" i="4"/>
  <c r="E117" i="4"/>
  <c r="G65" i="12" l="1"/>
  <c r="G26" i="11"/>
  <c r="L65" i="12"/>
  <c r="M65" i="12"/>
  <c r="N65" i="12"/>
  <c r="O65" i="12"/>
  <c r="P65" i="12"/>
  <c r="Q65" i="12"/>
  <c r="R65" i="12"/>
  <c r="S65" i="12"/>
  <c r="T65" i="12"/>
  <c r="U65" i="12"/>
  <c r="V65" i="12"/>
  <c r="W65" i="12"/>
  <c r="X65" i="12"/>
  <c r="Y65" i="12"/>
  <c r="Z65" i="12"/>
  <c r="AA65" i="12"/>
  <c r="AB65" i="12"/>
  <c r="AC65" i="12"/>
  <c r="AD65" i="12"/>
  <c r="AE65" i="12"/>
  <c r="AF65" i="12"/>
  <c r="AG65" i="12"/>
  <c r="AH65" i="12"/>
  <c r="AI65" i="12"/>
  <c r="AJ65" i="12"/>
  <c r="AK65" i="12"/>
  <c r="AL65" i="12"/>
  <c r="AM65" i="12"/>
  <c r="AN65" i="12"/>
  <c r="AO65" i="12"/>
  <c r="AP65" i="12"/>
  <c r="AQ65" i="12"/>
  <c r="AR65" i="12"/>
  <c r="AS65" i="12"/>
  <c r="AT65" i="12"/>
  <c r="AU65" i="12"/>
  <c r="AV65" i="12"/>
  <c r="AW65" i="12"/>
  <c r="AX65" i="12"/>
  <c r="K65" i="12"/>
  <c r="L26" i="12"/>
  <c r="M26" i="12"/>
  <c r="N26" i="12"/>
  <c r="O26" i="12"/>
  <c r="P26" i="12"/>
  <c r="Q26" i="12"/>
  <c r="R26" i="12"/>
  <c r="S26" i="12"/>
  <c r="T26" i="12"/>
  <c r="U26" i="12"/>
  <c r="V26" i="12"/>
  <c r="W26" i="12"/>
  <c r="X26" i="12"/>
  <c r="Y26" i="12"/>
  <c r="Z26" i="12"/>
  <c r="AA26" i="12"/>
  <c r="AB26" i="12"/>
  <c r="AC26" i="12"/>
  <c r="AD26" i="12"/>
  <c r="AE26" i="12"/>
  <c r="AF26" i="12"/>
  <c r="AG26" i="12"/>
  <c r="AH26" i="12"/>
  <c r="AI26" i="12"/>
  <c r="AJ26" i="12"/>
  <c r="AK26" i="12"/>
  <c r="AL26" i="12"/>
  <c r="AM26" i="12"/>
  <c r="AN26" i="12"/>
  <c r="AO26" i="12"/>
  <c r="AP26" i="12"/>
  <c r="AQ26" i="12"/>
  <c r="AR26" i="12"/>
  <c r="AS26" i="12"/>
  <c r="AT26" i="12"/>
  <c r="AU26" i="12"/>
  <c r="AV26" i="12"/>
  <c r="AW26" i="12"/>
  <c r="AX26" i="12"/>
  <c r="K26" i="12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Z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AN26" i="11"/>
  <c r="AO26" i="11"/>
  <c r="AP26" i="11"/>
  <c r="AQ26" i="11"/>
  <c r="AR26" i="11"/>
  <c r="AS26" i="11"/>
  <c r="AT26" i="11"/>
  <c r="AU26" i="11"/>
  <c r="AV26" i="11"/>
  <c r="AW26" i="11"/>
  <c r="AX26" i="11"/>
  <c r="K26" i="11"/>
  <c r="L43" i="10"/>
  <c r="M43" i="10"/>
  <c r="N43" i="10"/>
  <c r="O43" i="10"/>
  <c r="P43" i="10"/>
  <c r="Q43" i="10"/>
  <c r="R43" i="10"/>
  <c r="S43" i="10"/>
  <c r="T43" i="10"/>
  <c r="U43" i="10"/>
  <c r="V43" i="10"/>
  <c r="W43" i="10"/>
  <c r="X43" i="10"/>
  <c r="Y43" i="10"/>
  <c r="Z43" i="10"/>
  <c r="AA43" i="10"/>
  <c r="AB43" i="10"/>
  <c r="AC43" i="10"/>
  <c r="AD43" i="10"/>
  <c r="AE43" i="10"/>
  <c r="AF43" i="10"/>
  <c r="AG43" i="10"/>
  <c r="AH43" i="10"/>
  <c r="AI43" i="10"/>
  <c r="AJ43" i="10"/>
  <c r="AK43" i="10"/>
  <c r="AL43" i="10"/>
  <c r="AM43" i="10"/>
  <c r="AN43" i="10"/>
  <c r="AO43" i="10"/>
  <c r="AP43" i="10"/>
  <c r="AQ43" i="10"/>
  <c r="AR43" i="10"/>
  <c r="AS43" i="10"/>
  <c r="AT43" i="10"/>
  <c r="AU43" i="10"/>
  <c r="AV43" i="10"/>
  <c r="AW43" i="10"/>
  <c r="AX43" i="10"/>
  <c r="K43" i="10"/>
  <c r="G43" i="10"/>
  <c r="L43" i="5" l="1"/>
  <c r="I61" i="10"/>
  <c r="G61" i="10"/>
  <c r="E10" i="10"/>
  <c r="G23" i="13" l="1"/>
  <c r="G22" i="13"/>
  <c r="G21" i="13"/>
  <c r="G17" i="13"/>
  <c r="G16" i="13"/>
  <c r="G15" i="13"/>
  <c r="G14" i="13"/>
  <c r="J22" i="9"/>
  <c r="J21" i="9"/>
  <c r="G10" i="13"/>
  <c r="G9" i="13"/>
  <c r="G8" i="13"/>
  <c r="G7" i="13"/>
  <c r="G21" i="8"/>
  <c r="I19" i="8"/>
  <c r="I20" i="8"/>
  <c r="G6" i="3"/>
  <c r="G60" i="8" l="1"/>
  <c r="I49" i="12" l="1"/>
  <c r="T50" i="12" s="1"/>
  <c r="I10" i="12"/>
  <c r="L11" i="12" s="1"/>
  <c r="I10" i="11"/>
  <c r="U11" i="11" s="1"/>
  <c r="G10" i="11"/>
  <c r="H57" i="9"/>
  <c r="H53" i="9"/>
  <c r="H52" i="9"/>
  <c r="H48" i="9"/>
  <c r="H47" i="9"/>
  <c r="H43" i="9"/>
  <c r="H42" i="9"/>
  <c r="H27" i="9"/>
  <c r="H23" i="9"/>
  <c r="G56" i="8"/>
  <c r="G55" i="8"/>
  <c r="G53" i="8"/>
  <c r="G51" i="8"/>
  <c r="G50" i="8"/>
  <c r="G46" i="8"/>
  <c r="G45" i="8"/>
  <c r="G43" i="8"/>
  <c r="G41" i="8"/>
  <c r="G40" i="8"/>
  <c r="G25" i="8"/>
  <c r="AF11" i="11" l="1"/>
  <c r="R11" i="11"/>
  <c r="N11" i="11"/>
  <c r="AP11" i="11"/>
  <c r="AL11" i="11"/>
  <c r="AX11" i="11"/>
  <c r="AR11" i="11"/>
  <c r="AD11" i="11"/>
  <c r="Z11" i="11"/>
  <c r="T11" i="11"/>
  <c r="AQ11" i="11"/>
  <c r="AE11" i="11"/>
  <c r="S11" i="11"/>
  <c r="AO11" i="11"/>
  <c r="AC11" i="11"/>
  <c r="Q11" i="11"/>
  <c r="AN11" i="11"/>
  <c r="AB11" i="11"/>
  <c r="P11" i="11"/>
  <c r="K11" i="11"/>
  <c r="K18" i="11" s="1"/>
  <c r="AM11" i="11"/>
  <c r="AA11" i="11"/>
  <c r="O11" i="11"/>
  <c r="AW11" i="11"/>
  <c r="AK11" i="11"/>
  <c r="Y11" i="11"/>
  <c r="M11" i="11"/>
  <c r="AV11" i="11"/>
  <c r="AJ11" i="11"/>
  <c r="X11" i="11"/>
  <c r="L11" i="11"/>
  <c r="AU11" i="11"/>
  <c r="AI11" i="11"/>
  <c r="W11" i="11"/>
  <c r="AT11" i="11"/>
  <c r="AH11" i="11"/>
  <c r="V11" i="11"/>
  <c r="AS11" i="11"/>
  <c r="AG11" i="11"/>
  <c r="AQ11" i="12"/>
  <c r="AH11" i="12"/>
  <c r="AG11" i="12"/>
  <c r="T11" i="12"/>
  <c r="R11" i="12"/>
  <c r="AG50" i="12"/>
  <c r="AE50" i="12"/>
  <c r="Q50" i="12"/>
  <c r="O11" i="12"/>
  <c r="K11" i="12"/>
  <c r="K18" i="12" s="1"/>
  <c r="AS11" i="12"/>
  <c r="AP11" i="12"/>
  <c r="AD11" i="12"/>
  <c r="AJ50" i="12"/>
  <c r="AI50" i="12"/>
  <c r="R50" i="12"/>
  <c r="AF11" i="12"/>
  <c r="AV50" i="12"/>
  <c r="AD50" i="12"/>
  <c r="AC50" i="12"/>
  <c r="AX11" i="12"/>
  <c r="AA11" i="12"/>
  <c r="AT50" i="12"/>
  <c r="X50" i="12"/>
  <c r="AU50" i="12"/>
  <c r="AW11" i="12"/>
  <c r="Z11" i="12"/>
  <c r="AS50" i="12"/>
  <c r="W50" i="12"/>
  <c r="AU11" i="12"/>
  <c r="Y11" i="12"/>
  <c r="AQ50" i="12"/>
  <c r="V50" i="12"/>
  <c r="AP50" i="12"/>
  <c r="U50" i="12"/>
  <c r="AR11" i="12"/>
  <c r="S11" i="12"/>
  <c r="AO50" i="12"/>
  <c r="S50" i="12"/>
  <c r="AI11" i="12"/>
  <c r="M11" i="12"/>
  <c r="AH50" i="12"/>
  <c r="L50" i="12"/>
  <c r="AN50" i="12"/>
  <c r="AB50" i="12"/>
  <c r="P50" i="12"/>
  <c r="AM11" i="12"/>
  <c r="W11" i="12"/>
  <c r="K50" i="12"/>
  <c r="K57" i="12" s="1"/>
  <c r="AM50" i="12"/>
  <c r="AA50" i="12"/>
  <c r="O50" i="12"/>
  <c r="AL11" i="12"/>
  <c r="V11" i="12"/>
  <c r="AX50" i="12"/>
  <c r="AL50" i="12"/>
  <c r="Z50" i="12"/>
  <c r="N50" i="12"/>
  <c r="AK11" i="12"/>
  <c r="U11" i="12"/>
  <c r="AW50" i="12"/>
  <c r="AK50" i="12"/>
  <c r="Y50" i="12"/>
  <c r="M50" i="12"/>
  <c r="AT11" i="12"/>
  <c r="AE11" i="12"/>
  <c r="N11" i="12"/>
  <c r="AR50" i="12"/>
  <c r="AF50" i="12"/>
  <c r="AO11" i="12"/>
  <c r="AC11" i="12"/>
  <c r="Q11" i="12"/>
  <c r="AN11" i="12"/>
  <c r="AB11" i="12"/>
  <c r="P11" i="12"/>
  <c r="AV11" i="12"/>
  <c r="AJ11" i="12"/>
  <c r="X11" i="12"/>
  <c r="G156" i="6"/>
  <c r="I153" i="6"/>
  <c r="I31" i="8" l="1"/>
  <c r="K36" i="8" l="1"/>
  <c r="AJ29" i="12"/>
  <c r="AK29" i="12"/>
  <c r="AL29" i="12"/>
  <c r="AM29" i="12"/>
  <c r="AN29" i="12"/>
  <c r="AO29" i="12"/>
  <c r="AP29" i="12"/>
  <c r="AQ29" i="12"/>
  <c r="AR29" i="12"/>
  <c r="AS29" i="12"/>
  <c r="AT29" i="12"/>
  <c r="AU29" i="12"/>
  <c r="AV29" i="12"/>
  <c r="AW29" i="12"/>
  <c r="AX29" i="12"/>
  <c r="AJ68" i="12"/>
  <c r="AK68" i="12"/>
  <c r="AL68" i="12"/>
  <c r="AM68" i="12"/>
  <c r="AN68" i="12"/>
  <c r="AO68" i="12"/>
  <c r="AP68" i="12"/>
  <c r="AQ68" i="12"/>
  <c r="AR68" i="12"/>
  <c r="AS68" i="12"/>
  <c r="AT68" i="12"/>
  <c r="AU68" i="12"/>
  <c r="AV68" i="12"/>
  <c r="AW68" i="12"/>
  <c r="AX68" i="12"/>
  <c r="AJ29" i="11"/>
  <c r="AK29" i="11"/>
  <c r="AL29" i="11"/>
  <c r="AM29" i="11"/>
  <c r="AN29" i="11"/>
  <c r="AO29" i="11"/>
  <c r="AP29" i="11"/>
  <c r="AQ29" i="11"/>
  <c r="AR29" i="11"/>
  <c r="AS29" i="11"/>
  <c r="AT29" i="11"/>
  <c r="AU29" i="11"/>
  <c r="AV29" i="11"/>
  <c r="AW29" i="11"/>
  <c r="AX29" i="11"/>
  <c r="AK12" i="9"/>
  <c r="AL12" i="9"/>
  <c r="AM12" i="9"/>
  <c r="AN12" i="9"/>
  <c r="AO12" i="9"/>
  <c r="AP12" i="9"/>
  <c r="AQ12" i="9"/>
  <c r="AR12" i="9"/>
  <c r="AS12" i="9"/>
  <c r="AT12" i="9"/>
  <c r="AU12" i="9"/>
  <c r="AV12" i="9"/>
  <c r="AW12" i="9"/>
  <c r="AX12" i="9"/>
  <c r="AY12" i="9"/>
  <c r="AK13" i="9"/>
  <c r="AL13" i="9"/>
  <c r="AM13" i="9"/>
  <c r="AN13" i="9"/>
  <c r="AO13" i="9"/>
  <c r="AP13" i="9"/>
  <c r="AQ13" i="9"/>
  <c r="AR13" i="9"/>
  <c r="AS13" i="9"/>
  <c r="AT13" i="9"/>
  <c r="AU13" i="9"/>
  <c r="AV13" i="9"/>
  <c r="AW13" i="9"/>
  <c r="AX13" i="9"/>
  <c r="AY13" i="9"/>
  <c r="AK14" i="9"/>
  <c r="AL14" i="9"/>
  <c r="AM14" i="9"/>
  <c r="AN14" i="9"/>
  <c r="AO14" i="9"/>
  <c r="AP14" i="9"/>
  <c r="AQ14" i="9"/>
  <c r="AR14" i="9"/>
  <c r="AS14" i="9"/>
  <c r="AT14" i="9"/>
  <c r="AU14" i="9"/>
  <c r="AV14" i="9"/>
  <c r="AW14" i="9"/>
  <c r="AX14" i="9"/>
  <c r="AY14" i="9"/>
  <c r="AX10" i="8"/>
  <c r="AX11" i="8"/>
  <c r="AX12" i="8"/>
  <c r="AU10" i="8"/>
  <c r="AV10" i="8"/>
  <c r="AW10" i="8"/>
  <c r="AU11" i="8"/>
  <c r="AV11" i="8"/>
  <c r="AW11" i="8"/>
  <c r="AU12" i="8"/>
  <c r="AV12" i="8"/>
  <c r="AW12" i="8"/>
  <c r="AJ10" i="8"/>
  <c r="AK10" i="8"/>
  <c r="AL10" i="8"/>
  <c r="AM10" i="8"/>
  <c r="AN10" i="8"/>
  <c r="AO10" i="8"/>
  <c r="AP10" i="8"/>
  <c r="AQ10" i="8"/>
  <c r="AR10" i="8"/>
  <c r="AS10" i="8"/>
  <c r="AT10" i="8"/>
  <c r="AJ11" i="8"/>
  <c r="AK11" i="8"/>
  <c r="AL11" i="8"/>
  <c r="AM11" i="8"/>
  <c r="AN11" i="8"/>
  <c r="AO11" i="8"/>
  <c r="AP11" i="8"/>
  <c r="AQ11" i="8"/>
  <c r="AR11" i="8"/>
  <c r="AS11" i="8"/>
  <c r="AT11" i="8"/>
  <c r="AJ12" i="8"/>
  <c r="AK12" i="8"/>
  <c r="AL12" i="8"/>
  <c r="AM12" i="8"/>
  <c r="AN12" i="8"/>
  <c r="AO12" i="8"/>
  <c r="AP12" i="8"/>
  <c r="AQ12" i="8"/>
  <c r="AR12" i="8"/>
  <c r="AS12" i="8"/>
  <c r="AT12" i="8"/>
  <c r="AX14" i="7" l="1"/>
  <c r="AU14" i="7"/>
  <c r="AV14" i="7"/>
  <c r="AW14" i="7"/>
  <c r="AJ14" i="7"/>
  <c r="AK14" i="7"/>
  <c r="AL14" i="7"/>
  <c r="AM14" i="7"/>
  <c r="AN14" i="7"/>
  <c r="AO14" i="7"/>
  <c r="AP14" i="7"/>
  <c r="AQ14" i="7"/>
  <c r="AR14" i="7"/>
  <c r="AS14" i="7"/>
  <c r="AT14" i="7"/>
  <c r="I24" i="4" l="1"/>
  <c r="I25" i="4"/>
  <c r="I26" i="4"/>
  <c r="I23" i="4"/>
  <c r="E24" i="4"/>
  <c r="E25" i="4"/>
  <c r="E26" i="4"/>
  <c r="E23" i="4"/>
  <c r="G26" i="3"/>
  <c r="K12" i="3"/>
  <c r="G82" i="12"/>
  <c r="G78" i="12"/>
  <c r="G77" i="12"/>
  <c r="G75" i="12"/>
  <c r="G74" i="12"/>
  <c r="AI68" i="12"/>
  <c r="AH68" i="12"/>
  <c r="AG68" i="12"/>
  <c r="AF68" i="12"/>
  <c r="AE68" i="12"/>
  <c r="AD68" i="12"/>
  <c r="AC68" i="12"/>
  <c r="AB68" i="12"/>
  <c r="AA68" i="12"/>
  <c r="Z68" i="12"/>
  <c r="Y68" i="12"/>
  <c r="X68" i="12"/>
  <c r="W68" i="12"/>
  <c r="V68" i="12"/>
  <c r="U68" i="12"/>
  <c r="T68" i="12"/>
  <c r="S68" i="12"/>
  <c r="R68" i="12"/>
  <c r="Q68" i="12"/>
  <c r="P68" i="12"/>
  <c r="O68" i="12"/>
  <c r="N68" i="12"/>
  <c r="M68" i="12"/>
  <c r="L68" i="12"/>
  <c r="K68" i="12"/>
  <c r="G43" i="12"/>
  <c r="G39" i="12"/>
  <c r="G38" i="12"/>
  <c r="G36" i="12"/>
  <c r="G35" i="12"/>
  <c r="AI29" i="12"/>
  <c r="AH29" i="12"/>
  <c r="AG29" i="12"/>
  <c r="AF29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Q29" i="12"/>
  <c r="P29" i="12"/>
  <c r="O29" i="12"/>
  <c r="N29" i="12"/>
  <c r="M29" i="12"/>
  <c r="L29" i="12"/>
  <c r="K29" i="12"/>
  <c r="G26" i="12"/>
  <c r="G43" i="11"/>
  <c r="G39" i="11"/>
  <c r="G38" i="11"/>
  <c r="G36" i="11"/>
  <c r="G35" i="11"/>
  <c r="AI29" i="11"/>
  <c r="AH29" i="11"/>
  <c r="AG29" i="11"/>
  <c r="AF29" i="11"/>
  <c r="AE29" i="11"/>
  <c r="AD29" i="11"/>
  <c r="AC29" i="11"/>
  <c r="AB29" i="11"/>
  <c r="AA29" i="11"/>
  <c r="Z29" i="11"/>
  <c r="Y29" i="11"/>
  <c r="X29" i="11"/>
  <c r="W29" i="11"/>
  <c r="V29" i="11"/>
  <c r="U29" i="11"/>
  <c r="T29" i="11"/>
  <c r="S29" i="11"/>
  <c r="R29" i="11"/>
  <c r="Q29" i="11"/>
  <c r="P29" i="11"/>
  <c r="O29" i="11"/>
  <c r="N29" i="11"/>
  <c r="M29" i="11"/>
  <c r="L29" i="11"/>
  <c r="K29" i="11"/>
  <c r="I67" i="10"/>
  <c r="G67" i="10"/>
  <c r="I66" i="10"/>
  <c r="G66" i="10"/>
  <c r="G60" i="10"/>
  <c r="I44" i="10"/>
  <c r="K51" i="10" s="1"/>
  <c r="G44" i="10"/>
  <c r="H108" i="9"/>
  <c r="J104" i="9"/>
  <c r="H104" i="9"/>
  <c r="J103" i="9"/>
  <c r="H103" i="9"/>
  <c r="H99" i="9"/>
  <c r="H98" i="9"/>
  <c r="H94" i="9"/>
  <c r="H93" i="9"/>
  <c r="J85" i="9"/>
  <c r="H85" i="9"/>
  <c r="H73" i="9"/>
  <c r="H72" i="9"/>
  <c r="H71" i="9"/>
  <c r="H70" i="9"/>
  <c r="H69" i="9"/>
  <c r="H63" i="9"/>
  <c r="J34" i="9"/>
  <c r="H34" i="9"/>
  <c r="J33" i="9"/>
  <c r="H33" i="9"/>
  <c r="H17" i="9"/>
  <c r="H16" i="9"/>
  <c r="H15" i="9"/>
  <c r="H14" i="9"/>
  <c r="H13" i="9"/>
  <c r="H12" i="9"/>
  <c r="G61" i="8"/>
  <c r="I32" i="8"/>
  <c r="G32" i="8"/>
  <c r="G31" i="8"/>
  <c r="G15" i="8"/>
  <c r="G14" i="8"/>
  <c r="G13" i="8"/>
  <c r="G12" i="8"/>
  <c r="G11" i="8"/>
  <c r="G10" i="8"/>
  <c r="G42" i="7"/>
  <c r="G41" i="7"/>
  <c r="G39" i="7"/>
  <c r="G38" i="7"/>
  <c r="G36" i="7"/>
  <c r="G35" i="7"/>
  <c r="I33" i="7"/>
  <c r="G33" i="7"/>
  <c r="I32" i="7"/>
  <c r="G32" i="7"/>
  <c r="G26" i="7"/>
  <c r="I22" i="7"/>
  <c r="K23" i="7" s="1"/>
  <c r="G18" i="7"/>
  <c r="G16" i="7"/>
  <c r="G15" i="7"/>
  <c r="G14" i="7"/>
  <c r="G13" i="7"/>
  <c r="G11" i="7"/>
  <c r="G10" i="7"/>
  <c r="G9" i="7"/>
  <c r="G151" i="6"/>
  <c r="I148" i="6"/>
  <c r="G148" i="6"/>
  <c r="I135" i="6"/>
  <c r="I134" i="6"/>
  <c r="I133" i="6"/>
  <c r="I132" i="6"/>
  <c r="I131" i="6"/>
  <c r="I118" i="6"/>
  <c r="I106" i="6"/>
  <c r="I105" i="6"/>
  <c r="I104" i="6"/>
  <c r="I103" i="6"/>
  <c r="I102" i="6"/>
  <c r="I101" i="6"/>
  <c r="I92" i="6"/>
  <c r="I91" i="6"/>
  <c r="I90" i="6"/>
  <c r="I89" i="6"/>
  <c r="I88" i="6"/>
  <c r="I87" i="6"/>
  <c r="I86" i="6"/>
  <c r="I85" i="6"/>
  <c r="I83" i="6"/>
  <c r="I82" i="6"/>
  <c r="I81" i="6"/>
  <c r="I80" i="6"/>
  <c r="I79" i="6"/>
  <c r="I78" i="6"/>
  <c r="I74" i="6"/>
  <c r="I73" i="6"/>
  <c r="I72" i="6"/>
  <c r="I71" i="6"/>
  <c r="I70" i="6"/>
  <c r="I69" i="6"/>
  <c r="I68" i="6"/>
  <c r="G50" i="6"/>
  <c r="G49" i="6"/>
  <c r="G48" i="6"/>
  <c r="G47" i="6"/>
  <c r="G46" i="6"/>
  <c r="G45" i="6"/>
  <c r="G44" i="6"/>
  <c r="G43" i="6"/>
  <c r="G42" i="6"/>
  <c r="I38" i="6"/>
  <c r="G38" i="6"/>
  <c r="I37" i="6"/>
  <c r="G37" i="6"/>
  <c r="I35" i="6"/>
  <c r="G35" i="6"/>
  <c r="I34" i="6"/>
  <c r="G28" i="6"/>
  <c r="G27" i="6"/>
  <c r="G26" i="6"/>
  <c r="G25" i="6"/>
  <c r="K24" i="6"/>
  <c r="G24" i="6"/>
  <c r="G22" i="6"/>
  <c r="G48" i="5"/>
  <c r="G47" i="5"/>
  <c r="G46" i="5"/>
  <c r="G45" i="5"/>
  <c r="G44" i="5"/>
  <c r="AX43" i="5"/>
  <c r="AW43" i="5"/>
  <c r="AV43" i="5"/>
  <c r="AU43" i="5"/>
  <c r="AT43" i="5"/>
  <c r="AS43" i="5"/>
  <c r="AR43" i="5"/>
  <c r="AQ43" i="5"/>
  <c r="AP43" i="5"/>
  <c r="AO43" i="5"/>
  <c r="AN43" i="5"/>
  <c r="AM43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K43" i="5"/>
  <c r="G43" i="5"/>
  <c r="AX42" i="5"/>
  <c r="AW42" i="5"/>
  <c r="AV42" i="5"/>
  <c r="AU42" i="5"/>
  <c r="AT42" i="5"/>
  <c r="AS42" i="5"/>
  <c r="AR42" i="5"/>
  <c r="AQ42" i="5"/>
  <c r="AP42" i="5"/>
  <c r="AO42" i="5"/>
  <c r="AN42" i="5"/>
  <c r="AM42" i="5"/>
  <c r="AL42" i="5"/>
  <c r="AK42" i="5"/>
  <c r="AJ42" i="5"/>
  <c r="AI42" i="5"/>
  <c r="AH42" i="5"/>
  <c r="AG42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G42" i="5"/>
  <c r="G41" i="5"/>
  <c r="G40" i="5"/>
  <c r="G36" i="5"/>
  <c r="G35" i="5"/>
  <c r="G34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K34" i="5" s="1"/>
  <c r="G33" i="5"/>
  <c r="G32" i="5"/>
  <c r="G26" i="5"/>
  <c r="G25" i="5"/>
  <c r="G24" i="5"/>
  <c r="G23" i="5"/>
  <c r="E23" i="5"/>
  <c r="G22" i="5"/>
  <c r="G21" i="5"/>
  <c r="G20" i="5"/>
  <c r="G19" i="5"/>
  <c r="I113" i="4"/>
  <c r="G113" i="4"/>
  <c r="E113" i="4"/>
  <c r="I112" i="4"/>
  <c r="G112" i="4"/>
  <c r="E112" i="4"/>
  <c r="I110" i="4"/>
  <c r="G110" i="4"/>
  <c r="E110" i="4"/>
  <c r="I109" i="4"/>
  <c r="G109" i="4"/>
  <c r="E109" i="4"/>
  <c r="I103" i="4"/>
  <c r="G103" i="4"/>
  <c r="E103" i="4"/>
  <c r="I102" i="4"/>
  <c r="G102" i="4"/>
  <c r="E102" i="4"/>
  <c r="I101" i="4"/>
  <c r="G101" i="4"/>
  <c r="E101" i="4"/>
  <c r="I100" i="4"/>
  <c r="G100" i="4"/>
  <c r="E100" i="4"/>
  <c r="I99" i="4"/>
  <c r="G99" i="4"/>
  <c r="E99" i="4"/>
  <c r="I98" i="4"/>
  <c r="G98" i="4"/>
  <c r="E98" i="4"/>
  <c r="I96" i="4"/>
  <c r="G96" i="4"/>
  <c r="E96" i="4"/>
  <c r="I95" i="4"/>
  <c r="G95" i="4"/>
  <c r="E95" i="4"/>
  <c r="I93" i="4"/>
  <c r="G93" i="4"/>
  <c r="E93" i="4"/>
  <c r="I92" i="4"/>
  <c r="G92" i="4"/>
  <c r="E92" i="4"/>
  <c r="I90" i="4"/>
  <c r="G90" i="4"/>
  <c r="E90" i="4"/>
  <c r="I89" i="4"/>
  <c r="G89" i="4"/>
  <c r="E89" i="4"/>
  <c r="I88" i="4"/>
  <c r="G88" i="4"/>
  <c r="E88" i="4"/>
  <c r="I87" i="4"/>
  <c r="E87" i="4"/>
  <c r="I85" i="4"/>
  <c r="G85" i="4"/>
  <c r="E85" i="4"/>
  <c r="I84" i="4"/>
  <c r="G84" i="4"/>
  <c r="E84" i="4"/>
  <c r="I83" i="4"/>
  <c r="G83" i="4"/>
  <c r="E83" i="4"/>
  <c r="I82" i="4"/>
  <c r="E82" i="4"/>
  <c r="I81" i="4"/>
  <c r="E81" i="4"/>
  <c r="I79" i="4"/>
  <c r="G79" i="4"/>
  <c r="E79" i="4"/>
  <c r="I78" i="4"/>
  <c r="G78" i="4"/>
  <c r="E78" i="4"/>
  <c r="I77" i="4"/>
  <c r="G77" i="4"/>
  <c r="E77" i="4"/>
  <c r="I76" i="4"/>
  <c r="E76" i="4"/>
  <c r="I74" i="4"/>
  <c r="G74" i="4"/>
  <c r="E74" i="4"/>
  <c r="I73" i="4"/>
  <c r="G73" i="4"/>
  <c r="E73" i="4"/>
  <c r="I72" i="4"/>
  <c r="G72" i="4"/>
  <c r="E72" i="4"/>
  <c r="I71" i="4"/>
  <c r="E71" i="4"/>
  <c r="I69" i="4"/>
  <c r="G69" i="4"/>
  <c r="E69" i="4"/>
  <c r="I68" i="4"/>
  <c r="G68" i="4"/>
  <c r="E68" i="4"/>
  <c r="I67" i="4"/>
  <c r="G67" i="4"/>
  <c r="E67" i="4"/>
  <c r="I66" i="4"/>
  <c r="E66" i="4"/>
  <c r="I64" i="4"/>
  <c r="G64" i="4"/>
  <c r="E64" i="4"/>
  <c r="I63" i="4"/>
  <c r="G63" i="4"/>
  <c r="E63" i="4"/>
  <c r="I61" i="4"/>
  <c r="G61" i="4"/>
  <c r="E61" i="4"/>
  <c r="I60" i="4"/>
  <c r="G60" i="4"/>
  <c r="E60" i="4"/>
  <c r="I59" i="4"/>
  <c r="G59" i="4"/>
  <c r="E59" i="4"/>
  <c r="I58" i="4"/>
  <c r="G58" i="4"/>
  <c r="E58" i="4"/>
  <c r="I56" i="4"/>
  <c r="G56" i="4"/>
  <c r="E56" i="4"/>
  <c r="I55" i="4"/>
  <c r="G55" i="4"/>
  <c r="E55" i="4"/>
  <c r="I53" i="4"/>
  <c r="G53" i="4"/>
  <c r="E53" i="4"/>
  <c r="I52" i="4"/>
  <c r="G52" i="4"/>
  <c r="E52" i="4"/>
  <c r="I51" i="4"/>
  <c r="G51" i="4"/>
  <c r="E51" i="4"/>
  <c r="I47" i="4"/>
  <c r="G47" i="4"/>
  <c r="E47" i="4"/>
  <c r="I46" i="4"/>
  <c r="E46" i="4"/>
  <c r="I45" i="4"/>
  <c r="G45" i="4"/>
  <c r="E45" i="4"/>
  <c r="I41" i="4"/>
  <c r="G41" i="4"/>
  <c r="E41" i="4"/>
  <c r="I40" i="4"/>
  <c r="G40" i="4"/>
  <c r="E40" i="4"/>
  <c r="I38" i="4"/>
  <c r="G38" i="4"/>
  <c r="E38" i="4"/>
  <c r="I37" i="4"/>
  <c r="G37" i="4"/>
  <c r="E37" i="4"/>
  <c r="I34" i="4"/>
  <c r="G34" i="4"/>
  <c r="E34" i="4"/>
  <c r="I33" i="4"/>
  <c r="G33" i="4"/>
  <c r="E33" i="4"/>
  <c r="I32" i="4"/>
  <c r="G32" i="4"/>
  <c r="E32" i="4"/>
  <c r="I16" i="4"/>
  <c r="H16" i="4"/>
  <c r="G16" i="4"/>
  <c r="E16" i="4"/>
  <c r="I14" i="4"/>
  <c r="G14" i="4"/>
  <c r="E14" i="4"/>
  <c r="I13" i="4"/>
  <c r="G13" i="4"/>
  <c r="E13" i="4"/>
  <c r="I12" i="4"/>
  <c r="G12" i="4"/>
  <c r="E12" i="4"/>
  <c r="I6" i="4"/>
  <c r="G6" i="4"/>
  <c r="E6" i="4"/>
  <c r="K46" i="10"/>
  <c r="H96" i="9"/>
  <c r="G80" i="12" s="1"/>
  <c r="M4" i="9"/>
  <c r="L4" i="8"/>
  <c r="K9" i="7"/>
  <c r="K42" i="6"/>
  <c r="I139" i="3"/>
  <c r="K126" i="3"/>
  <c r="K127" i="3" s="1"/>
  <c r="K146" i="3" s="1"/>
  <c r="K111" i="3"/>
  <c r="K112" i="3" s="1"/>
  <c r="G87" i="4"/>
  <c r="G82" i="4"/>
  <c r="G81" i="4"/>
  <c r="G76" i="4"/>
  <c r="G71" i="4"/>
  <c r="G66" i="4"/>
  <c r="G46" i="4"/>
  <c r="I46" i="3"/>
  <c r="G38" i="3"/>
  <c r="G26" i="4" s="1"/>
  <c r="G37" i="3"/>
  <c r="G25" i="4" s="1"/>
  <c r="G36" i="3"/>
  <c r="G24" i="4" s="1"/>
  <c r="G35" i="3"/>
  <c r="G23" i="4" s="1"/>
  <c r="G28" i="3"/>
  <c r="E28" i="3"/>
  <c r="E22" i="5" s="1"/>
  <c r="G27" i="3"/>
  <c r="E27" i="3"/>
  <c r="E21" i="5" s="1"/>
  <c r="E26" i="3"/>
  <c r="E20" i="5" s="1"/>
  <c r="G22" i="3"/>
  <c r="A4" i="1"/>
  <c r="I144" i="3" l="1"/>
  <c r="C36" i="1" s="1"/>
  <c r="K35" i="8"/>
  <c r="I33" i="8"/>
  <c r="I43" i="8" s="1"/>
  <c r="K147" i="3"/>
  <c r="I60" i="10"/>
  <c r="I62" i="10" s="1"/>
  <c r="W69" i="10"/>
  <c r="AI69" i="10"/>
  <c r="AU69" i="10"/>
  <c r="L69" i="10"/>
  <c r="X69" i="10"/>
  <c r="AJ69" i="10"/>
  <c r="AV69" i="10"/>
  <c r="M69" i="10"/>
  <c r="Y69" i="10"/>
  <c r="AK69" i="10"/>
  <c r="AW69" i="10"/>
  <c r="AT69" i="10"/>
  <c r="N69" i="10"/>
  <c r="Z69" i="10"/>
  <c r="AL69" i="10"/>
  <c r="AX69" i="10"/>
  <c r="O69" i="10"/>
  <c r="AA69" i="10"/>
  <c r="AM69" i="10"/>
  <c r="K69" i="10"/>
  <c r="V69" i="10"/>
  <c r="AH69" i="10"/>
  <c r="P69" i="10"/>
  <c r="AB69" i="10"/>
  <c r="AN69" i="10"/>
  <c r="Q69" i="10"/>
  <c r="AC69" i="10"/>
  <c r="AO69" i="10"/>
  <c r="R69" i="10"/>
  <c r="AD69" i="10"/>
  <c r="AP69" i="10"/>
  <c r="S69" i="10"/>
  <c r="AE69" i="10"/>
  <c r="AQ69" i="10"/>
  <c r="T69" i="10"/>
  <c r="AF69" i="10"/>
  <c r="AR69" i="10"/>
  <c r="U69" i="10"/>
  <c r="AG69" i="10"/>
  <c r="AS69" i="10"/>
  <c r="AV51" i="10"/>
  <c r="T51" i="10"/>
  <c r="AF51" i="10"/>
  <c r="AK51" i="10"/>
  <c r="AW51" i="10"/>
  <c r="U51" i="10"/>
  <c r="AG51" i="10"/>
  <c r="AN51" i="10"/>
  <c r="M51" i="10"/>
  <c r="Y51" i="10"/>
  <c r="Z51" i="10"/>
  <c r="AA51" i="10"/>
  <c r="P51" i="10"/>
  <c r="S51" i="10"/>
  <c r="AL51" i="10"/>
  <c r="AX51" i="10"/>
  <c r="V51" i="10"/>
  <c r="AH51" i="10"/>
  <c r="W51" i="10"/>
  <c r="L51" i="10"/>
  <c r="X51" i="10"/>
  <c r="AO51" i="10"/>
  <c r="O51" i="10"/>
  <c r="AR51" i="10"/>
  <c r="AS51" i="10"/>
  <c r="AM51" i="10"/>
  <c r="N51" i="10"/>
  <c r="AB51" i="10"/>
  <c r="Q51" i="10"/>
  <c r="AC51" i="10"/>
  <c r="AT51" i="10"/>
  <c r="AD51" i="10"/>
  <c r="AP51" i="10"/>
  <c r="R51" i="10"/>
  <c r="AU51" i="10"/>
  <c r="AE51" i="10"/>
  <c r="AQ51" i="10"/>
  <c r="K24" i="7"/>
  <c r="K12" i="10" s="1"/>
  <c r="L23" i="7"/>
  <c r="M23" i="7" s="1"/>
  <c r="N23" i="7" s="1"/>
  <c r="O23" i="7" s="1"/>
  <c r="P23" i="7" s="1"/>
  <c r="Q23" i="7" s="1"/>
  <c r="R23" i="7" s="1"/>
  <c r="S23" i="7" s="1"/>
  <c r="T23" i="7" s="1"/>
  <c r="U23" i="7" s="1"/>
  <c r="V23" i="7" s="1"/>
  <c r="W23" i="7" s="1"/>
  <c r="X23" i="7" s="1"/>
  <c r="Y23" i="7" s="1"/>
  <c r="Z23" i="7" s="1"/>
  <c r="AA23" i="7" s="1"/>
  <c r="AB23" i="7" s="1"/>
  <c r="AC23" i="7" s="1"/>
  <c r="AD23" i="7" s="1"/>
  <c r="AE23" i="7" s="1"/>
  <c r="AF23" i="7" s="1"/>
  <c r="AG23" i="7" s="1"/>
  <c r="AH23" i="7" s="1"/>
  <c r="AI23" i="7" s="1"/>
  <c r="AJ23" i="7" s="1"/>
  <c r="AK23" i="7" s="1"/>
  <c r="AL23" i="7" s="1"/>
  <c r="AM23" i="7" s="1"/>
  <c r="AN23" i="7" s="1"/>
  <c r="AO23" i="7" s="1"/>
  <c r="AP23" i="7" s="1"/>
  <c r="AQ23" i="7" s="1"/>
  <c r="AR23" i="7" s="1"/>
  <c r="AS23" i="7" s="1"/>
  <c r="AT23" i="7" s="1"/>
  <c r="AU23" i="7" s="1"/>
  <c r="AV23" i="7" s="1"/>
  <c r="AW23" i="7" s="1"/>
  <c r="AX23" i="7" s="1"/>
  <c r="L38" i="9"/>
  <c r="M37" i="9"/>
  <c r="K36" i="11"/>
  <c r="K28" i="3"/>
  <c r="K22" i="5" s="1"/>
  <c r="J35" i="9"/>
  <c r="I41" i="12" s="1"/>
  <c r="L37" i="9"/>
  <c r="K157" i="3"/>
  <c r="I141" i="3"/>
  <c r="L111" i="3"/>
  <c r="L112" i="3"/>
  <c r="M111" i="3" s="1"/>
  <c r="Q13" i="9"/>
  <c r="U12" i="8"/>
  <c r="N13" i="9"/>
  <c r="Q12" i="9"/>
  <c r="AE14" i="7"/>
  <c r="K150" i="3"/>
  <c r="K153" i="3"/>
  <c r="K3" i="6"/>
  <c r="K3" i="5"/>
  <c r="K13" i="3"/>
  <c r="AH14" i="7"/>
  <c r="V14" i="7"/>
  <c r="W14" i="7"/>
  <c r="AF14" i="7"/>
  <c r="X14" i="7"/>
  <c r="AA14" i="7"/>
  <c r="O14" i="7"/>
  <c r="N14" i="7"/>
  <c r="Y14" i="7"/>
  <c r="Z14" i="7"/>
  <c r="AD14" i="7"/>
  <c r="R14" i="7"/>
  <c r="AC14" i="7"/>
  <c r="Q14" i="7"/>
  <c r="AB14" i="7"/>
  <c r="P14" i="7"/>
  <c r="M14" i="7"/>
  <c r="K14" i="7"/>
  <c r="L14" i="7"/>
  <c r="AI14" i="7"/>
  <c r="AG14" i="7"/>
  <c r="S14" i="7"/>
  <c r="T14" i="7"/>
  <c r="U14" i="7"/>
  <c r="K149" i="3"/>
  <c r="L126" i="3"/>
  <c r="L127" i="3"/>
  <c r="L36" i="8"/>
  <c r="L36" i="11" s="1"/>
  <c r="L35" i="8"/>
  <c r="M4" i="8"/>
  <c r="N4" i="9"/>
  <c r="M38" i="9"/>
  <c r="L36" i="12" s="1"/>
  <c r="K12" i="6" l="1"/>
  <c r="K160" i="6" s="1"/>
  <c r="K44" i="5" s="1"/>
  <c r="I53" i="8"/>
  <c r="K151" i="3"/>
  <c r="K170" i="3" s="1"/>
  <c r="K159" i="3"/>
  <c r="K26" i="3"/>
  <c r="K25" i="6" s="1"/>
  <c r="K27" i="3"/>
  <c r="K21" i="5" s="1"/>
  <c r="I41" i="11"/>
  <c r="K8" i="5"/>
  <c r="K148" i="3"/>
  <c r="K9" i="5" s="1"/>
  <c r="K8" i="6"/>
  <c r="L23" i="3"/>
  <c r="J45" i="9"/>
  <c r="J55" i="9"/>
  <c r="K36" i="12"/>
  <c r="K158" i="3"/>
  <c r="K16" i="6" s="1"/>
  <c r="P10" i="8"/>
  <c r="K20" i="5"/>
  <c r="K12" i="5"/>
  <c r="M112" i="3"/>
  <c r="N111" i="3" s="1"/>
  <c r="V14" i="9"/>
  <c r="P11" i="8"/>
  <c r="K27" i="6"/>
  <c r="M11" i="8"/>
  <c r="AD12" i="9"/>
  <c r="AC10" i="8"/>
  <c r="O12" i="8"/>
  <c r="P14" i="9"/>
  <c r="AB12" i="9"/>
  <c r="AA10" i="8"/>
  <c r="AB12" i="8"/>
  <c r="AC14" i="9"/>
  <c r="R14" i="9"/>
  <c r="Q12" i="8"/>
  <c r="L14" i="9"/>
  <c r="K12" i="8"/>
  <c r="P12" i="9"/>
  <c r="O10" i="8"/>
  <c r="O12" i="9"/>
  <c r="N10" i="8"/>
  <c r="W11" i="8"/>
  <c r="X13" i="9"/>
  <c r="T14" i="9"/>
  <c r="S12" i="8"/>
  <c r="Q11" i="8"/>
  <c r="R13" i="9"/>
  <c r="R11" i="8"/>
  <c r="S13" i="9"/>
  <c r="K9" i="6"/>
  <c r="K10" i="5"/>
  <c r="AB11" i="8"/>
  <c r="AC13" i="9"/>
  <c r="Y10" i="8"/>
  <c r="Z12" i="9"/>
  <c r="M12" i="8"/>
  <c r="N14" i="9"/>
  <c r="AJ12" i="9"/>
  <c r="AI10" i="8"/>
  <c r="X14" i="9"/>
  <c r="W12" i="8"/>
  <c r="L12" i="8"/>
  <c r="M14" i="9"/>
  <c r="R10" i="8"/>
  <c r="S12" i="9"/>
  <c r="AG10" i="8"/>
  <c r="AH12" i="9"/>
  <c r="V12" i="8"/>
  <c r="W14" i="9"/>
  <c r="AE10" i="8"/>
  <c r="AF12" i="9"/>
  <c r="AG14" i="9"/>
  <c r="AF12" i="8"/>
  <c r="V11" i="8"/>
  <c r="W13" i="9"/>
  <c r="L149" i="3"/>
  <c r="L146" i="3"/>
  <c r="M127" i="3"/>
  <c r="L147" i="3"/>
  <c r="L8" i="6" s="1"/>
  <c r="L153" i="3"/>
  <c r="M126" i="3"/>
  <c r="L157" i="3"/>
  <c r="L158" i="3" s="1"/>
  <c r="L150" i="3"/>
  <c r="L151" i="3" s="1"/>
  <c r="L170" i="3" s="1"/>
  <c r="AA11" i="8"/>
  <c r="AB13" i="9"/>
  <c r="X10" i="8"/>
  <c r="Y12" i="9"/>
  <c r="AH11" i="8"/>
  <c r="AI13" i="9"/>
  <c r="S10" i="8"/>
  <c r="T12" i="9"/>
  <c r="AJ14" i="9"/>
  <c r="AI12" i="8"/>
  <c r="Z13" i="9"/>
  <c r="Y11" i="8"/>
  <c r="Z12" i="8"/>
  <c r="AA14" i="9"/>
  <c r="P12" i="8"/>
  <c r="Q14" i="9"/>
  <c r="Z14" i="9"/>
  <c r="Y12" i="8"/>
  <c r="V13" i="9"/>
  <c r="U11" i="8"/>
  <c r="T10" i="8"/>
  <c r="U12" i="9"/>
  <c r="X12" i="8"/>
  <c r="Y14" i="9"/>
  <c r="AD12" i="8"/>
  <c r="AE14" i="9"/>
  <c r="AB14" i="9"/>
  <c r="AA12" i="8"/>
  <c r="AI11" i="8"/>
  <c r="AJ13" i="9"/>
  <c r="AD10" i="8"/>
  <c r="AE12" i="9"/>
  <c r="P13" i="9"/>
  <c r="O11" i="8"/>
  <c r="AH14" i="9"/>
  <c r="AG12" i="8"/>
  <c r="L11" i="8"/>
  <c r="M13" i="9"/>
  <c r="AE13" i="9"/>
  <c r="AD11" i="8"/>
  <c r="N38" i="9"/>
  <c r="M36" i="12" s="1"/>
  <c r="O4" i="9"/>
  <c r="N37" i="9"/>
  <c r="V10" i="8"/>
  <c r="W12" i="9"/>
  <c r="AG12" i="9"/>
  <c r="AF10" i="8"/>
  <c r="V12" i="9"/>
  <c r="U10" i="8"/>
  <c r="AD14" i="9"/>
  <c r="AC12" i="8"/>
  <c r="AH10" i="8"/>
  <c r="AI12" i="9"/>
  <c r="AF11" i="8"/>
  <c r="AG13" i="9"/>
  <c r="T11" i="8"/>
  <c r="U13" i="9"/>
  <c r="T13" i="9"/>
  <c r="S11" i="8"/>
  <c r="AC12" i="9"/>
  <c r="AB10" i="8"/>
  <c r="AD13" i="9"/>
  <c r="AC11" i="8"/>
  <c r="M12" i="9"/>
  <c r="L10" i="8"/>
  <c r="K11" i="8"/>
  <c r="L13" i="9"/>
  <c r="Q10" i="8"/>
  <c r="R12" i="9"/>
  <c r="N12" i="8"/>
  <c r="O14" i="9"/>
  <c r="U14" i="9"/>
  <c r="T12" i="8"/>
  <c r="AF13" i="9"/>
  <c r="AE11" i="8"/>
  <c r="Y13" i="9"/>
  <c r="X11" i="8"/>
  <c r="N12" i="9"/>
  <c r="M10" i="8"/>
  <c r="L24" i="7"/>
  <c r="L12" i="10" s="1"/>
  <c r="M35" i="8"/>
  <c r="M36" i="8"/>
  <c r="M36" i="11" s="1"/>
  <c r="N4" i="8"/>
  <c r="Z11" i="8"/>
  <c r="AA13" i="9"/>
  <c r="AF14" i="9"/>
  <c r="AE12" i="8"/>
  <c r="L12" i="9"/>
  <c r="K10" i="8"/>
  <c r="AI14" i="9"/>
  <c r="AH12" i="8"/>
  <c r="AH13" i="9"/>
  <c r="AG11" i="8"/>
  <c r="R12" i="8"/>
  <c r="S14" i="9"/>
  <c r="AA12" i="9"/>
  <c r="Z10" i="8"/>
  <c r="O13" i="9"/>
  <c r="N11" i="8"/>
  <c r="X12" i="9"/>
  <c r="W10" i="8"/>
  <c r="K4" i="6"/>
  <c r="K4" i="5"/>
  <c r="L13" i="3"/>
  <c r="L12" i="3"/>
  <c r="M153" i="3" l="1"/>
  <c r="M157" i="3"/>
  <c r="M158" i="3" s="1"/>
  <c r="M150" i="3"/>
  <c r="M151" i="3" s="1"/>
  <c r="M170" i="3" s="1"/>
  <c r="K10" i="6"/>
  <c r="L26" i="3"/>
  <c r="L25" i="6" s="1"/>
  <c r="K155" i="3"/>
  <c r="K14" i="6" s="1"/>
  <c r="K26" i="6"/>
  <c r="K28" i="6" s="1"/>
  <c r="K23" i="5" s="1"/>
  <c r="L28" i="3"/>
  <c r="L27" i="6" s="1"/>
  <c r="K114" i="3"/>
  <c r="L27" i="3"/>
  <c r="L21" i="5" s="1"/>
  <c r="M23" i="3"/>
  <c r="M26" i="3" s="1"/>
  <c r="N112" i="3"/>
  <c r="O111" i="3" s="1"/>
  <c r="L159" i="3"/>
  <c r="L16" i="6"/>
  <c r="L114" i="3"/>
  <c r="M13" i="3"/>
  <c r="M12" i="3"/>
  <c r="N126" i="3"/>
  <c r="M149" i="3"/>
  <c r="M147" i="3"/>
  <c r="M8" i="6" s="1"/>
  <c r="N127" i="3"/>
  <c r="M146" i="3"/>
  <c r="L10" i="6"/>
  <c r="L3" i="5"/>
  <c r="L4" i="5"/>
  <c r="M24" i="7"/>
  <c r="M12" i="10" s="1"/>
  <c r="O38" i="9"/>
  <c r="N36" i="12" s="1"/>
  <c r="O37" i="9"/>
  <c r="P4" i="9"/>
  <c r="L9" i="6"/>
  <c r="L10" i="5"/>
  <c r="L4" i="6"/>
  <c r="L3" i="6"/>
  <c r="L12" i="6"/>
  <c r="L160" i="6" s="1"/>
  <c r="L44" i="5" s="1"/>
  <c r="L12" i="5"/>
  <c r="O4" i="8"/>
  <c r="N36" i="8"/>
  <c r="N36" i="11" s="1"/>
  <c r="N35" i="8"/>
  <c r="L8" i="5"/>
  <c r="L148" i="3"/>
  <c r="M159" i="3" l="1"/>
  <c r="N146" i="3"/>
  <c r="L22" i="5"/>
  <c r="K156" i="3"/>
  <c r="K15" i="6" s="1"/>
  <c r="K98" i="6" s="1"/>
  <c r="K111" i="6" s="1"/>
  <c r="K13" i="5"/>
  <c r="K35" i="5" s="1"/>
  <c r="L20" i="5"/>
  <c r="L155" i="3"/>
  <c r="L156" i="3" s="1"/>
  <c r="L15" i="6" s="1"/>
  <c r="L26" i="6"/>
  <c r="K154" i="3"/>
  <c r="K13" i="6" s="1"/>
  <c r="K24" i="5"/>
  <c r="M10" i="6"/>
  <c r="M16" i="6"/>
  <c r="K109" i="6"/>
  <c r="N23" i="3"/>
  <c r="N26" i="3" s="1"/>
  <c r="M28" i="3"/>
  <c r="M25" i="6"/>
  <c r="M27" i="3"/>
  <c r="M155" i="3" s="1"/>
  <c r="O112" i="3"/>
  <c r="P111" i="3" s="1"/>
  <c r="M4" i="6"/>
  <c r="M3" i="6"/>
  <c r="M12" i="6"/>
  <c r="M160" i="6" s="1"/>
  <c r="M44" i="5" s="1"/>
  <c r="M12" i="5"/>
  <c r="N12" i="3"/>
  <c r="N13" i="3"/>
  <c r="L9" i="5"/>
  <c r="M8" i="5"/>
  <c r="M148" i="3"/>
  <c r="N24" i="7"/>
  <c r="N12" i="10" s="1"/>
  <c r="P37" i="9"/>
  <c r="P38" i="9"/>
  <c r="O36" i="12" s="1"/>
  <c r="Q4" i="9"/>
  <c r="N157" i="3"/>
  <c r="N158" i="3" s="1"/>
  <c r="N153" i="3"/>
  <c r="O127" i="3"/>
  <c r="N147" i="3"/>
  <c r="N8" i="6" s="1"/>
  <c r="O126" i="3"/>
  <c r="M9" i="6"/>
  <c r="M10" i="5"/>
  <c r="P4" i="8"/>
  <c r="O36" i="8"/>
  <c r="O36" i="11" s="1"/>
  <c r="O35" i="8"/>
  <c r="M3" i="5"/>
  <c r="M4" i="5"/>
  <c r="M156" i="3" l="1"/>
  <c r="K94" i="6"/>
  <c r="K97" i="6"/>
  <c r="K95" i="6"/>
  <c r="K60" i="6"/>
  <c r="K96" i="6"/>
  <c r="K99" i="6"/>
  <c r="K41" i="5"/>
  <c r="K36" i="5"/>
  <c r="L32" i="5" s="1"/>
  <c r="L34" i="5" s="1"/>
  <c r="L14" i="6"/>
  <c r="L109" i="6" s="1"/>
  <c r="L13" i="5"/>
  <c r="L94" i="6"/>
  <c r="L99" i="6"/>
  <c r="L60" i="6"/>
  <c r="L98" i="6"/>
  <c r="L111" i="6" s="1"/>
  <c r="L97" i="6"/>
  <c r="L95" i="6"/>
  <c r="L96" i="6"/>
  <c r="O147" i="3"/>
  <c r="O8" i="6" s="1"/>
  <c r="M114" i="3"/>
  <c r="M27" i="6"/>
  <c r="M22" i="5"/>
  <c r="M20" i="5"/>
  <c r="N27" i="3"/>
  <c r="N28" i="3"/>
  <c r="M21" i="5"/>
  <c r="L154" i="3"/>
  <c r="L13" i="6" s="1"/>
  <c r="M26" i="6"/>
  <c r="O23" i="3"/>
  <c r="O26" i="3" s="1"/>
  <c r="N150" i="3"/>
  <c r="N149" i="3"/>
  <c r="N9" i="6" s="1"/>
  <c r="P112" i="3"/>
  <c r="Q111" i="3" s="1"/>
  <c r="N159" i="3"/>
  <c r="P35" i="8"/>
  <c r="Q4" i="8"/>
  <c r="P36" i="8"/>
  <c r="P36" i="11" s="1"/>
  <c r="N4" i="6"/>
  <c r="N3" i="6"/>
  <c r="O24" i="7"/>
  <c r="O12" i="10" s="1"/>
  <c r="O153" i="3"/>
  <c r="P127" i="3"/>
  <c r="O146" i="3"/>
  <c r="O149" i="3" s="1"/>
  <c r="P126" i="3"/>
  <c r="N16" i="6"/>
  <c r="N114" i="3"/>
  <c r="N8" i="5"/>
  <c r="M9" i="5"/>
  <c r="N12" i="6"/>
  <c r="N160" i="6" s="1"/>
  <c r="N44" i="5" s="1"/>
  <c r="N12" i="5"/>
  <c r="R4" i="9"/>
  <c r="Q38" i="9"/>
  <c r="P36" i="12" s="1"/>
  <c r="Q37" i="9"/>
  <c r="N3" i="5"/>
  <c r="N4" i="5"/>
  <c r="O12" i="3"/>
  <c r="O13" i="3"/>
  <c r="I176" i="3" l="1" a="1"/>
  <c r="I176" i="3" s="1"/>
  <c r="M154" i="3"/>
  <c r="M13" i="6" s="1"/>
  <c r="N151" i="3"/>
  <c r="N170" i="3" s="1"/>
  <c r="K113" i="6"/>
  <c r="L35" i="5"/>
  <c r="L113" i="6"/>
  <c r="O150" i="3"/>
  <c r="N155" i="3"/>
  <c r="N156" i="3" s="1"/>
  <c r="N15" i="6" s="1"/>
  <c r="N96" i="6" s="1"/>
  <c r="O28" i="3"/>
  <c r="O27" i="3"/>
  <c r="N21" i="5"/>
  <c r="N26" i="6"/>
  <c r="N27" i="6"/>
  <c r="N22" i="5"/>
  <c r="N25" i="6"/>
  <c r="N20" i="5"/>
  <c r="P23" i="3"/>
  <c r="P26" i="3" s="1"/>
  <c r="M14" i="6"/>
  <c r="M15" i="6"/>
  <c r="M13" i="5"/>
  <c r="O157" i="3"/>
  <c r="N148" i="3"/>
  <c r="N10" i="5"/>
  <c r="Q112" i="3"/>
  <c r="R111" i="3" s="1"/>
  <c r="O12" i="6"/>
  <c r="O160" i="6" s="1"/>
  <c r="O44" i="5" s="1"/>
  <c r="O12" i="5"/>
  <c r="P12" i="3"/>
  <c r="P13" i="3"/>
  <c r="O148" i="3"/>
  <c r="O8" i="5"/>
  <c r="S4" i="9"/>
  <c r="R38" i="9"/>
  <c r="Q36" i="12" s="1"/>
  <c r="R37" i="9"/>
  <c r="Q36" i="8"/>
  <c r="Q36" i="11" s="1"/>
  <c r="R4" i="8"/>
  <c r="Q35" i="8"/>
  <c r="P24" i="7"/>
  <c r="P12" i="10" s="1"/>
  <c r="O4" i="5"/>
  <c r="O3" i="5"/>
  <c r="O4" i="6"/>
  <c r="O3" i="6"/>
  <c r="P153" i="3"/>
  <c r="P150" i="3"/>
  <c r="P146" i="3"/>
  <c r="P157" i="3" s="1"/>
  <c r="Q126" i="3"/>
  <c r="P147" i="3"/>
  <c r="P8" i="6" s="1"/>
  <c r="Q127" i="3"/>
  <c r="O10" i="5"/>
  <c r="O9" i="6"/>
  <c r="N10" i="6" l="1"/>
  <c r="O151" i="3"/>
  <c r="O170" i="3" s="1"/>
  <c r="L79" i="9" s="1"/>
  <c r="Q147" i="3"/>
  <c r="L41" i="5"/>
  <c r="L36" i="5"/>
  <c r="M32" i="5" s="1"/>
  <c r="M34" i="5" s="1"/>
  <c r="M35" i="5" s="1"/>
  <c r="P149" i="3"/>
  <c r="P148" i="3" s="1"/>
  <c r="O158" i="3"/>
  <c r="O16" i="6" s="1"/>
  <c r="N60" i="6"/>
  <c r="N14" i="6"/>
  <c r="N109" i="6" s="1"/>
  <c r="P151" i="3"/>
  <c r="P170" i="3" s="1"/>
  <c r="N99" i="6"/>
  <c r="N95" i="6"/>
  <c r="N97" i="6"/>
  <c r="N94" i="6"/>
  <c r="N98" i="6"/>
  <c r="N111" i="6" s="1"/>
  <c r="N13" i="5"/>
  <c r="N9" i="5"/>
  <c r="M109" i="6"/>
  <c r="Q23" i="3"/>
  <c r="Q26" i="3" s="1"/>
  <c r="P28" i="3"/>
  <c r="P27" i="3"/>
  <c r="P155" i="3" s="1"/>
  <c r="P158" i="3"/>
  <c r="P16" i="6" s="1"/>
  <c r="O27" i="6"/>
  <c r="O22" i="5"/>
  <c r="N154" i="3"/>
  <c r="N13" i="6" s="1"/>
  <c r="O155" i="3"/>
  <c r="O21" i="5"/>
  <c r="O26" i="6"/>
  <c r="O20" i="5"/>
  <c r="O25" i="6"/>
  <c r="M98" i="6"/>
  <c r="M111" i="6" s="1"/>
  <c r="M95" i="6"/>
  <c r="M94" i="6"/>
  <c r="M99" i="6"/>
  <c r="M60" i="6"/>
  <c r="M97" i="6"/>
  <c r="M96" i="6"/>
  <c r="O159" i="3"/>
  <c r="R112" i="3"/>
  <c r="S111" i="3" s="1"/>
  <c r="S4" i="8"/>
  <c r="R35" i="8"/>
  <c r="R36" i="8"/>
  <c r="R36" i="11" s="1"/>
  <c r="P4" i="6"/>
  <c r="P3" i="6"/>
  <c r="P8" i="5"/>
  <c r="O9" i="5"/>
  <c r="Q146" i="3"/>
  <c r="Q149" i="3" s="1"/>
  <c r="R126" i="3"/>
  <c r="Q153" i="3"/>
  <c r="Q150" i="3"/>
  <c r="Q151" i="3" s="1"/>
  <c r="Q170" i="3" s="1"/>
  <c r="Q8" i="6"/>
  <c r="R127" i="3"/>
  <c r="P12" i="6"/>
  <c r="P160" i="6" s="1"/>
  <c r="P44" i="5" s="1"/>
  <c r="P12" i="5"/>
  <c r="Q24" i="7"/>
  <c r="Q12" i="10" s="1"/>
  <c r="S37" i="9"/>
  <c r="S38" i="9"/>
  <c r="R36" i="12" s="1"/>
  <c r="T4" i="9"/>
  <c r="Q12" i="3"/>
  <c r="Q13" i="3"/>
  <c r="P159" i="3"/>
  <c r="P4" i="5"/>
  <c r="P3" i="5"/>
  <c r="Q157" i="3" l="1"/>
  <c r="Q158" i="3" s="1"/>
  <c r="K11" i="10"/>
  <c r="P10" i="5"/>
  <c r="P9" i="6"/>
  <c r="L11" i="10"/>
  <c r="M79" i="9"/>
  <c r="M11" i="10"/>
  <c r="N79" i="9"/>
  <c r="O10" i="6"/>
  <c r="M41" i="5"/>
  <c r="M36" i="5"/>
  <c r="N32" i="5" s="1"/>
  <c r="N34" i="5" s="1"/>
  <c r="N35" i="5" s="1"/>
  <c r="N41" i="5" s="1"/>
  <c r="P156" i="3"/>
  <c r="P15" i="6" s="1"/>
  <c r="P96" i="6" s="1"/>
  <c r="P10" i="6"/>
  <c r="O114" i="3"/>
  <c r="N113" i="6"/>
  <c r="P114" i="3"/>
  <c r="P22" i="5"/>
  <c r="P27" i="6"/>
  <c r="M113" i="6"/>
  <c r="P14" i="6"/>
  <c r="P13" i="5"/>
  <c r="P20" i="5"/>
  <c r="P25" i="6"/>
  <c r="P21" i="5"/>
  <c r="P26" i="6"/>
  <c r="S112" i="3"/>
  <c r="T111" i="3" s="1"/>
  <c r="O154" i="3"/>
  <c r="O13" i="6" s="1"/>
  <c r="O13" i="5"/>
  <c r="O14" i="6"/>
  <c r="O156" i="3"/>
  <c r="O15" i="6" s="1"/>
  <c r="O60" i="6" s="1"/>
  <c r="R23" i="3"/>
  <c r="R26" i="3" s="1"/>
  <c r="Q28" i="3"/>
  <c r="Q27" i="3"/>
  <c r="Q155" i="3" s="1"/>
  <c r="Q159" i="3"/>
  <c r="S35" i="8"/>
  <c r="T4" i="8"/>
  <c r="S36" i="8"/>
  <c r="S36" i="11" s="1"/>
  <c r="R24" i="7"/>
  <c r="R12" i="10" s="1"/>
  <c r="Q16" i="6"/>
  <c r="Q114" i="3"/>
  <c r="Q4" i="5"/>
  <c r="Q3" i="5"/>
  <c r="Q9" i="6"/>
  <c r="Q10" i="5"/>
  <c r="R13" i="3"/>
  <c r="R12" i="3"/>
  <c r="Q4" i="6"/>
  <c r="Q3" i="6"/>
  <c r="S127" i="3"/>
  <c r="R153" i="3"/>
  <c r="R157" i="3"/>
  <c r="R158" i="3" s="1"/>
  <c r="S126" i="3"/>
  <c r="R150" i="3"/>
  <c r="R151" i="3" s="1"/>
  <c r="R170" i="3" s="1"/>
  <c r="O79" i="9" s="1"/>
  <c r="R146" i="3"/>
  <c r="R147" i="3"/>
  <c r="R8" i="6" s="1"/>
  <c r="R149" i="3"/>
  <c r="Q10" i="6"/>
  <c r="Q8" i="5"/>
  <c r="Q148" i="3"/>
  <c r="Q12" i="6"/>
  <c r="Q160" i="6" s="1"/>
  <c r="Q44" i="5" s="1"/>
  <c r="Q12" i="5"/>
  <c r="P9" i="5"/>
  <c r="T38" i="9"/>
  <c r="S36" i="12" s="1"/>
  <c r="T37" i="9"/>
  <c r="U4" i="9"/>
  <c r="N11" i="10" l="1"/>
  <c r="R10" i="6"/>
  <c r="P60" i="6"/>
  <c r="P97" i="6"/>
  <c r="P98" i="6"/>
  <c r="P111" i="6" s="1"/>
  <c r="N36" i="5"/>
  <c r="O32" i="5" s="1"/>
  <c r="O34" i="5" s="1"/>
  <c r="O35" i="5" s="1"/>
  <c r="O41" i="5" s="1"/>
  <c r="P94" i="6"/>
  <c r="P99" i="6"/>
  <c r="P95" i="6"/>
  <c r="T112" i="3"/>
  <c r="U112" i="3" s="1"/>
  <c r="Q14" i="6"/>
  <c r="Q13" i="5"/>
  <c r="Q156" i="3"/>
  <c r="Q15" i="6" s="1"/>
  <c r="Q94" i="6" s="1"/>
  <c r="O96" i="6"/>
  <c r="O98" i="6"/>
  <c r="O111" i="6" s="1"/>
  <c r="O97" i="6"/>
  <c r="O94" i="6"/>
  <c r="O99" i="6"/>
  <c r="O95" i="6"/>
  <c r="O109" i="6"/>
  <c r="Q22" i="5"/>
  <c r="Q27" i="6"/>
  <c r="Q25" i="6"/>
  <c r="Q20" i="5"/>
  <c r="S23" i="3"/>
  <c r="S26" i="3" s="1"/>
  <c r="P154" i="3"/>
  <c r="P13" i="6" s="1"/>
  <c r="Q26" i="6"/>
  <c r="Q21" i="5"/>
  <c r="R27" i="3"/>
  <c r="R28" i="3"/>
  <c r="P109" i="6"/>
  <c r="R159" i="3"/>
  <c r="R16" i="6"/>
  <c r="R114" i="3"/>
  <c r="R12" i="5"/>
  <c r="R12" i="6"/>
  <c r="R160" i="6" s="1"/>
  <c r="R44" i="5" s="1"/>
  <c r="R4" i="6"/>
  <c r="R3" i="6"/>
  <c r="V4" i="9"/>
  <c r="U37" i="9"/>
  <c r="U38" i="9"/>
  <c r="T36" i="12" s="1"/>
  <c r="U4" i="8"/>
  <c r="T35" i="8"/>
  <c r="T36" i="8"/>
  <c r="T36" i="11" s="1"/>
  <c r="S153" i="3"/>
  <c r="S150" i="3"/>
  <c r="S151" i="3" s="1"/>
  <c r="S170" i="3" s="1"/>
  <c r="S147" i="3"/>
  <c r="S8" i="6" s="1"/>
  <c r="T127" i="3"/>
  <c r="T126" i="3"/>
  <c r="S146" i="3"/>
  <c r="S149" i="3"/>
  <c r="S157" i="3"/>
  <c r="S158" i="3" s="1"/>
  <c r="R9" i="6"/>
  <c r="R10" i="5"/>
  <c r="Q9" i="5"/>
  <c r="R8" i="5"/>
  <c r="R148" i="3"/>
  <c r="S13" i="3"/>
  <c r="S12" i="3"/>
  <c r="R4" i="5"/>
  <c r="R3" i="5"/>
  <c r="S24" i="7"/>
  <c r="S12" i="10" s="1"/>
  <c r="O11" i="10" l="1"/>
  <c r="P79" i="9"/>
  <c r="P113" i="6"/>
  <c r="Q95" i="6"/>
  <c r="U111" i="3"/>
  <c r="O36" i="5"/>
  <c r="P32" i="5" s="1"/>
  <c r="P34" i="5" s="1"/>
  <c r="P35" i="5" s="1"/>
  <c r="P41" i="5" s="1"/>
  <c r="Q96" i="6"/>
  <c r="Q97" i="6"/>
  <c r="R21" i="5"/>
  <c r="R26" i="6"/>
  <c r="Q99" i="6"/>
  <c r="Q98" i="6"/>
  <c r="Q111" i="6" s="1"/>
  <c r="Q154" i="3"/>
  <c r="Q13" i="6" s="1"/>
  <c r="O113" i="6"/>
  <c r="T23" i="3"/>
  <c r="T26" i="3" s="1"/>
  <c r="Q60" i="6"/>
  <c r="S27" i="3"/>
  <c r="S155" i="3" s="1"/>
  <c r="S28" i="3"/>
  <c r="R25" i="6"/>
  <c r="R20" i="5"/>
  <c r="R155" i="3"/>
  <c r="Q109" i="6"/>
  <c r="R22" i="5"/>
  <c r="R27" i="6"/>
  <c r="S159" i="3"/>
  <c r="S8" i="5"/>
  <c r="S148" i="3"/>
  <c r="S10" i="6"/>
  <c r="W4" i="9"/>
  <c r="V37" i="9"/>
  <c r="V38" i="9"/>
  <c r="U36" i="12" s="1"/>
  <c r="V112" i="3"/>
  <c r="V111" i="3"/>
  <c r="S12" i="5"/>
  <c r="S12" i="6"/>
  <c r="S160" i="6" s="1"/>
  <c r="S44" i="5" s="1"/>
  <c r="S4" i="5"/>
  <c r="S3" i="5"/>
  <c r="S16" i="6"/>
  <c r="S114" i="3"/>
  <c r="S9" i="6"/>
  <c r="S10" i="5"/>
  <c r="R9" i="5"/>
  <c r="V4" i="8"/>
  <c r="U35" i="8"/>
  <c r="U36" i="8"/>
  <c r="U36" i="11" s="1"/>
  <c r="T13" i="3"/>
  <c r="T12" i="3"/>
  <c r="T24" i="7"/>
  <c r="T12" i="10" s="1"/>
  <c r="T153" i="3"/>
  <c r="T150" i="3"/>
  <c r="T151" i="3" s="1"/>
  <c r="T170" i="3" s="1"/>
  <c r="T147" i="3"/>
  <c r="T8" i="6" s="1"/>
  <c r="T157" i="3"/>
  <c r="T158" i="3" s="1"/>
  <c r="T146" i="3"/>
  <c r="U126" i="3"/>
  <c r="T149" i="3"/>
  <c r="U127" i="3"/>
  <c r="S3" i="6"/>
  <c r="S4" i="6"/>
  <c r="P11" i="10" l="1"/>
  <c r="Q79" i="9"/>
  <c r="P36" i="5"/>
  <c r="Q32" i="5" s="1"/>
  <c r="Q34" i="5" s="1"/>
  <c r="Q35" i="5" s="1"/>
  <c r="Q41" i="5" s="1"/>
  <c r="Q113" i="6"/>
  <c r="S156" i="3"/>
  <c r="S15" i="6" s="1"/>
  <c r="S99" i="6" s="1"/>
  <c r="S22" i="5"/>
  <c r="S27" i="6"/>
  <c r="U23" i="3"/>
  <c r="U26" i="3" s="1"/>
  <c r="S13" i="5"/>
  <c r="S14" i="6"/>
  <c r="R154" i="3"/>
  <c r="R13" i="6" s="1"/>
  <c r="S26" i="6"/>
  <c r="S21" i="5"/>
  <c r="T27" i="3"/>
  <c r="T155" i="3" s="1"/>
  <c r="T156" i="3" s="1"/>
  <c r="T15" i="6" s="1"/>
  <c r="T28" i="3"/>
  <c r="S25" i="6"/>
  <c r="S20" i="5"/>
  <c r="R14" i="6"/>
  <c r="R13" i="5"/>
  <c r="R156" i="3"/>
  <c r="R15" i="6" s="1"/>
  <c r="T159" i="3"/>
  <c r="W111" i="3"/>
  <c r="W112" i="3"/>
  <c r="T16" i="6"/>
  <c r="T114" i="3"/>
  <c r="T12" i="6"/>
  <c r="T160" i="6" s="1"/>
  <c r="T44" i="5" s="1"/>
  <c r="T12" i="5"/>
  <c r="T8" i="5"/>
  <c r="T148" i="3"/>
  <c r="T10" i="6"/>
  <c r="T4" i="5"/>
  <c r="T3" i="5"/>
  <c r="T3" i="6"/>
  <c r="T4" i="6"/>
  <c r="U24" i="7"/>
  <c r="U12" i="10" s="1"/>
  <c r="W37" i="9"/>
  <c r="X4" i="9"/>
  <c r="W38" i="9"/>
  <c r="V36" i="12" s="1"/>
  <c r="S9" i="5"/>
  <c r="V127" i="3"/>
  <c r="U153" i="3"/>
  <c r="U157" i="3"/>
  <c r="U158" i="3" s="1"/>
  <c r="U150" i="3"/>
  <c r="U151" i="3" s="1"/>
  <c r="U170" i="3" s="1"/>
  <c r="V126" i="3"/>
  <c r="U149" i="3"/>
  <c r="U147" i="3"/>
  <c r="U8" i="6" s="1"/>
  <c r="U146" i="3"/>
  <c r="V36" i="8"/>
  <c r="V36" i="11" s="1"/>
  <c r="V35" i="8"/>
  <c r="W4" i="8"/>
  <c r="T9" i="6"/>
  <c r="T10" i="5"/>
  <c r="U13" i="3"/>
  <c r="U12" i="3"/>
  <c r="Q11" i="10" l="1"/>
  <c r="R79" i="9"/>
  <c r="U10" i="6"/>
  <c r="S95" i="6"/>
  <c r="S96" i="6"/>
  <c r="S98" i="6"/>
  <c r="S111" i="6" s="1"/>
  <c r="S94" i="6"/>
  <c r="S60" i="6"/>
  <c r="S97" i="6"/>
  <c r="T22" i="5"/>
  <c r="T27" i="6"/>
  <c r="R109" i="6"/>
  <c r="T21" i="5"/>
  <c r="T26" i="6"/>
  <c r="S154" i="3"/>
  <c r="S13" i="6" s="1"/>
  <c r="R96" i="6"/>
  <c r="R97" i="6"/>
  <c r="R60" i="6"/>
  <c r="R95" i="6"/>
  <c r="R94" i="6"/>
  <c r="R99" i="6"/>
  <c r="R98" i="6"/>
  <c r="R111" i="6" s="1"/>
  <c r="V23" i="3"/>
  <c r="V26" i="3" s="1"/>
  <c r="S109" i="6"/>
  <c r="U27" i="3"/>
  <c r="U155" i="3" s="1"/>
  <c r="U156" i="3" s="1"/>
  <c r="U15" i="6" s="1"/>
  <c r="U28" i="3"/>
  <c r="T25" i="6"/>
  <c r="T20" i="5"/>
  <c r="T14" i="6"/>
  <c r="T13" i="5"/>
  <c r="U159" i="3"/>
  <c r="U16" i="6"/>
  <c r="U114" i="3"/>
  <c r="V13" i="3"/>
  <c r="V12" i="3"/>
  <c r="U12" i="6"/>
  <c r="U160" i="6" s="1"/>
  <c r="U44" i="5" s="1"/>
  <c r="U12" i="5"/>
  <c r="X111" i="3"/>
  <c r="X112" i="3"/>
  <c r="U3" i="6"/>
  <c r="U4" i="6"/>
  <c r="V24" i="7"/>
  <c r="V12" i="10" s="1"/>
  <c r="U8" i="5"/>
  <c r="U148" i="3"/>
  <c r="T9" i="5"/>
  <c r="W36" i="8"/>
  <c r="W36" i="11" s="1"/>
  <c r="X4" i="8"/>
  <c r="W35" i="8"/>
  <c r="U9" i="6"/>
  <c r="U10" i="5"/>
  <c r="X37" i="9"/>
  <c r="Y4" i="9"/>
  <c r="X38" i="9"/>
  <c r="W36" i="12" s="1"/>
  <c r="W126" i="3"/>
  <c r="V153" i="3"/>
  <c r="V150" i="3"/>
  <c r="V151" i="3" s="1"/>
  <c r="V170" i="3" s="1"/>
  <c r="V147" i="3"/>
  <c r="V8" i="6" s="1"/>
  <c r="V157" i="3"/>
  <c r="V158" i="3" s="1"/>
  <c r="V149" i="3"/>
  <c r="V146" i="3"/>
  <c r="W127" i="3"/>
  <c r="Q36" i="5"/>
  <c r="R32" i="5" s="1"/>
  <c r="R34" i="5" s="1"/>
  <c r="U4" i="5"/>
  <c r="U3" i="5"/>
  <c r="T60" i="6"/>
  <c r="T99" i="6"/>
  <c r="T98" i="6"/>
  <c r="T111" i="6" s="1"/>
  <c r="T94" i="6"/>
  <c r="T96" i="6"/>
  <c r="T97" i="6"/>
  <c r="T95" i="6"/>
  <c r="S79" i="9" l="1"/>
  <c r="R11" i="10"/>
  <c r="S113" i="6"/>
  <c r="W23" i="3"/>
  <c r="W26" i="3" s="1"/>
  <c r="U27" i="6"/>
  <c r="U22" i="5"/>
  <c r="U25" i="6"/>
  <c r="U20" i="5"/>
  <c r="U13" i="5"/>
  <c r="U14" i="6"/>
  <c r="V28" i="3"/>
  <c r="V27" i="3"/>
  <c r="V155" i="3" s="1"/>
  <c r="V156" i="3" s="1"/>
  <c r="V15" i="6" s="1"/>
  <c r="R113" i="6"/>
  <c r="U21" i="5"/>
  <c r="U26" i="6"/>
  <c r="T154" i="3"/>
  <c r="T13" i="6" s="1"/>
  <c r="T109" i="6"/>
  <c r="V159" i="3"/>
  <c r="V10" i="5"/>
  <c r="V9" i="6"/>
  <c r="V4" i="5"/>
  <c r="V3" i="5"/>
  <c r="V16" i="6"/>
  <c r="V114" i="3"/>
  <c r="U60" i="6"/>
  <c r="U95" i="6"/>
  <c r="U98" i="6"/>
  <c r="U111" i="6" s="1"/>
  <c r="U94" i="6"/>
  <c r="U99" i="6"/>
  <c r="U97" i="6"/>
  <c r="U96" i="6"/>
  <c r="V8" i="5"/>
  <c r="V148" i="3"/>
  <c r="X36" i="8"/>
  <c r="X36" i="11" s="1"/>
  <c r="X35" i="8"/>
  <c r="Y4" i="8"/>
  <c r="V10" i="6"/>
  <c r="Z4" i="9"/>
  <c r="Y37" i="9"/>
  <c r="Y38" i="9"/>
  <c r="X36" i="12" s="1"/>
  <c r="V3" i="6"/>
  <c r="V4" i="6"/>
  <c r="W13" i="3"/>
  <c r="W12" i="3"/>
  <c r="V12" i="6"/>
  <c r="V160" i="6" s="1"/>
  <c r="V44" i="5" s="1"/>
  <c r="V12" i="5"/>
  <c r="T113" i="6"/>
  <c r="W24" i="7"/>
  <c r="W12" i="10" s="1"/>
  <c r="Y112" i="3"/>
  <c r="Y111" i="3"/>
  <c r="R35" i="5"/>
  <c r="R41" i="5" s="1"/>
  <c r="W149" i="3"/>
  <c r="W146" i="3"/>
  <c r="X126" i="3"/>
  <c r="W153" i="3"/>
  <c r="W147" i="3"/>
  <c r="W8" i="6" s="1"/>
  <c r="W157" i="3"/>
  <c r="W158" i="3" s="1"/>
  <c r="W150" i="3"/>
  <c r="W151" i="3" s="1"/>
  <c r="W170" i="3" s="1"/>
  <c r="X127" i="3"/>
  <c r="U9" i="5"/>
  <c r="T79" i="9" l="1"/>
  <c r="S11" i="10"/>
  <c r="W10" i="6"/>
  <c r="V22" i="5"/>
  <c r="V27" i="6"/>
  <c r="X23" i="3"/>
  <c r="X26" i="3" s="1"/>
  <c r="V26" i="6"/>
  <c r="V21" i="5"/>
  <c r="U154" i="3"/>
  <c r="U13" i="6" s="1"/>
  <c r="V25" i="6"/>
  <c r="V20" i="5"/>
  <c r="V14" i="6"/>
  <c r="V13" i="5"/>
  <c r="U109" i="6"/>
  <c r="W28" i="3"/>
  <c r="W27" i="3"/>
  <c r="W155" i="3" s="1"/>
  <c r="W3" i="5"/>
  <c r="W4" i="5"/>
  <c r="X149" i="3"/>
  <c r="X146" i="3"/>
  <c r="X147" i="3"/>
  <c r="X8" i="6" s="1"/>
  <c r="X153" i="3"/>
  <c r="Y126" i="3"/>
  <c r="X157" i="3"/>
  <c r="X158" i="3" s="1"/>
  <c r="Y127" i="3"/>
  <c r="X150" i="3"/>
  <c r="X151" i="3" s="1"/>
  <c r="X170" i="3" s="1"/>
  <c r="T11" i="10" s="1"/>
  <c r="U113" i="6"/>
  <c r="W9" i="6"/>
  <c r="W10" i="5"/>
  <c r="X13" i="3"/>
  <c r="X12" i="3"/>
  <c r="W3" i="6"/>
  <c r="W4" i="6"/>
  <c r="Y35" i="8"/>
  <c r="Y36" i="8"/>
  <c r="Y36" i="11" s="1"/>
  <c r="Z4" i="8"/>
  <c r="V9" i="5"/>
  <c r="W16" i="6"/>
  <c r="W114" i="3"/>
  <c r="Z38" i="9"/>
  <c r="Y36" i="12" s="1"/>
  <c r="AA4" i="9"/>
  <c r="Z37" i="9"/>
  <c r="V60" i="6"/>
  <c r="V97" i="6"/>
  <c r="V94" i="6"/>
  <c r="V95" i="6"/>
  <c r="V99" i="6"/>
  <c r="V96" i="6"/>
  <c r="V98" i="6"/>
  <c r="V111" i="6" s="1"/>
  <c r="W8" i="5"/>
  <c r="W148" i="3"/>
  <c r="W12" i="5"/>
  <c r="W12" i="6"/>
  <c r="W160" i="6" s="1"/>
  <c r="W44" i="5" s="1"/>
  <c r="W159" i="3"/>
  <c r="Z111" i="3"/>
  <c r="Z112" i="3"/>
  <c r="R36" i="5"/>
  <c r="S32" i="5" s="1"/>
  <c r="S34" i="5" s="1"/>
  <c r="X24" i="7"/>
  <c r="X12" i="10" s="1"/>
  <c r="U79" i="9" l="1"/>
  <c r="X10" i="6"/>
  <c r="W14" i="6"/>
  <c r="W13" i="5"/>
  <c r="W156" i="3"/>
  <c r="W15" i="6" s="1"/>
  <c r="W95" i="6" s="1"/>
  <c r="W25" i="6"/>
  <c r="W20" i="5"/>
  <c r="W22" i="5"/>
  <c r="W27" i="6"/>
  <c r="Y23" i="3"/>
  <c r="Y26" i="3" s="1"/>
  <c r="X28" i="3"/>
  <c r="X27" i="3"/>
  <c r="V109" i="6"/>
  <c r="V154" i="3"/>
  <c r="V13" i="6" s="1"/>
  <c r="W21" i="5"/>
  <c r="W26" i="6"/>
  <c r="AA4" i="8"/>
  <c r="Z36" i="8"/>
  <c r="Z36" i="11" s="1"/>
  <c r="Z35" i="8"/>
  <c r="X9" i="6"/>
  <c r="X10" i="5"/>
  <c r="Y12" i="3"/>
  <c r="Y13" i="3"/>
  <c r="X3" i="5"/>
  <c r="X4" i="5"/>
  <c r="AA38" i="9"/>
  <c r="Z36" i="12" s="1"/>
  <c r="AA37" i="9"/>
  <c r="AB4" i="9"/>
  <c r="Z126" i="3"/>
  <c r="Y149" i="3"/>
  <c r="Y147" i="3"/>
  <c r="Y8" i="6" s="1"/>
  <c r="Z127" i="3"/>
  <c r="Y157" i="3"/>
  <c r="Y158" i="3" s="1"/>
  <c r="Y150" i="3"/>
  <c r="Y151" i="3" s="1"/>
  <c r="Y170" i="3" s="1"/>
  <c r="Y146" i="3"/>
  <c r="Y153" i="3"/>
  <c r="X16" i="6"/>
  <c r="X114" i="3"/>
  <c r="W9" i="5"/>
  <c r="V113" i="6"/>
  <c r="X4" i="6"/>
  <c r="X3" i="6"/>
  <c r="X12" i="6"/>
  <c r="X160" i="6" s="1"/>
  <c r="X44" i="5" s="1"/>
  <c r="X12" i="5"/>
  <c r="Y24" i="7"/>
  <c r="Y12" i="10" s="1"/>
  <c r="S35" i="5"/>
  <c r="S41" i="5" s="1"/>
  <c r="X8" i="5"/>
  <c r="X148" i="3"/>
  <c r="AA111" i="3"/>
  <c r="AA112" i="3"/>
  <c r="X159" i="3"/>
  <c r="V79" i="9" l="1"/>
  <c r="W94" i="6"/>
  <c r="W96" i="6"/>
  <c r="W99" i="6"/>
  <c r="W60" i="6"/>
  <c r="W98" i="6"/>
  <c r="W111" i="6" s="1"/>
  <c r="Z23" i="3"/>
  <c r="Z26" i="3" s="1"/>
  <c r="W109" i="6"/>
  <c r="X27" i="6"/>
  <c r="X22" i="5"/>
  <c r="Y27" i="3"/>
  <c r="Y155" i="3" s="1"/>
  <c r="Y28" i="3"/>
  <c r="X20" i="5"/>
  <c r="X25" i="6"/>
  <c r="X155" i="3"/>
  <c r="X26" i="6"/>
  <c r="X21" i="5"/>
  <c r="W97" i="6"/>
  <c r="W154" i="3"/>
  <c r="W13" i="6" s="1"/>
  <c r="Y159" i="3"/>
  <c r="Y4" i="6"/>
  <c r="Y3" i="6"/>
  <c r="Y8" i="5"/>
  <c r="Y148" i="3"/>
  <c r="Y9" i="6"/>
  <c r="Y10" i="5"/>
  <c r="AB4" i="8"/>
  <c r="AA36" i="8"/>
  <c r="AA36" i="11" s="1"/>
  <c r="AA35" i="8"/>
  <c r="Y4" i="5"/>
  <c r="Y3" i="5"/>
  <c r="Z12" i="3"/>
  <c r="Z13" i="3"/>
  <c r="I10" i="10" s="1"/>
  <c r="K13" i="10" s="1"/>
  <c r="L13" i="10" s="1"/>
  <c r="M13" i="10" s="1"/>
  <c r="N13" i="10" s="1"/>
  <c r="O13" i="10" s="1"/>
  <c r="P13" i="10" s="1"/>
  <c r="Q13" i="10" s="1"/>
  <c r="R13" i="10" s="1"/>
  <c r="S13" i="10" s="1"/>
  <c r="T13" i="10" s="1"/>
  <c r="S36" i="5"/>
  <c r="T32" i="5" s="1"/>
  <c r="T34" i="5" s="1"/>
  <c r="AB37" i="9"/>
  <c r="AC4" i="9"/>
  <c r="AB38" i="9"/>
  <c r="AA36" i="12" s="1"/>
  <c r="Y12" i="6"/>
  <c r="Y160" i="6" s="1"/>
  <c r="Y44" i="5" s="1"/>
  <c r="Y12" i="5"/>
  <c r="AB111" i="3"/>
  <c r="AB112" i="3"/>
  <c r="Y10" i="6"/>
  <c r="Y16" i="6"/>
  <c r="Y114" i="3"/>
  <c r="X9" i="5"/>
  <c r="Z24" i="7"/>
  <c r="Z12" i="10" s="1"/>
  <c r="Z146" i="3"/>
  <c r="Z147" i="3" s="1"/>
  <c r="Z8" i="6" s="1"/>
  <c r="AA127" i="3"/>
  <c r="Z153" i="3"/>
  <c r="AA126" i="3"/>
  <c r="K38" i="10" l="1"/>
  <c r="K37" i="10"/>
  <c r="K48" i="10"/>
  <c r="W113" i="6"/>
  <c r="AA23" i="3"/>
  <c r="AA26" i="3" s="1"/>
  <c r="X13" i="5"/>
  <c r="X14" i="6"/>
  <c r="X156" i="3"/>
  <c r="X15" i="6" s="1"/>
  <c r="Y14" i="6"/>
  <c r="Y13" i="5"/>
  <c r="Y156" i="3"/>
  <c r="Y15" i="6" s="1"/>
  <c r="Y96" i="6" s="1"/>
  <c r="Y25" i="6"/>
  <c r="Y20" i="5"/>
  <c r="Y26" i="6"/>
  <c r="Y21" i="5"/>
  <c r="X154" i="3"/>
  <c r="X13" i="6" s="1"/>
  <c r="Y27" i="6"/>
  <c r="Y22" i="5"/>
  <c r="Z27" i="3"/>
  <c r="Z155" i="3" s="1"/>
  <c r="Z156" i="3" s="1"/>
  <c r="Z15" i="6" s="1"/>
  <c r="Z28" i="3"/>
  <c r="Z149" i="3"/>
  <c r="Z148" i="3" s="1"/>
  <c r="Z157" i="3"/>
  <c r="Z158" i="3" s="1"/>
  <c r="Z16" i="6" s="1"/>
  <c r="Z8" i="5"/>
  <c r="AA157" i="3"/>
  <c r="AB127" i="3"/>
  <c r="AA147" i="3"/>
  <c r="AA8" i="6" s="1"/>
  <c r="AA149" i="3"/>
  <c r="AA150" i="3"/>
  <c r="AA146" i="3"/>
  <c r="AA153" i="3"/>
  <c r="AB126" i="3"/>
  <c r="T35" i="5"/>
  <c r="T41" i="5" s="1"/>
  <c r="AA12" i="3"/>
  <c r="AA13" i="3"/>
  <c r="Z4" i="5"/>
  <c r="Z3" i="5"/>
  <c r="AA24" i="7"/>
  <c r="AA12" i="10" s="1"/>
  <c r="Y9" i="5"/>
  <c r="AB35" i="8"/>
  <c r="AB36" i="8"/>
  <c r="AB36" i="11" s="1"/>
  <c r="AC4" i="8"/>
  <c r="Z150" i="3"/>
  <c r="Z151" i="3" s="1"/>
  <c r="Z170" i="3" s="1"/>
  <c r="AC111" i="3"/>
  <c r="AC112" i="3"/>
  <c r="Z12" i="6"/>
  <c r="Z160" i="6" s="1"/>
  <c r="Z44" i="5" s="1"/>
  <c r="Z12" i="5"/>
  <c r="AD4" i="9"/>
  <c r="AC37" i="9"/>
  <c r="AC38" i="9"/>
  <c r="AB36" i="12" s="1"/>
  <c r="Z4" i="6"/>
  <c r="Z3" i="6"/>
  <c r="V11" i="10" l="1"/>
  <c r="W79" i="9"/>
  <c r="K39" i="10"/>
  <c r="K17" i="10" s="1"/>
  <c r="L38" i="10"/>
  <c r="L48" i="10"/>
  <c r="L37" i="10"/>
  <c r="Y60" i="6"/>
  <c r="Y98" i="6"/>
  <c r="Y111" i="6" s="1"/>
  <c r="Y94" i="6"/>
  <c r="Y97" i="6"/>
  <c r="Y154" i="3"/>
  <c r="Y13" i="6" s="1"/>
  <c r="Y99" i="6"/>
  <c r="Y95" i="6"/>
  <c r="Z14" i="6"/>
  <c r="Z13" i="5"/>
  <c r="Z20" i="5"/>
  <c r="Z25" i="6"/>
  <c r="Y109" i="6"/>
  <c r="X109" i="6"/>
  <c r="AB23" i="3"/>
  <c r="AB26" i="3" s="1"/>
  <c r="Z27" i="6"/>
  <c r="Z22" i="5"/>
  <c r="Z26" i="6"/>
  <c r="Z21" i="5"/>
  <c r="X96" i="6"/>
  <c r="X94" i="6"/>
  <c r="X98" i="6"/>
  <c r="X111" i="6" s="1"/>
  <c r="X99" i="6"/>
  <c r="X97" i="6"/>
  <c r="X95" i="6"/>
  <c r="X60" i="6"/>
  <c r="AA28" i="3"/>
  <c r="AA27" i="3"/>
  <c r="AA158" i="3"/>
  <c r="AA16" i="6" s="1"/>
  <c r="Z159" i="3"/>
  <c r="T36" i="5"/>
  <c r="U32" i="5" s="1"/>
  <c r="U34" i="5" s="1"/>
  <c r="U35" i="5" s="1"/>
  <c r="U41" i="5" s="1"/>
  <c r="Z114" i="3"/>
  <c r="Z10" i="5"/>
  <c r="Z9" i="6"/>
  <c r="AA159" i="3"/>
  <c r="AA4" i="6"/>
  <c r="AA3" i="6"/>
  <c r="AB12" i="3"/>
  <c r="AB13" i="3"/>
  <c r="Z10" i="6"/>
  <c r="AA12" i="6"/>
  <c r="AA160" i="6" s="1"/>
  <c r="AA44" i="5" s="1"/>
  <c r="AA12" i="5"/>
  <c r="Z60" i="6"/>
  <c r="Z99" i="6"/>
  <c r="Z96" i="6"/>
  <c r="Z97" i="6"/>
  <c r="Z94" i="6"/>
  <c r="Z95" i="6"/>
  <c r="Z98" i="6"/>
  <c r="Z111" i="6" s="1"/>
  <c r="AA151" i="3"/>
  <c r="AA170" i="3" s="1"/>
  <c r="X79" i="9" s="1"/>
  <c r="AA9" i="6"/>
  <c r="AA10" i="5"/>
  <c r="AA8" i="5"/>
  <c r="AA148" i="3"/>
  <c r="AE4" i="9"/>
  <c r="AD38" i="9"/>
  <c r="AC36" i="12" s="1"/>
  <c r="AD37" i="9"/>
  <c r="AC36" i="8"/>
  <c r="AC36" i="11" s="1"/>
  <c r="AC35" i="8"/>
  <c r="AD4" i="8"/>
  <c r="AB24" i="7"/>
  <c r="AB12" i="10" s="1"/>
  <c r="AB157" i="3"/>
  <c r="AB158" i="3" s="1"/>
  <c r="AB147" i="3"/>
  <c r="AB8" i="6" s="1"/>
  <c r="AB149" i="3"/>
  <c r="AC127" i="3"/>
  <c r="AB146" i="3"/>
  <c r="AB153" i="3"/>
  <c r="AC126" i="3"/>
  <c r="AB150" i="3"/>
  <c r="AB151" i="3" s="1"/>
  <c r="AB170" i="3" s="1"/>
  <c r="Z9" i="5"/>
  <c r="AD111" i="3"/>
  <c r="AD112" i="3"/>
  <c r="AA4" i="5"/>
  <c r="AA3" i="5"/>
  <c r="X11" i="10" l="1"/>
  <c r="W11" i="10"/>
  <c r="Y79" i="9"/>
  <c r="AA10" i="6"/>
  <c r="AB10" i="6"/>
  <c r="L39" i="10"/>
  <c r="L17" i="10" s="1"/>
  <c r="M48" i="10"/>
  <c r="M37" i="10"/>
  <c r="M38" i="10"/>
  <c r="Y113" i="6"/>
  <c r="AA20" i="5"/>
  <c r="AA25" i="6"/>
  <c r="AA22" i="5"/>
  <c r="AA27" i="6"/>
  <c r="AB27" i="3"/>
  <c r="AB28" i="3"/>
  <c r="AA26" i="6"/>
  <c r="AA21" i="5"/>
  <c r="AA155" i="3"/>
  <c r="Z154" i="3"/>
  <c r="Z13" i="6" s="1"/>
  <c r="X113" i="6"/>
  <c r="Z109" i="6"/>
  <c r="AC23" i="3"/>
  <c r="AC26" i="3" s="1"/>
  <c r="AA114" i="3"/>
  <c r="AB159" i="3"/>
  <c r="Z113" i="6"/>
  <c r="AB12" i="6"/>
  <c r="AB160" i="6" s="1"/>
  <c r="AB44" i="5" s="1"/>
  <c r="AB12" i="5"/>
  <c r="AE4" i="8"/>
  <c r="AD35" i="8"/>
  <c r="AD36" i="8"/>
  <c r="AD36" i="11" s="1"/>
  <c r="U36" i="5"/>
  <c r="V32" i="5" s="1"/>
  <c r="V34" i="5" s="1"/>
  <c r="AC157" i="3"/>
  <c r="AC158" i="3" s="1"/>
  <c r="AC149" i="3"/>
  <c r="AD127" i="3"/>
  <c r="AC150" i="3"/>
  <c r="AC151" i="3" s="1"/>
  <c r="AC170" i="3" s="1"/>
  <c r="AC153" i="3"/>
  <c r="AD126" i="3"/>
  <c r="AC147" i="3"/>
  <c r="AC8" i="6" s="1"/>
  <c r="AC146" i="3"/>
  <c r="AB4" i="6"/>
  <c r="AB3" i="6"/>
  <c r="AB8" i="5"/>
  <c r="AB148" i="3"/>
  <c r="AA9" i="5"/>
  <c r="AB9" i="6"/>
  <c r="AB10" i="5"/>
  <c r="AC12" i="3"/>
  <c r="AC13" i="3"/>
  <c r="AC24" i="7"/>
  <c r="AC12" i="10" s="1"/>
  <c r="AE112" i="3"/>
  <c r="AE111" i="3"/>
  <c r="AB16" i="6"/>
  <c r="AB114" i="3"/>
  <c r="AE37" i="9"/>
  <c r="AE38" i="9"/>
  <c r="AD36" i="12" s="1"/>
  <c r="AF4" i="9"/>
  <c r="AB3" i="5"/>
  <c r="AB4" i="5"/>
  <c r="Y11" i="10" l="1"/>
  <c r="Z79" i="9"/>
  <c r="N37" i="10"/>
  <c r="N48" i="10"/>
  <c r="N38" i="10"/>
  <c r="M39" i="10"/>
  <c r="M17" i="10" s="1"/>
  <c r="AD23" i="3"/>
  <c r="AD26" i="3" s="1"/>
  <c r="AA14" i="6"/>
  <c r="AA13" i="5"/>
  <c r="AA156" i="3"/>
  <c r="AA15" i="6" s="1"/>
  <c r="AB22" i="5"/>
  <c r="AB27" i="6"/>
  <c r="AA154" i="3"/>
  <c r="AA13" i="6" s="1"/>
  <c r="AB21" i="5"/>
  <c r="AB26" i="6"/>
  <c r="AB25" i="6"/>
  <c r="AB20" i="5"/>
  <c r="AB155" i="3"/>
  <c r="AC27" i="3"/>
  <c r="AB154" i="3" s="1"/>
  <c r="AB13" i="6" s="1"/>
  <c r="AC28" i="3"/>
  <c r="AC159" i="3"/>
  <c r="AF112" i="3"/>
  <c r="AF111" i="3"/>
  <c r="AC8" i="5"/>
  <c r="AC148" i="3"/>
  <c r="AD24" i="7"/>
  <c r="AD12" i="10" s="1"/>
  <c r="AC12" i="5"/>
  <c r="AC12" i="6"/>
  <c r="AC160" i="6" s="1"/>
  <c r="AC44" i="5" s="1"/>
  <c r="AC10" i="6"/>
  <c r="V35" i="5"/>
  <c r="V41" i="5" s="1"/>
  <c r="AB9" i="5"/>
  <c r="AE127" i="3"/>
  <c r="AD153" i="3"/>
  <c r="AD157" i="3"/>
  <c r="AD158" i="3" s="1"/>
  <c r="AD146" i="3"/>
  <c r="AD150" i="3"/>
  <c r="AD151" i="3" s="1"/>
  <c r="AD170" i="3" s="1"/>
  <c r="Z11" i="10" s="1"/>
  <c r="AE126" i="3"/>
  <c r="AD147" i="3"/>
  <c r="AD8" i="6" s="1"/>
  <c r="AD149" i="3"/>
  <c r="AC10" i="5"/>
  <c r="AC9" i="6"/>
  <c r="AD13" i="3"/>
  <c r="AD12" i="3"/>
  <c r="AC16" i="6"/>
  <c r="AC114" i="3"/>
  <c r="AC4" i="6"/>
  <c r="AC3" i="6"/>
  <c r="AE36" i="8"/>
  <c r="AE36" i="11" s="1"/>
  <c r="AF4" i="8"/>
  <c r="AE35" i="8"/>
  <c r="AC3" i="5"/>
  <c r="AC4" i="5"/>
  <c r="AF38" i="9"/>
  <c r="AE36" i="12" s="1"/>
  <c r="AF37" i="9"/>
  <c r="AG4" i="9"/>
  <c r="AA79" i="9" l="1"/>
  <c r="O38" i="10"/>
  <c r="O48" i="10"/>
  <c r="O37" i="10"/>
  <c r="N39" i="10"/>
  <c r="N17" i="10" s="1"/>
  <c r="AC20" i="5"/>
  <c r="AC25" i="6"/>
  <c r="AA109" i="6"/>
  <c r="AA98" i="6"/>
  <c r="AA111" i="6" s="1"/>
  <c r="AA96" i="6"/>
  <c r="AA99" i="6"/>
  <c r="AA94" i="6"/>
  <c r="AA60" i="6"/>
  <c r="AA97" i="6"/>
  <c r="AA95" i="6"/>
  <c r="AD28" i="3"/>
  <c r="AD27" i="3"/>
  <c r="AD155" i="3" s="1"/>
  <c r="AC21" i="5"/>
  <c r="AC26" i="6"/>
  <c r="AC155" i="3"/>
  <c r="AB13" i="5"/>
  <c r="AB14" i="6"/>
  <c r="AB156" i="3"/>
  <c r="AB15" i="6" s="1"/>
  <c r="AE23" i="3"/>
  <c r="AE26" i="3" s="1"/>
  <c r="AC22" i="5"/>
  <c r="AC27" i="6"/>
  <c r="AD159" i="3"/>
  <c r="AD3" i="5"/>
  <c r="AD4" i="5"/>
  <c r="AD4" i="6"/>
  <c r="AD3" i="6"/>
  <c r="AE153" i="3"/>
  <c r="AE150" i="3"/>
  <c r="AE151" i="3" s="1"/>
  <c r="AE170" i="3" s="1"/>
  <c r="AE147" i="3"/>
  <c r="AE8" i="6" s="1"/>
  <c r="AF127" i="3"/>
  <c r="AE146" i="3"/>
  <c r="AF126" i="3"/>
  <c r="AE157" i="3"/>
  <c r="AE158" i="3" s="1"/>
  <c r="AE149" i="3"/>
  <c r="AC9" i="5"/>
  <c r="AD9" i="6"/>
  <c r="AD10" i="5"/>
  <c r="V36" i="5"/>
  <c r="W32" i="5" s="1"/>
  <c r="W34" i="5" s="1"/>
  <c r="AD8" i="5"/>
  <c r="AD148" i="3"/>
  <c r="AD10" i="6"/>
  <c r="AG4" i="8"/>
  <c r="AF35" i="8"/>
  <c r="AF36" i="8"/>
  <c r="AF36" i="11" s="1"/>
  <c r="AE24" i="7"/>
  <c r="AE12" i="10" s="1"/>
  <c r="AH4" i="9"/>
  <c r="AG38" i="9"/>
  <c r="AF36" i="12" s="1"/>
  <c r="AG37" i="9"/>
  <c r="AE13" i="3"/>
  <c r="AE12" i="3"/>
  <c r="AG111" i="3"/>
  <c r="AG112" i="3"/>
  <c r="AD16" i="6"/>
  <c r="AD114" i="3"/>
  <c r="AD12" i="6"/>
  <c r="AD160" i="6" s="1"/>
  <c r="AD44" i="5" s="1"/>
  <c r="AD12" i="5"/>
  <c r="AB79" i="9" l="1"/>
  <c r="O39" i="10"/>
  <c r="O17" i="10" s="1"/>
  <c r="P37" i="10"/>
  <c r="P38" i="10"/>
  <c r="P48" i="10"/>
  <c r="AC154" i="3"/>
  <c r="AC13" i="6" s="1"/>
  <c r="AC13" i="5"/>
  <c r="AC14" i="6"/>
  <c r="AD14" i="6"/>
  <c r="AD13" i="5"/>
  <c r="AD26" i="6"/>
  <c r="AD21" i="5"/>
  <c r="AD22" i="5"/>
  <c r="AD27" i="6"/>
  <c r="AE28" i="3"/>
  <c r="AE27" i="3"/>
  <c r="AD154" i="3" s="1"/>
  <c r="AD13" i="6" s="1"/>
  <c r="AB60" i="6"/>
  <c r="AB99" i="6"/>
  <c r="AB97" i="6"/>
  <c r="AB96" i="6"/>
  <c r="AB95" i="6"/>
  <c r="AB98" i="6"/>
  <c r="AB111" i="6" s="1"/>
  <c r="AB94" i="6"/>
  <c r="AD156" i="3"/>
  <c r="AD15" i="6" s="1"/>
  <c r="AD98" i="6" s="1"/>
  <c r="AD111" i="6" s="1"/>
  <c r="AB109" i="6"/>
  <c r="AA113" i="6"/>
  <c r="AF23" i="3"/>
  <c r="AF26" i="3" s="1"/>
  <c r="AD25" i="6"/>
  <c r="AD20" i="5"/>
  <c r="AC156" i="3"/>
  <c r="AC15" i="6" s="1"/>
  <c r="AE3" i="6"/>
  <c r="AE4" i="6"/>
  <c r="AE3" i="5"/>
  <c r="AE4" i="5"/>
  <c r="AE9" i="6"/>
  <c r="AE10" i="5"/>
  <c r="AE16" i="6"/>
  <c r="AE114" i="3"/>
  <c r="AD9" i="5"/>
  <c r="AF153" i="3"/>
  <c r="AF150" i="3"/>
  <c r="AF151" i="3" s="1"/>
  <c r="AF170" i="3" s="1"/>
  <c r="AF147" i="3"/>
  <c r="AF8" i="6" s="1"/>
  <c r="AF146" i="3"/>
  <c r="AG127" i="3"/>
  <c r="AG126" i="3"/>
  <c r="AF157" i="3"/>
  <c r="AF158" i="3" s="1"/>
  <c r="AF149" i="3"/>
  <c r="AF24" i="7"/>
  <c r="AF12" i="10" s="1"/>
  <c r="AE8" i="5"/>
  <c r="AE148" i="3"/>
  <c r="AE10" i="6"/>
  <c r="AH112" i="3"/>
  <c r="AH111" i="3"/>
  <c r="AF13" i="3"/>
  <c r="AF12" i="3"/>
  <c r="W35" i="5"/>
  <c r="W41" i="5" s="1"/>
  <c r="AE12" i="5"/>
  <c r="AE12" i="6"/>
  <c r="AE160" i="6" s="1"/>
  <c r="AE44" i="5" s="1"/>
  <c r="AH38" i="9"/>
  <c r="AG36" i="12" s="1"/>
  <c r="AI4" i="9"/>
  <c r="AH37" i="9"/>
  <c r="AG35" i="8"/>
  <c r="AG36" i="8"/>
  <c r="AG36" i="11" s="1"/>
  <c r="AH4" i="8"/>
  <c r="AE159" i="3"/>
  <c r="AB11" i="10" l="1"/>
  <c r="AC79" i="9"/>
  <c r="P39" i="10"/>
  <c r="P17" i="10" s="1"/>
  <c r="Q37" i="10"/>
  <c r="Q38" i="10"/>
  <c r="Q48" i="10"/>
  <c r="AD95" i="6"/>
  <c r="AE21" i="5"/>
  <c r="AE26" i="6"/>
  <c r="AE155" i="3"/>
  <c r="AE25" i="6"/>
  <c r="AE20" i="5"/>
  <c r="AD94" i="6"/>
  <c r="AD96" i="6"/>
  <c r="AD99" i="6"/>
  <c r="AB113" i="6"/>
  <c r="AD97" i="6"/>
  <c r="AF28" i="3"/>
  <c r="AF27" i="3"/>
  <c r="AE154" i="3" s="1"/>
  <c r="AE13" i="6" s="1"/>
  <c r="AC109" i="6"/>
  <c r="AD60" i="6"/>
  <c r="AE22" i="5"/>
  <c r="AE27" i="6"/>
  <c r="AD109" i="6"/>
  <c r="AC97" i="6"/>
  <c r="AC95" i="6"/>
  <c r="AC99" i="6"/>
  <c r="AC60" i="6"/>
  <c r="AC96" i="6"/>
  <c r="AC98" i="6"/>
  <c r="AC111" i="6" s="1"/>
  <c r="AC94" i="6"/>
  <c r="AG23" i="3"/>
  <c r="AG26" i="3" s="1"/>
  <c r="AF12" i="6"/>
  <c r="AF160" i="6" s="1"/>
  <c r="AF44" i="5" s="1"/>
  <c r="AF12" i="5"/>
  <c r="AF3" i="5"/>
  <c r="AF4" i="5"/>
  <c r="AF3" i="6"/>
  <c r="AF4" i="6"/>
  <c r="AF159" i="3"/>
  <c r="AG24" i="7"/>
  <c r="AG12" i="10" s="1"/>
  <c r="AF9" i="6"/>
  <c r="AF10" i="5"/>
  <c r="AE9" i="5"/>
  <c r="AF16" i="6"/>
  <c r="AF114" i="3"/>
  <c r="AH127" i="3"/>
  <c r="AG153" i="3"/>
  <c r="AG150" i="3"/>
  <c r="AG151" i="3" s="1"/>
  <c r="AG170" i="3" s="1"/>
  <c r="AH126" i="3"/>
  <c r="AG146" i="3"/>
  <c r="AG149" i="3"/>
  <c r="AG157" i="3"/>
  <c r="AG158" i="3" s="1"/>
  <c r="AG147" i="3"/>
  <c r="AG8" i="6" s="1"/>
  <c r="W36" i="5"/>
  <c r="X32" i="5" s="1"/>
  <c r="X34" i="5" s="1"/>
  <c r="AH35" i="8"/>
  <c r="AH36" i="8"/>
  <c r="AH36" i="11" s="1"/>
  <c r="AI4" i="8"/>
  <c r="AI38" i="9"/>
  <c r="AH36" i="12" s="1"/>
  <c r="AI37" i="9"/>
  <c r="AJ4" i="9"/>
  <c r="AF8" i="5"/>
  <c r="AF148" i="3"/>
  <c r="AG13" i="3"/>
  <c r="AG12" i="3"/>
  <c r="AI111" i="3"/>
  <c r="AI112" i="3"/>
  <c r="AF10" i="6"/>
  <c r="AC11" i="10" l="1"/>
  <c r="AD79" i="9"/>
  <c r="R48" i="10"/>
  <c r="R37" i="10"/>
  <c r="R38" i="10"/>
  <c r="Q39" i="10"/>
  <c r="Q17" i="10" s="1"/>
  <c r="AK4" i="9"/>
  <c r="AJ4" i="8"/>
  <c r="AK4" i="8" s="1"/>
  <c r="AD113" i="6"/>
  <c r="AH23" i="3"/>
  <c r="AH26" i="3" s="1"/>
  <c r="AF20" i="5"/>
  <c r="AF25" i="6"/>
  <c r="AF26" i="6"/>
  <c r="AF21" i="5"/>
  <c r="AF155" i="3"/>
  <c r="AF27" i="6"/>
  <c r="AF22" i="5"/>
  <c r="AG28" i="3"/>
  <c r="AG27" i="3"/>
  <c r="AF154" i="3" s="1"/>
  <c r="AF13" i="6" s="1"/>
  <c r="AE14" i="6"/>
  <c r="AE13" i="5"/>
  <c r="AE156" i="3"/>
  <c r="AE15" i="6" s="1"/>
  <c r="AC113" i="6"/>
  <c r="AG159" i="3"/>
  <c r="AF9" i="5"/>
  <c r="X35" i="5"/>
  <c r="X41" i="5" s="1"/>
  <c r="AI126" i="3"/>
  <c r="AH153" i="3"/>
  <c r="AH150" i="3"/>
  <c r="AH151" i="3" s="1"/>
  <c r="AH170" i="3" s="1"/>
  <c r="AE79" i="9" s="1"/>
  <c r="AH147" i="3"/>
  <c r="AH8" i="6" s="1"/>
  <c r="AH146" i="3"/>
  <c r="AH149" i="3"/>
  <c r="AI127" i="3"/>
  <c r="AH157" i="3"/>
  <c r="AH158" i="3" s="1"/>
  <c r="AJ38" i="9"/>
  <c r="AI36" i="12" s="1"/>
  <c r="AJ37" i="9"/>
  <c r="AH24" i="7"/>
  <c r="AH12" i="10" s="1"/>
  <c r="AG3" i="6"/>
  <c r="AG4" i="6"/>
  <c r="AG8" i="5"/>
  <c r="AG148" i="3"/>
  <c r="AG16" i="6"/>
  <c r="AG114" i="3"/>
  <c r="AG9" i="6"/>
  <c r="AG10" i="5"/>
  <c r="AH13" i="3"/>
  <c r="AH12" i="3"/>
  <c r="AG4" i="5"/>
  <c r="AG3" i="5"/>
  <c r="AI36" i="8"/>
  <c r="AI36" i="11" s="1"/>
  <c r="AI35" i="8"/>
  <c r="AJ111" i="3"/>
  <c r="AJ112" i="3"/>
  <c r="AG10" i="6"/>
  <c r="AG12" i="6"/>
  <c r="AG160" i="6" s="1"/>
  <c r="AG44" i="5" s="1"/>
  <c r="AG12" i="5"/>
  <c r="AD11" i="10" l="1"/>
  <c r="S48" i="10"/>
  <c r="S37" i="10"/>
  <c r="S38" i="10"/>
  <c r="R39" i="10"/>
  <c r="R17" i="10" s="1"/>
  <c r="AJ35" i="8"/>
  <c r="AJ36" i="8"/>
  <c r="AJ36" i="11" s="1"/>
  <c r="AL4" i="9"/>
  <c r="AM4" i="9" s="1"/>
  <c r="AK38" i="9"/>
  <c r="AJ36" i="12" s="1"/>
  <c r="AK37" i="9"/>
  <c r="AL4" i="8"/>
  <c r="AK35" i="8"/>
  <c r="AK36" i="8"/>
  <c r="AK36" i="11" s="1"/>
  <c r="AI24" i="7"/>
  <c r="AI12" i="10" s="1"/>
  <c r="AE109" i="6"/>
  <c r="AG20" i="5"/>
  <c r="AG25" i="6"/>
  <c r="AH27" i="3"/>
  <c r="AH28" i="3"/>
  <c r="AF14" i="6"/>
  <c r="AF13" i="5"/>
  <c r="AF156" i="3"/>
  <c r="AF15" i="6" s="1"/>
  <c r="AG21" i="5"/>
  <c r="AG26" i="6"/>
  <c r="AG155" i="3"/>
  <c r="AE99" i="6"/>
  <c r="AE97" i="6"/>
  <c r="AE95" i="6"/>
  <c r="AE60" i="6"/>
  <c r="AE94" i="6"/>
  <c r="AE98" i="6"/>
  <c r="AE111" i="6" s="1"/>
  <c r="AE96" i="6"/>
  <c r="AI23" i="3"/>
  <c r="AI26" i="3" s="1"/>
  <c r="AG27" i="6"/>
  <c r="AG22" i="5"/>
  <c r="X36" i="5"/>
  <c r="Y32" i="5" s="1"/>
  <c r="Y34" i="5" s="1"/>
  <c r="AH10" i="5"/>
  <c r="AH9" i="6"/>
  <c r="AH3" i="5"/>
  <c r="AH4" i="5"/>
  <c r="AH8" i="5"/>
  <c r="AH148" i="3"/>
  <c r="AH10" i="6"/>
  <c r="AH12" i="6"/>
  <c r="AH160" i="6" s="1"/>
  <c r="AH44" i="5" s="1"/>
  <c r="AH12" i="5"/>
  <c r="AI13" i="3"/>
  <c r="AI12" i="3"/>
  <c r="AH159" i="3"/>
  <c r="AK112" i="3"/>
  <c r="AK111" i="3"/>
  <c r="AH3" i="6"/>
  <c r="AH4" i="6"/>
  <c r="AG9" i="5"/>
  <c r="AH16" i="6"/>
  <c r="AH114" i="3"/>
  <c r="AI149" i="3"/>
  <c r="AI146" i="3"/>
  <c r="AJ126" i="3"/>
  <c r="AI150" i="3"/>
  <c r="AI151" i="3" s="1"/>
  <c r="AI170" i="3" s="1"/>
  <c r="AF79" i="9" s="1"/>
  <c r="AJ127" i="3"/>
  <c r="AI153" i="3"/>
  <c r="AI157" i="3"/>
  <c r="AI158" i="3" s="1"/>
  <c r="AI147" i="3"/>
  <c r="AI8" i="6" s="1"/>
  <c r="AE11" i="10" l="1"/>
  <c r="S39" i="10"/>
  <c r="S17" i="10" s="1"/>
  <c r="T48" i="10"/>
  <c r="T37" i="10"/>
  <c r="T38" i="10"/>
  <c r="AL37" i="9"/>
  <c r="AL38" i="9"/>
  <c r="AK36" i="12" s="1"/>
  <c r="AN4" i="9"/>
  <c r="AM38" i="9"/>
  <c r="AL36" i="12" s="1"/>
  <c r="AM37" i="9"/>
  <c r="AM4" i="8"/>
  <c r="AL35" i="8"/>
  <c r="AL36" i="8"/>
  <c r="AL36" i="11" s="1"/>
  <c r="AJ24" i="7"/>
  <c r="AJ12" i="10" s="1"/>
  <c r="AE113" i="6"/>
  <c r="AG14" i="6"/>
  <c r="AG13" i="5"/>
  <c r="AG156" i="3"/>
  <c r="AG15" i="6" s="1"/>
  <c r="AJ23" i="3"/>
  <c r="AJ26" i="3" s="1"/>
  <c r="AF60" i="6"/>
  <c r="AF95" i="6"/>
  <c r="AF96" i="6"/>
  <c r="AF98" i="6"/>
  <c r="AF111" i="6" s="1"/>
  <c r="AF94" i="6"/>
  <c r="AF97" i="6"/>
  <c r="AF99" i="6"/>
  <c r="AI27" i="3"/>
  <c r="AH154" i="3" s="1"/>
  <c r="AH13" i="6" s="1"/>
  <c r="AI28" i="3"/>
  <c r="AF109" i="6"/>
  <c r="AH27" i="6"/>
  <c r="AH22" i="5"/>
  <c r="AH20" i="5"/>
  <c r="AH25" i="6"/>
  <c r="AH155" i="3"/>
  <c r="AH156" i="3" s="1"/>
  <c r="AH15" i="6" s="1"/>
  <c r="AH95" i="6" s="1"/>
  <c r="AH21" i="5"/>
  <c r="AH26" i="6"/>
  <c r="AG154" i="3"/>
  <c r="AG13" i="6" s="1"/>
  <c r="Y35" i="5"/>
  <c r="Y41" i="5" s="1"/>
  <c r="AI12" i="6"/>
  <c r="AI160" i="6" s="1"/>
  <c r="AI44" i="5" s="1"/>
  <c r="AI12" i="5"/>
  <c r="AI16" i="6"/>
  <c r="AI114" i="3"/>
  <c r="AI10" i="5"/>
  <c r="AI9" i="6"/>
  <c r="AL111" i="3"/>
  <c r="AL112" i="3"/>
  <c r="AI8" i="5"/>
  <c r="AI148" i="3"/>
  <c r="AH9" i="5"/>
  <c r="AI159" i="3"/>
  <c r="AI3" i="6"/>
  <c r="AI4" i="6"/>
  <c r="AJ149" i="3"/>
  <c r="AJ146" i="3"/>
  <c r="AK126" i="3"/>
  <c r="AJ150" i="3"/>
  <c r="AJ151" i="3" s="1"/>
  <c r="AJ170" i="3" s="1"/>
  <c r="AJ153" i="3"/>
  <c r="AJ157" i="3"/>
  <c r="AJ158" i="3" s="1"/>
  <c r="AJ147" i="3"/>
  <c r="AJ8" i="6" s="1"/>
  <c r="AK127" i="3"/>
  <c r="AJ13" i="3"/>
  <c r="AJ12" i="3"/>
  <c r="AI10" i="6"/>
  <c r="AI4" i="5"/>
  <c r="AI3" i="5"/>
  <c r="AF11" i="10" l="1"/>
  <c r="T39" i="10"/>
  <c r="T17" i="10" s="1"/>
  <c r="AO4" i="9"/>
  <c r="AN38" i="9"/>
  <c r="AM36" i="12" s="1"/>
  <c r="AN37" i="9"/>
  <c r="AN4" i="8"/>
  <c r="AM35" i="8"/>
  <c r="AM36" i="8"/>
  <c r="AM36" i="11" s="1"/>
  <c r="AK24" i="7"/>
  <c r="AK12" i="10" s="1"/>
  <c r="AJ27" i="3"/>
  <c r="AI154" i="3" s="1"/>
  <c r="AI13" i="6" s="1"/>
  <c r="AJ28" i="3"/>
  <c r="AK23" i="3"/>
  <c r="AK26" i="3" s="1"/>
  <c r="AI22" i="5"/>
  <c r="AI27" i="6"/>
  <c r="AI21" i="5"/>
  <c r="AI26" i="6"/>
  <c r="AI155" i="3"/>
  <c r="AH96" i="6"/>
  <c r="AH14" i="6"/>
  <c r="AH13" i="5"/>
  <c r="AH98" i="6"/>
  <c r="AH111" i="6" s="1"/>
  <c r="AI20" i="5"/>
  <c r="AI25" i="6"/>
  <c r="AG98" i="6"/>
  <c r="AG111" i="6" s="1"/>
  <c r="AG94" i="6"/>
  <c r="AG97" i="6"/>
  <c r="AG95" i="6"/>
  <c r="AG96" i="6"/>
  <c r="AG60" i="6"/>
  <c r="AG99" i="6"/>
  <c r="AG109" i="6"/>
  <c r="AH99" i="6"/>
  <c r="AH97" i="6"/>
  <c r="AF113" i="6"/>
  <c r="AH94" i="6"/>
  <c r="AH60" i="6"/>
  <c r="Y36" i="5"/>
  <c r="Z32" i="5" s="1"/>
  <c r="Z34" i="5" s="1"/>
  <c r="AJ159" i="3"/>
  <c r="AJ12" i="6"/>
  <c r="AJ160" i="6" s="1"/>
  <c r="AJ44" i="5" s="1"/>
  <c r="AJ12" i="5"/>
  <c r="AJ8" i="5"/>
  <c r="AJ148" i="3"/>
  <c r="AJ3" i="5"/>
  <c r="AJ4" i="5"/>
  <c r="AJ16" i="6"/>
  <c r="AJ114" i="3"/>
  <c r="AJ3" i="6"/>
  <c r="AJ4" i="6"/>
  <c r="AI9" i="5"/>
  <c r="AJ10" i="6"/>
  <c r="AJ10" i="5"/>
  <c r="AJ9" i="6"/>
  <c r="AM112" i="3"/>
  <c r="AM111" i="3"/>
  <c r="AK13" i="3"/>
  <c r="AK12" i="3"/>
  <c r="AL126" i="3"/>
  <c r="AK153" i="3"/>
  <c r="AK150" i="3"/>
  <c r="AK151" i="3" s="1"/>
  <c r="AK170" i="3" s="1"/>
  <c r="AK146" i="3"/>
  <c r="AK157" i="3" s="1"/>
  <c r="AK158" i="3" s="1"/>
  <c r="AL127" i="3"/>
  <c r="AK147" i="3"/>
  <c r="AK8" i="6" s="1"/>
  <c r="AK149" i="3"/>
  <c r="AH79" i="9" l="1"/>
  <c r="AG11" i="10"/>
  <c r="AK10" i="6"/>
  <c r="AP4" i="9"/>
  <c r="AO38" i="9"/>
  <c r="AN36" i="12" s="1"/>
  <c r="AO37" i="9"/>
  <c r="AO4" i="8"/>
  <c r="AN35" i="8"/>
  <c r="AN36" i="8"/>
  <c r="AN36" i="11" s="1"/>
  <c r="AL24" i="7"/>
  <c r="AL12" i="10" s="1"/>
  <c r="AH113" i="6"/>
  <c r="AI13" i="5"/>
  <c r="AI14" i="6"/>
  <c r="AI156" i="3"/>
  <c r="AI15" i="6" s="1"/>
  <c r="AG113" i="6"/>
  <c r="AK27" i="3"/>
  <c r="AK28" i="3"/>
  <c r="AJ20" i="5"/>
  <c r="AJ25" i="6"/>
  <c r="AL23" i="3"/>
  <c r="AL26" i="3" s="1"/>
  <c r="AJ22" i="5"/>
  <c r="AJ27" i="6"/>
  <c r="AH109" i="6"/>
  <c r="AJ155" i="3"/>
  <c r="AJ26" i="6"/>
  <c r="AJ21" i="5"/>
  <c r="Z35" i="5"/>
  <c r="Z41" i="5" s="1"/>
  <c r="AK159" i="3"/>
  <c r="AK12" i="6"/>
  <c r="AK160" i="6" s="1"/>
  <c r="AK44" i="5" s="1"/>
  <c r="AK12" i="5"/>
  <c r="AK3" i="6"/>
  <c r="AK4" i="6"/>
  <c r="AJ9" i="5"/>
  <c r="AK9" i="6"/>
  <c r="AK10" i="5"/>
  <c r="AK4" i="5"/>
  <c r="AK3" i="5"/>
  <c r="AN112" i="3"/>
  <c r="AN111" i="3"/>
  <c r="AL149" i="3"/>
  <c r="AL146" i="3"/>
  <c r="AL157" i="3" s="1"/>
  <c r="AL158" i="3" s="1"/>
  <c r="AL153" i="3"/>
  <c r="AM126" i="3"/>
  <c r="AL147" i="3"/>
  <c r="AL8" i="6" s="1"/>
  <c r="AM127" i="3"/>
  <c r="AL150" i="3"/>
  <c r="AL151" i="3" s="1"/>
  <c r="AL170" i="3" s="1"/>
  <c r="AK8" i="5"/>
  <c r="AK148" i="3"/>
  <c r="AK16" i="6"/>
  <c r="AK114" i="3"/>
  <c r="AL12" i="3"/>
  <c r="AL13" i="3"/>
  <c r="AI79" i="9" l="1"/>
  <c r="AQ4" i="9"/>
  <c r="AP37" i="9"/>
  <c r="AP38" i="9"/>
  <c r="AO36" i="12" s="1"/>
  <c r="AP4" i="8"/>
  <c r="AO35" i="8"/>
  <c r="AO36" i="8"/>
  <c r="AO36" i="11" s="1"/>
  <c r="AM24" i="7"/>
  <c r="AM12" i="10" s="1"/>
  <c r="AK22" i="5"/>
  <c r="AK27" i="6"/>
  <c r="AJ154" i="3"/>
  <c r="AJ13" i="6" s="1"/>
  <c r="AK26" i="6"/>
  <c r="AK21" i="5"/>
  <c r="AJ14" i="6"/>
  <c r="AJ13" i="5"/>
  <c r="AK25" i="6"/>
  <c r="AK20" i="5"/>
  <c r="AK155" i="3"/>
  <c r="AJ156" i="3"/>
  <c r="AJ15" i="6" s="1"/>
  <c r="AM23" i="3"/>
  <c r="AM26" i="3" s="1"/>
  <c r="AI95" i="6"/>
  <c r="AI98" i="6"/>
  <c r="AI111" i="6" s="1"/>
  <c r="AI97" i="6"/>
  <c r="AI94" i="6"/>
  <c r="AI99" i="6"/>
  <c r="AI60" i="6"/>
  <c r="AI96" i="6"/>
  <c r="AI109" i="6"/>
  <c r="AL28" i="3"/>
  <c r="AL27" i="3"/>
  <c r="AK154" i="3" s="1"/>
  <c r="AK13" i="6" s="1"/>
  <c r="Z36" i="5"/>
  <c r="AA32" i="5" s="1"/>
  <c r="AA34" i="5" s="1"/>
  <c r="AA35" i="5" s="1"/>
  <c r="AA41" i="5" s="1"/>
  <c r="AL159" i="3"/>
  <c r="AL10" i="6"/>
  <c r="AM147" i="3"/>
  <c r="AM8" i="6" s="1"/>
  <c r="AN126" i="3"/>
  <c r="AM153" i="3"/>
  <c r="AM146" i="3"/>
  <c r="AM150" i="3" s="1"/>
  <c r="AM151" i="3" s="1"/>
  <c r="AM170" i="3" s="1"/>
  <c r="AI11" i="10" s="1"/>
  <c r="AN127" i="3"/>
  <c r="AL4" i="5"/>
  <c r="AL3" i="5"/>
  <c r="AL8" i="5"/>
  <c r="AL148" i="3"/>
  <c r="AO112" i="3"/>
  <c r="AO111" i="3"/>
  <c r="AL12" i="6"/>
  <c r="AL160" i="6" s="1"/>
  <c r="AL44" i="5" s="1"/>
  <c r="AL12" i="5"/>
  <c r="AL16" i="6"/>
  <c r="AL114" i="3"/>
  <c r="AM12" i="3"/>
  <c r="AM13" i="3"/>
  <c r="AL9" i="6"/>
  <c r="AL10" i="5"/>
  <c r="AK9" i="5"/>
  <c r="AL4" i="6"/>
  <c r="AL3" i="6"/>
  <c r="AJ79" i="9" l="1"/>
  <c r="AM10" i="6"/>
  <c r="AM157" i="3"/>
  <c r="AM158" i="3" s="1"/>
  <c r="AM16" i="6" s="1"/>
  <c r="AM149" i="3"/>
  <c r="AM9" i="6" s="1"/>
  <c r="AR4" i="9"/>
  <c r="AQ37" i="9"/>
  <c r="AQ38" i="9"/>
  <c r="AP36" i="12" s="1"/>
  <c r="AP35" i="8"/>
  <c r="AQ4" i="8"/>
  <c r="AP36" i="8"/>
  <c r="AP36" i="11" s="1"/>
  <c r="AN24" i="7"/>
  <c r="AN12" i="10" s="1"/>
  <c r="AL155" i="3"/>
  <c r="AL156" i="3" s="1"/>
  <c r="AL15" i="6" s="1"/>
  <c r="AL99" i="6" s="1"/>
  <c r="AK13" i="5"/>
  <c r="AK14" i="6"/>
  <c r="AK156" i="3"/>
  <c r="AK15" i="6" s="1"/>
  <c r="AI113" i="6"/>
  <c r="AL21" i="5"/>
  <c r="AL26" i="6"/>
  <c r="AJ109" i="6"/>
  <c r="AL22" i="5"/>
  <c r="AL27" i="6"/>
  <c r="AL25" i="6"/>
  <c r="AL20" i="5"/>
  <c r="AM27" i="3"/>
  <c r="AL154" i="3" s="1"/>
  <c r="AL13" i="6" s="1"/>
  <c r="AM28" i="3"/>
  <c r="AN23" i="3"/>
  <c r="AN26" i="3" s="1"/>
  <c r="AJ94" i="6"/>
  <c r="AJ98" i="6"/>
  <c r="AJ111" i="6" s="1"/>
  <c r="AJ96" i="6"/>
  <c r="AJ60" i="6"/>
  <c r="AJ95" i="6"/>
  <c r="AJ97" i="6"/>
  <c r="AJ99" i="6"/>
  <c r="AA36" i="5"/>
  <c r="AB32" i="5" s="1"/>
  <c r="AB34" i="5" s="1"/>
  <c r="AB35" i="5" s="1"/>
  <c r="AB41" i="5" s="1"/>
  <c r="AN12" i="3"/>
  <c r="AN13" i="3"/>
  <c r="AN147" i="3"/>
  <c r="AN8" i="6" s="1"/>
  <c r="AO126" i="3"/>
  <c r="AN153" i="3"/>
  <c r="AO127" i="3"/>
  <c r="AN146" i="3"/>
  <c r="AN157" i="3" s="1"/>
  <c r="AL9" i="5"/>
  <c r="AM4" i="6"/>
  <c r="AM3" i="6"/>
  <c r="AM12" i="6"/>
  <c r="AM160" i="6" s="1"/>
  <c r="AM44" i="5" s="1"/>
  <c r="AM12" i="5"/>
  <c r="AP111" i="3"/>
  <c r="AP112" i="3"/>
  <c r="AM8" i="5"/>
  <c r="AM4" i="5"/>
  <c r="AM3" i="5"/>
  <c r="AN150" i="3" l="1"/>
  <c r="AN151" i="3" s="1"/>
  <c r="AN170" i="3" s="1"/>
  <c r="AN149" i="3"/>
  <c r="AN148" i="3" s="1"/>
  <c r="AM114" i="3"/>
  <c r="AM159" i="3"/>
  <c r="AN158" i="3"/>
  <c r="AN16" i="6" s="1"/>
  <c r="AM10" i="5"/>
  <c r="AM148" i="3"/>
  <c r="AM9" i="5" s="1"/>
  <c r="AS4" i="9"/>
  <c r="AR37" i="9"/>
  <c r="AR38" i="9"/>
  <c r="AQ36" i="12" s="1"/>
  <c r="AQ35" i="8"/>
  <c r="AR4" i="8"/>
  <c r="AQ36" i="8"/>
  <c r="AQ36" i="11" s="1"/>
  <c r="AO24" i="7"/>
  <c r="AO12" i="10" s="1"/>
  <c r="AL13" i="5"/>
  <c r="AL14" i="6"/>
  <c r="AL109" i="6" s="1"/>
  <c r="AL60" i="6"/>
  <c r="AL94" i="6"/>
  <c r="AL97" i="6"/>
  <c r="AL98" i="6"/>
  <c r="AL111" i="6" s="1"/>
  <c r="AL95" i="6"/>
  <c r="AL96" i="6"/>
  <c r="AN27" i="3"/>
  <c r="AM154" i="3" s="1"/>
  <c r="AM13" i="6" s="1"/>
  <c r="AN28" i="3"/>
  <c r="AM25" i="6"/>
  <c r="AM20" i="5"/>
  <c r="AK97" i="6"/>
  <c r="AK60" i="6"/>
  <c r="AK96" i="6"/>
  <c r="AK98" i="6"/>
  <c r="AK111" i="6" s="1"/>
  <c r="AK94" i="6"/>
  <c r="AK99" i="6"/>
  <c r="AK95" i="6"/>
  <c r="AM27" i="6"/>
  <c r="AM22" i="5"/>
  <c r="AK109" i="6"/>
  <c r="AJ113" i="6"/>
  <c r="AM21" i="5"/>
  <c r="AM26" i="6"/>
  <c r="AM155" i="3"/>
  <c r="AO23" i="3"/>
  <c r="AO26" i="3" s="1"/>
  <c r="AB36" i="5"/>
  <c r="AC32" i="5" s="1"/>
  <c r="AC34" i="5" s="1"/>
  <c r="AC35" i="5" s="1"/>
  <c r="AC41" i="5" s="1"/>
  <c r="AQ112" i="3"/>
  <c r="AQ111" i="3"/>
  <c r="AN8" i="5"/>
  <c r="AO157" i="3"/>
  <c r="AO158" i="3" s="1"/>
  <c r="AO149" i="3"/>
  <c r="AP127" i="3"/>
  <c r="AO153" i="3"/>
  <c r="AO147" i="3"/>
  <c r="AO8" i="6" s="1"/>
  <c r="AP126" i="3"/>
  <c r="AO150" i="3"/>
  <c r="AO151" i="3" s="1"/>
  <c r="AO170" i="3" s="1"/>
  <c r="AO146" i="3"/>
  <c r="AN4" i="6"/>
  <c r="AN3" i="6"/>
  <c r="AN12" i="6"/>
  <c r="AN160" i="6" s="1"/>
  <c r="AN44" i="5" s="1"/>
  <c r="AN12" i="5"/>
  <c r="AN4" i="5"/>
  <c r="AN3" i="5"/>
  <c r="AN159" i="3"/>
  <c r="AO12" i="3"/>
  <c r="AO13" i="3"/>
  <c r="AN9" i="6" l="1"/>
  <c r="AN10" i="6"/>
  <c r="AN10" i="5"/>
  <c r="AO10" i="6"/>
  <c r="AN114" i="3"/>
  <c r="AT4" i="9"/>
  <c r="AS37" i="9"/>
  <c r="AS38" i="9"/>
  <c r="AR36" i="12" s="1"/>
  <c r="AS4" i="8"/>
  <c r="AR35" i="8"/>
  <c r="AR36" i="8"/>
  <c r="AR36" i="11" s="1"/>
  <c r="AP24" i="7"/>
  <c r="AP12" i="10" s="1"/>
  <c r="AL113" i="6"/>
  <c r="AK113" i="6"/>
  <c r="AO27" i="3"/>
  <c r="AO155" i="3" s="1"/>
  <c r="AO28" i="3"/>
  <c r="AM14" i="6"/>
  <c r="AM13" i="5"/>
  <c r="AM156" i="3"/>
  <c r="AM15" i="6" s="1"/>
  <c r="AN27" i="6"/>
  <c r="AN22" i="5"/>
  <c r="AP23" i="3"/>
  <c r="AP26" i="3" s="1"/>
  <c r="AN155" i="3"/>
  <c r="AN21" i="5"/>
  <c r="AN26" i="6"/>
  <c r="AN25" i="6"/>
  <c r="AN20" i="5"/>
  <c r="AC36" i="5"/>
  <c r="AD32" i="5" s="1"/>
  <c r="AD34" i="5" s="1"/>
  <c r="AD35" i="5" s="1"/>
  <c r="AD41" i="5" s="1"/>
  <c r="AO8" i="5"/>
  <c r="AO148" i="3"/>
  <c r="AO12" i="6"/>
  <c r="AO160" i="6" s="1"/>
  <c r="AO44" i="5" s="1"/>
  <c r="AO12" i="5"/>
  <c r="AO159" i="3"/>
  <c r="AO9" i="6"/>
  <c r="AO10" i="5"/>
  <c r="AR112" i="3"/>
  <c r="AR111" i="3"/>
  <c r="AQ127" i="3"/>
  <c r="AP153" i="3"/>
  <c r="AP157" i="3"/>
  <c r="AP158" i="3" s="1"/>
  <c r="AP147" i="3"/>
  <c r="AP8" i="6" s="1"/>
  <c r="AP149" i="3"/>
  <c r="AQ126" i="3"/>
  <c r="AP150" i="3"/>
  <c r="AP151" i="3" s="1"/>
  <c r="AP170" i="3" s="1"/>
  <c r="AP146" i="3"/>
  <c r="AO4" i="6"/>
  <c r="AO3" i="6"/>
  <c r="AP12" i="3"/>
  <c r="AP13" i="3"/>
  <c r="AN9" i="5"/>
  <c r="AO16" i="6"/>
  <c r="AO114" i="3"/>
  <c r="AO4" i="5"/>
  <c r="AO3" i="5"/>
  <c r="AP10" i="6" l="1"/>
  <c r="AU4" i="9"/>
  <c r="AT37" i="9"/>
  <c r="AT38" i="9"/>
  <c r="AS36" i="12" s="1"/>
  <c r="AS35" i="8"/>
  <c r="AT4" i="8"/>
  <c r="AS36" i="8"/>
  <c r="AS36" i="11" s="1"/>
  <c r="AQ24" i="7"/>
  <c r="AQ12" i="10" s="1"/>
  <c r="AN13" i="5"/>
  <c r="AN14" i="6"/>
  <c r="AN156" i="3"/>
  <c r="AN15" i="6" s="1"/>
  <c r="AP28" i="3"/>
  <c r="AP27" i="3"/>
  <c r="AO154" i="3" s="1"/>
  <c r="AO13" i="6" s="1"/>
  <c r="AM60" i="6"/>
  <c r="AM98" i="6"/>
  <c r="AM111" i="6" s="1"/>
  <c r="AM95" i="6"/>
  <c r="AM96" i="6"/>
  <c r="AM99" i="6"/>
  <c r="AM97" i="6"/>
  <c r="AM94" i="6"/>
  <c r="AM109" i="6"/>
  <c r="AO14" i="6"/>
  <c r="AO13" i="5"/>
  <c r="AO25" i="6"/>
  <c r="AO20" i="5"/>
  <c r="AQ23" i="3"/>
  <c r="AQ26" i="3" s="1"/>
  <c r="AO156" i="3"/>
  <c r="AO15" i="6" s="1"/>
  <c r="AO95" i="6" s="1"/>
  <c r="AO22" i="5"/>
  <c r="AO27" i="6"/>
  <c r="AN154" i="3"/>
  <c r="AN13" i="6" s="1"/>
  <c r="AO21" i="5"/>
  <c r="AO26" i="6"/>
  <c r="AD36" i="5"/>
  <c r="AE32" i="5" s="1"/>
  <c r="AE34" i="5" s="1"/>
  <c r="AE35" i="5" s="1"/>
  <c r="AE41" i="5" s="1"/>
  <c r="AP159" i="3"/>
  <c r="AP4" i="6"/>
  <c r="AP3" i="6"/>
  <c r="AP9" i="6"/>
  <c r="AP10" i="5"/>
  <c r="AP8" i="5"/>
  <c r="AP148" i="3"/>
  <c r="AP16" i="6"/>
  <c r="AP114" i="3"/>
  <c r="AP12" i="5"/>
  <c r="AP12" i="6"/>
  <c r="AP160" i="6" s="1"/>
  <c r="AP44" i="5" s="1"/>
  <c r="AQ153" i="3"/>
  <c r="AQ150" i="3"/>
  <c r="AQ151" i="3" s="1"/>
  <c r="AQ170" i="3" s="1"/>
  <c r="AQ147" i="3"/>
  <c r="AQ8" i="6" s="1"/>
  <c r="AR127" i="3"/>
  <c r="AQ157" i="3"/>
  <c r="AQ158" i="3" s="1"/>
  <c r="AQ149" i="3"/>
  <c r="AQ146" i="3"/>
  <c r="AR126" i="3"/>
  <c r="AO9" i="5"/>
  <c r="AP4" i="5"/>
  <c r="AP3" i="5"/>
  <c r="AQ12" i="3"/>
  <c r="AQ13" i="3"/>
  <c r="AS111" i="3"/>
  <c r="AS112" i="3"/>
  <c r="AQ10" i="6" l="1"/>
  <c r="AV4" i="9"/>
  <c r="AU37" i="9"/>
  <c r="AU38" i="9"/>
  <c r="AT36" i="12" s="1"/>
  <c r="AU4" i="8"/>
  <c r="AT35" i="8"/>
  <c r="AT36" i="8"/>
  <c r="AT36" i="11" s="1"/>
  <c r="AR24" i="7"/>
  <c r="AR12" i="10" s="1"/>
  <c r="AO99" i="6"/>
  <c r="AQ28" i="3"/>
  <c r="AQ27" i="3"/>
  <c r="AP154" i="3" s="1"/>
  <c r="AP13" i="6" s="1"/>
  <c r="AO96" i="6"/>
  <c r="AO97" i="6"/>
  <c r="AM113" i="6"/>
  <c r="AO98" i="6"/>
  <c r="AO111" i="6" s="1"/>
  <c r="AR23" i="3"/>
  <c r="AR26" i="3" s="1"/>
  <c r="AO60" i="6"/>
  <c r="AP155" i="3"/>
  <c r="AP21" i="5"/>
  <c r="AP26" i="6"/>
  <c r="AO109" i="6"/>
  <c r="AP20" i="5"/>
  <c r="AP25" i="6"/>
  <c r="AN98" i="6"/>
  <c r="AN111" i="6" s="1"/>
  <c r="AN99" i="6"/>
  <c r="AN94" i="6"/>
  <c r="AN95" i="6"/>
  <c r="AN97" i="6"/>
  <c r="AN60" i="6"/>
  <c r="AN96" i="6"/>
  <c r="AP22" i="5"/>
  <c r="AP27" i="6"/>
  <c r="AO94" i="6"/>
  <c r="AN109" i="6"/>
  <c r="AE36" i="5"/>
  <c r="AF32" i="5" s="1"/>
  <c r="AF34" i="5" s="1"/>
  <c r="AQ10" i="5"/>
  <c r="AQ9" i="6"/>
  <c r="AQ16" i="6"/>
  <c r="AQ114" i="3"/>
  <c r="AR153" i="3"/>
  <c r="AR150" i="3"/>
  <c r="AR151" i="3" s="1"/>
  <c r="AR170" i="3" s="1"/>
  <c r="AR147" i="3"/>
  <c r="AR8" i="6" s="1"/>
  <c r="AR157" i="3"/>
  <c r="AR158" i="3" s="1"/>
  <c r="AS127" i="3"/>
  <c r="AR149" i="3"/>
  <c r="AS126" i="3"/>
  <c r="AR146" i="3"/>
  <c r="AQ4" i="5"/>
  <c r="AQ3" i="5"/>
  <c r="AT112" i="3"/>
  <c r="AT111" i="3"/>
  <c r="AQ12" i="5"/>
  <c r="AQ12" i="6"/>
  <c r="AQ160" i="6" s="1"/>
  <c r="AQ44" i="5" s="1"/>
  <c r="AQ159" i="3"/>
  <c r="AR13" i="3"/>
  <c r="AR12" i="3"/>
  <c r="AQ3" i="6"/>
  <c r="AQ4" i="6"/>
  <c r="AP9" i="5"/>
  <c r="AQ8" i="5"/>
  <c r="AQ148" i="3"/>
  <c r="AR10" i="6" l="1"/>
  <c r="AW4" i="9"/>
  <c r="AV37" i="9"/>
  <c r="AV38" i="9"/>
  <c r="AU36" i="12" s="1"/>
  <c r="AU35" i="8"/>
  <c r="AV4" i="8"/>
  <c r="AU36" i="8"/>
  <c r="AU36" i="11" s="1"/>
  <c r="AS24" i="7"/>
  <c r="AS12" i="10" s="1"/>
  <c r="AQ155" i="3"/>
  <c r="AQ14" i="6" s="1"/>
  <c r="AO113" i="6"/>
  <c r="AN113" i="6"/>
  <c r="AR27" i="3"/>
  <c r="AR28" i="3"/>
  <c r="AQ20" i="5"/>
  <c r="AQ25" i="6"/>
  <c r="AS23" i="3"/>
  <c r="AS26" i="3" s="1"/>
  <c r="AQ21" i="5"/>
  <c r="AQ26" i="6"/>
  <c r="AQ22" i="5"/>
  <c r="AQ27" i="6"/>
  <c r="AP14" i="6"/>
  <c r="AP13" i="5"/>
  <c r="AP156" i="3"/>
  <c r="AP15" i="6" s="1"/>
  <c r="AR3" i="6"/>
  <c r="AR4" i="6"/>
  <c r="AS13" i="3"/>
  <c r="AS12" i="3"/>
  <c r="AQ9" i="5"/>
  <c r="AR4" i="5"/>
  <c r="AR3" i="5"/>
  <c r="AR9" i="6"/>
  <c r="AR10" i="5"/>
  <c r="AT127" i="3"/>
  <c r="AS153" i="3"/>
  <c r="AS147" i="3"/>
  <c r="AS8" i="6" s="1"/>
  <c r="AS157" i="3"/>
  <c r="AS158" i="3" s="1"/>
  <c r="AS146" i="3"/>
  <c r="AT126" i="3"/>
  <c r="AS150" i="3"/>
  <c r="AS151" i="3" s="1"/>
  <c r="AS170" i="3" s="1"/>
  <c r="AS149" i="3"/>
  <c r="AF35" i="5"/>
  <c r="AF41" i="5" s="1"/>
  <c r="AR16" i="6"/>
  <c r="AR114" i="3"/>
  <c r="AR8" i="5"/>
  <c r="AR148" i="3"/>
  <c r="AU111" i="3"/>
  <c r="AU112" i="3"/>
  <c r="AR12" i="5"/>
  <c r="AR12" i="6"/>
  <c r="AR160" i="6" s="1"/>
  <c r="AR44" i="5" s="1"/>
  <c r="AR159" i="3"/>
  <c r="AS10" i="6" l="1"/>
  <c r="AX4" i="9"/>
  <c r="AW37" i="9"/>
  <c r="AW38" i="9"/>
  <c r="AV36" i="12" s="1"/>
  <c r="AW4" i="8"/>
  <c r="AV35" i="8"/>
  <c r="AV36" i="8"/>
  <c r="AV36" i="11" s="1"/>
  <c r="AT24" i="7"/>
  <c r="AT12" i="10" s="1"/>
  <c r="AQ156" i="3"/>
  <c r="AQ15" i="6" s="1"/>
  <c r="AQ95" i="6" s="1"/>
  <c r="AQ13" i="5"/>
  <c r="AQ154" i="3"/>
  <c r="AQ13" i="6" s="1"/>
  <c r="AR26" i="6"/>
  <c r="AR21" i="5"/>
  <c r="AR155" i="3"/>
  <c r="AQ109" i="6"/>
  <c r="AT23" i="3"/>
  <c r="AT26" i="3" s="1"/>
  <c r="AP94" i="6"/>
  <c r="AP96" i="6"/>
  <c r="AP98" i="6"/>
  <c r="AP111" i="6" s="1"/>
  <c r="AP95" i="6"/>
  <c r="AP60" i="6"/>
  <c r="AP97" i="6"/>
  <c r="AP99" i="6"/>
  <c r="AS27" i="3"/>
  <c r="AS28" i="3"/>
  <c r="AR20" i="5"/>
  <c r="AR25" i="6"/>
  <c r="AP109" i="6"/>
  <c r="AR27" i="6"/>
  <c r="AR22" i="5"/>
  <c r="AU126" i="3"/>
  <c r="AT153" i="3"/>
  <c r="AT150" i="3"/>
  <c r="AT151" i="3" s="1"/>
  <c r="AT170" i="3" s="1"/>
  <c r="AT147" i="3"/>
  <c r="AT8" i="6" s="1"/>
  <c r="AT146" i="3"/>
  <c r="AT157" i="3"/>
  <c r="AT158" i="3" s="1"/>
  <c r="AU127" i="3"/>
  <c r="AT149" i="3"/>
  <c r="AF36" i="5"/>
  <c r="AG32" i="5" s="1"/>
  <c r="AG34" i="5" s="1"/>
  <c r="AV111" i="3"/>
  <c r="AV112" i="3"/>
  <c r="AR9" i="5"/>
  <c r="AS4" i="5"/>
  <c r="AS3" i="5"/>
  <c r="AT13" i="3"/>
  <c r="AT12" i="3"/>
  <c r="AS9" i="6"/>
  <c r="AS10" i="5"/>
  <c r="AS16" i="6"/>
  <c r="AS114" i="3"/>
  <c r="AS8" i="5"/>
  <c r="AS148" i="3"/>
  <c r="AS3" i="6"/>
  <c r="AS4" i="6"/>
  <c r="AS12" i="5"/>
  <c r="AS12" i="6"/>
  <c r="AS160" i="6" s="1"/>
  <c r="AS44" i="5" s="1"/>
  <c r="AS159" i="3"/>
  <c r="AT10" i="6" l="1"/>
  <c r="AX4" i="8"/>
  <c r="AX35" i="8" s="1"/>
  <c r="AY4" i="9"/>
  <c r="AX37" i="9"/>
  <c r="AX38" i="9"/>
  <c r="AW36" i="12" s="1"/>
  <c r="AW35" i="8"/>
  <c r="AW36" i="8"/>
  <c r="AW36" i="11" s="1"/>
  <c r="AU24" i="7"/>
  <c r="AU12" i="10" s="1"/>
  <c r="AQ94" i="6"/>
  <c r="AQ98" i="6"/>
  <c r="AQ111" i="6" s="1"/>
  <c r="AQ60" i="6"/>
  <c r="AQ97" i="6"/>
  <c r="AQ99" i="6"/>
  <c r="AQ96" i="6"/>
  <c r="AU23" i="3"/>
  <c r="AU26" i="3" s="1"/>
  <c r="AT28" i="3"/>
  <c r="AT27" i="3"/>
  <c r="AS154" i="3" s="1"/>
  <c r="AS13" i="6" s="1"/>
  <c r="AS155" i="3"/>
  <c r="AS26" i="6"/>
  <c r="AS21" i="5"/>
  <c r="AS25" i="6"/>
  <c r="AS20" i="5"/>
  <c r="AR14" i="6"/>
  <c r="AR13" i="5"/>
  <c r="AR156" i="3"/>
  <c r="AR15" i="6" s="1"/>
  <c r="AR154" i="3"/>
  <c r="AR13" i="6" s="1"/>
  <c r="AS27" i="6"/>
  <c r="AS22" i="5"/>
  <c r="AP113" i="6"/>
  <c r="AT12" i="6"/>
  <c r="AT160" i="6" s="1"/>
  <c r="AT44" i="5" s="1"/>
  <c r="AT12" i="5"/>
  <c r="AW111" i="3"/>
  <c r="AW112" i="3"/>
  <c r="AT159" i="3"/>
  <c r="AT10" i="5"/>
  <c r="AT9" i="6"/>
  <c r="AU149" i="3"/>
  <c r="AU146" i="3"/>
  <c r="AV126" i="3"/>
  <c r="AU157" i="3"/>
  <c r="AU158" i="3" s="1"/>
  <c r="AV127" i="3"/>
  <c r="AU150" i="3"/>
  <c r="AU151" i="3" s="1"/>
  <c r="AU170" i="3" s="1"/>
  <c r="AU147" i="3"/>
  <c r="AU8" i="6" s="1"/>
  <c r="AU153" i="3"/>
  <c r="AU13" i="3"/>
  <c r="AU12" i="3"/>
  <c r="AG35" i="5"/>
  <c r="AG41" i="5" s="1"/>
  <c r="AT16" i="6"/>
  <c r="AT114" i="3"/>
  <c r="AS9" i="5"/>
  <c r="AT3" i="5"/>
  <c r="AT4" i="5"/>
  <c r="AT8" i="5"/>
  <c r="AT148" i="3"/>
  <c r="AT3" i="6"/>
  <c r="AT4" i="6"/>
  <c r="AU10" i="6" l="1"/>
  <c r="AX36" i="8"/>
  <c r="AX36" i="11" s="1"/>
  <c r="AY37" i="9"/>
  <c r="AY38" i="9"/>
  <c r="AX36" i="12" s="1"/>
  <c r="AV24" i="7"/>
  <c r="AV12" i="10" s="1"/>
  <c r="AQ113" i="6"/>
  <c r="AT155" i="3"/>
  <c r="AT14" i="6" s="1"/>
  <c r="AS14" i="6"/>
  <c r="AS13" i="5"/>
  <c r="AS156" i="3"/>
  <c r="AS15" i="6" s="1"/>
  <c r="AT25" i="6"/>
  <c r="AT20" i="5"/>
  <c r="AT21" i="5"/>
  <c r="AT26" i="6"/>
  <c r="AT27" i="6"/>
  <c r="AT22" i="5"/>
  <c r="AR109" i="6"/>
  <c r="AR97" i="6"/>
  <c r="AR99" i="6"/>
  <c r="AR95" i="6"/>
  <c r="AR60" i="6"/>
  <c r="AR94" i="6"/>
  <c r="AR96" i="6"/>
  <c r="AR98" i="6"/>
  <c r="AR111" i="6" s="1"/>
  <c r="AU27" i="3"/>
  <c r="AU155" i="3" s="1"/>
  <c r="AU28" i="3"/>
  <c r="AV23" i="3"/>
  <c r="AV26" i="3" s="1"/>
  <c r="AG36" i="5"/>
  <c r="AH32" i="5" s="1"/>
  <c r="AH34" i="5" s="1"/>
  <c r="AH35" i="5" s="1"/>
  <c r="AH41" i="5" s="1"/>
  <c r="AU8" i="5"/>
  <c r="AU148" i="3"/>
  <c r="AX111" i="3"/>
  <c r="AX112" i="3"/>
  <c r="AU159" i="3"/>
  <c r="AU3" i="6"/>
  <c r="AU4" i="6"/>
  <c r="AV13" i="3"/>
  <c r="AV12" i="3"/>
  <c r="AT9" i="5"/>
  <c r="AU10" i="5"/>
  <c r="AU9" i="6"/>
  <c r="AV149" i="3"/>
  <c r="AV146" i="3"/>
  <c r="AV150" i="3"/>
  <c r="AV151" i="3" s="1"/>
  <c r="AV170" i="3" s="1"/>
  <c r="AW127" i="3"/>
  <c r="AW126" i="3"/>
  <c r="AV147" i="3"/>
  <c r="AV8" i="6" s="1"/>
  <c r="AV153" i="3"/>
  <c r="AV157" i="3"/>
  <c r="AV158" i="3" s="1"/>
  <c r="AU16" i="6"/>
  <c r="AU114" i="3"/>
  <c r="AU3" i="5"/>
  <c r="AU4" i="5"/>
  <c r="AU12" i="6"/>
  <c r="AU160" i="6" s="1"/>
  <c r="AU44" i="5" s="1"/>
  <c r="AU12" i="5"/>
  <c r="AV10" i="6" l="1"/>
  <c r="AW24" i="7"/>
  <c r="AW12" i="10" s="1"/>
  <c r="AX24" i="7"/>
  <c r="AX12" i="10" s="1"/>
  <c r="AT13" i="5"/>
  <c r="AT156" i="3"/>
  <c r="AT15" i="6" s="1"/>
  <c r="AT98" i="6" s="1"/>
  <c r="AT111" i="6" s="1"/>
  <c r="AU21" i="5"/>
  <c r="AU26" i="6"/>
  <c r="AT154" i="3"/>
  <c r="AT13" i="6" s="1"/>
  <c r="AU14" i="6"/>
  <c r="AU13" i="5"/>
  <c r="AU20" i="5"/>
  <c r="AU25" i="6"/>
  <c r="AR113" i="6"/>
  <c r="AW23" i="3"/>
  <c r="AW26" i="3" s="1"/>
  <c r="AS97" i="6"/>
  <c r="AS95" i="6"/>
  <c r="AS99" i="6"/>
  <c r="AS96" i="6"/>
  <c r="AS94" i="6"/>
  <c r="AS60" i="6"/>
  <c r="AS98" i="6"/>
  <c r="AS111" i="6" s="1"/>
  <c r="AV27" i="3"/>
  <c r="AV28" i="3"/>
  <c r="AS109" i="6"/>
  <c r="AU156" i="3"/>
  <c r="AU15" i="6" s="1"/>
  <c r="AU94" i="6" s="1"/>
  <c r="AU22" i="5"/>
  <c r="AU27" i="6"/>
  <c r="AT109" i="6"/>
  <c r="AV159" i="3"/>
  <c r="AH36" i="5"/>
  <c r="AI32" i="5" s="1"/>
  <c r="AI34" i="5" s="1"/>
  <c r="AI35" i="5" s="1"/>
  <c r="AI41" i="5" s="1"/>
  <c r="AV3" i="5"/>
  <c r="AV4" i="5"/>
  <c r="AX126" i="3"/>
  <c r="AW150" i="3"/>
  <c r="AW151" i="3" s="1"/>
  <c r="AW170" i="3" s="1"/>
  <c r="AW146" i="3"/>
  <c r="AW157" i="3" s="1"/>
  <c r="AW149" i="3"/>
  <c r="AW153" i="3"/>
  <c r="AX127" i="3"/>
  <c r="AW147" i="3"/>
  <c r="AW8" i="6" s="1"/>
  <c r="AW13" i="3"/>
  <c r="AW12" i="3"/>
  <c r="AU9" i="5"/>
  <c r="AV3" i="6"/>
  <c r="AV4" i="6"/>
  <c r="AV16" i="6"/>
  <c r="AV114" i="3"/>
  <c r="AV12" i="5"/>
  <c r="AV12" i="6"/>
  <c r="AV160" i="6" s="1"/>
  <c r="AV44" i="5" s="1"/>
  <c r="AV9" i="6"/>
  <c r="AV10" i="5"/>
  <c r="AV8" i="5"/>
  <c r="AV148" i="3"/>
  <c r="AW10" i="6" l="1"/>
  <c r="AT95" i="6"/>
  <c r="AT97" i="6"/>
  <c r="AT99" i="6"/>
  <c r="AT60" i="6"/>
  <c r="AT94" i="6"/>
  <c r="AT96" i="6"/>
  <c r="AU99" i="6"/>
  <c r="AU96" i="6"/>
  <c r="AS113" i="6"/>
  <c r="AW27" i="3"/>
  <c r="AV154" i="3" s="1"/>
  <c r="AV13" i="6" s="1"/>
  <c r="AW28" i="3"/>
  <c r="AX23" i="3"/>
  <c r="AX26" i="3" s="1"/>
  <c r="AV27" i="6"/>
  <c r="AV22" i="5"/>
  <c r="AV20" i="5"/>
  <c r="AV25" i="6"/>
  <c r="AU154" i="3"/>
  <c r="AU13" i="6" s="1"/>
  <c r="AV21" i="5"/>
  <c r="AV26" i="6"/>
  <c r="AU60" i="6"/>
  <c r="AU109" i="6"/>
  <c r="AU95" i="6"/>
  <c r="AU98" i="6"/>
  <c r="AU111" i="6" s="1"/>
  <c r="AU97" i="6"/>
  <c r="AV155" i="3"/>
  <c r="AI36" i="5"/>
  <c r="AJ32" i="5" s="1"/>
  <c r="AJ34" i="5" s="1"/>
  <c r="AJ35" i="5" s="1"/>
  <c r="AJ41" i="5" s="1"/>
  <c r="AW158" i="3"/>
  <c r="AW159" i="3"/>
  <c r="AW3" i="6"/>
  <c r="AW4" i="6"/>
  <c r="AX12" i="3"/>
  <c r="AX13" i="3"/>
  <c r="AW8" i="5"/>
  <c r="AW148" i="3"/>
  <c r="AX157" i="3"/>
  <c r="AX158" i="3" s="1"/>
  <c r="AX149" i="3"/>
  <c r="AX146" i="3"/>
  <c r="AX150" i="3"/>
  <c r="AX151" i="3" s="1"/>
  <c r="AX170" i="3" s="1"/>
  <c r="AU11" i="10" s="1"/>
  <c r="AX153" i="3"/>
  <c r="AX147" i="3"/>
  <c r="AX8" i="6" s="1"/>
  <c r="AW4" i="5"/>
  <c r="AW3" i="5"/>
  <c r="AW12" i="6"/>
  <c r="AW160" i="6" s="1"/>
  <c r="AW44" i="5" s="1"/>
  <c r="AW12" i="5"/>
  <c r="AW9" i="6"/>
  <c r="AW10" i="5"/>
  <c r="AV9" i="5"/>
  <c r="AW79" i="9" l="1"/>
  <c r="AX79" i="9"/>
  <c r="AW11" i="10"/>
  <c r="AU79" i="9"/>
  <c r="AT11" i="10"/>
  <c r="AS11" i="10"/>
  <c r="AX11" i="10"/>
  <c r="AY79" i="9"/>
  <c r="U11" i="10"/>
  <c r="U13" i="10" s="1"/>
  <c r="AA11" i="10"/>
  <c r="AG79" i="9"/>
  <c r="AH11" i="10"/>
  <c r="AK79" i="9"/>
  <c r="AL79" i="9"/>
  <c r="AJ11" i="10"/>
  <c r="AM11" i="10"/>
  <c r="AM79" i="9"/>
  <c r="AL11" i="10"/>
  <c r="AK11" i="10"/>
  <c r="AN79" i="9"/>
  <c r="AN11" i="10"/>
  <c r="AO79" i="9"/>
  <c r="AP79" i="9"/>
  <c r="AO11" i="10"/>
  <c r="AQ11" i="10"/>
  <c r="AP11" i="10"/>
  <c r="AQ79" i="9"/>
  <c r="AS79" i="9"/>
  <c r="AR11" i="10"/>
  <c r="AR79" i="9"/>
  <c r="AT79" i="9"/>
  <c r="AV79" i="9"/>
  <c r="AV11" i="10"/>
  <c r="AT113" i="6"/>
  <c r="AP88" i="9"/>
  <c r="AP106" i="9" s="1"/>
  <c r="AY88" i="9"/>
  <c r="AY106" i="9" s="1"/>
  <c r="AN88" i="9"/>
  <c r="AN106" i="9" s="1"/>
  <c r="AW88" i="9"/>
  <c r="AW106" i="9" s="1"/>
  <c r="AK88" i="9"/>
  <c r="AV88" i="9"/>
  <c r="AV106" i="9" s="1"/>
  <c r="AU88" i="9"/>
  <c r="AR88" i="9"/>
  <c r="AR106" i="9" s="1"/>
  <c r="AT88" i="9"/>
  <c r="AS88" i="9"/>
  <c r="AO88" i="9"/>
  <c r="AO106" i="9" s="1"/>
  <c r="AQ88" i="9"/>
  <c r="AL88" i="9"/>
  <c r="AM88" i="9"/>
  <c r="AX88" i="9"/>
  <c r="AU113" i="6"/>
  <c r="AW155" i="3"/>
  <c r="AW156" i="3" s="1"/>
  <c r="AW15" i="6" s="1"/>
  <c r="AW95" i="6" s="1"/>
  <c r="AX28" i="3"/>
  <c r="AX27" i="3"/>
  <c r="AW27" i="6"/>
  <c r="AW22" i="5"/>
  <c r="AW20" i="5"/>
  <c r="AW25" i="6"/>
  <c r="AW26" i="6"/>
  <c r="AW21" i="5"/>
  <c r="AV13" i="5"/>
  <c r="AV14" i="6"/>
  <c r="AV156" i="3"/>
  <c r="AV15" i="6" s="1"/>
  <c r="AX159" i="3"/>
  <c r="AX3" i="6"/>
  <c r="AX4" i="6"/>
  <c r="AX4" i="5"/>
  <c r="AX3" i="5"/>
  <c r="AX8" i="5"/>
  <c r="AX148" i="3"/>
  <c r="AX12" i="6"/>
  <c r="AX160" i="6" s="1"/>
  <c r="AX44" i="5" s="1"/>
  <c r="AX12" i="5"/>
  <c r="AX10" i="6"/>
  <c r="N88" i="9"/>
  <c r="L88" i="9"/>
  <c r="M88" i="9"/>
  <c r="O88" i="9"/>
  <c r="S88" i="9"/>
  <c r="Q88" i="9"/>
  <c r="P88" i="9"/>
  <c r="R88" i="9"/>
  <c r="T88" i="9"/>
  <c r="U88" i="9"/>
  <c r="V88" i="9"/>
  <c r="W88" i="9"/>
  <c r="X88" i="9"/>
  <c r="Y88" i="9"/>
  <c r="Z88" i="9"/>
  <c r="AC88" i="9"/>
  <c r="AA88" i="9"/>
  <c r="AB88" i="9"/>
  <c r="AD88" i="9"/>
  <c r="AE88" i="9"/>
  <c r="AG88" i="9"/>
  <c r="AF88" i="9"/>
  <c r="AH88" i="9"/>
  <c r="AI88" i="9"/>
  <c r="AJ88" i="9"/>
  <c r="AJ106" i="9" s="1"/>
  <c r="AW9" i="5"/>
  <c r="AJ36" i="5"/>
  <c r="AK32" i="5" s="1"/>
  <c r="AK34" i="5" s="1"/>
  <c r="AX9" i="6"/>
  <c r="AX10" i="5"/>
  <c r="AX16" i="6"/>
  <c r="AX114" i="3"/>
  <c r="AW16" i="6"/>
  <c r="AW114" i="3"/>
  <c r="M152" i="3" l="1"/>
  <c r="V13" i="10"/>
  <c r="U37" i="10"/>
  <c r="U38" i="10"/>
  <c r="U48" i="10"/>
  <c r="P61" i="6"/>
  <c r="AX152" i="3"/>
  <c r="K152" i="3"/>
  <c r="K11" i="5" s="1"/>
  <c r="K25" i="5" s="1"/>
  <c r="N152" i="3"/>
  <c r="L152" i="3"/>
  <c r="O152" i="3"/>
  <c r="P152" i="3"/>
  <c r="Q152" i="3"/>
  <c r="R152" i="3"/>
  <c r="S152" i="3"/>
  <c r="T152" i="3"/>
  <c r="U152" i="3"/>
  <c r="V152" i="3"/>
  <c r="V11" i="6" s="1"/>
  <c r="X152" i="3"/>
  <c r="X11" i="6" s="1"/>
  <c r="W152" i="3"/>
  <c r="Y152" i="3"/>
  <c r="Y11" i="6" s="1"/>
  <c r="AA152" i="3"/>
  <c r="Z152" i="3"/>
  <c r="Z11" i="6" s="1"/>
  <c r="AB152" i="3"/>
  <c r="AB11" i="5" s="1"/>
  <c r="AC152" i="3"/>
  <c r="AC11" i="6" s="1"/>
  <c r="AD152" i="3"/>
  <c r="AE152" i="3"/>
  <c r="AG152" i="3"/>
  <c r="AF152" i="3"/>
  <c r="AH152" i="3"/>
  <c r="AI152" i="3"/>
  <c r="AI11" i="5" s="1"/>
  <c r="AJ152" i="3"/>
  <c r="AJ11" i="6" s="1"/>
  <c r="AK152" i="3"/>
  <c r="AL152" i="3"/>
  <c r="AM152" i="3"/>
  <c r="AN152" i="3"/>
  <c r="AN11" i="6" s="1"/>
  <c r="AO152" i="3"/>
  <c r="AQ152" i="3"/>
  <c r="AP152" i="3"/>
  <c r="AR152" i="3"/>
  <c r="AR11" i="6" s="1"/>
  <c r="AS152" i="3"/>
  <c r="AT152" i="3"/>
  <c r="AT11" i="6" s="1"/>
  <c r="AV152" i="3"/>
  <c r="AW152" i="3"/>
  <c r="AU152" i="3"/>
  <c r="AU11" i="6" s="1"/>
  <c r="AX70" i="9"/>
  <c r="AX69" i="9"/>
  <c r="AX71" i="9"/>
  <c r="AU25" i="10"/>
  <c r="AV71" i="9"/>
  <c r="AV70" i="9"/>
  <c r="AV69" i="9"/>
  <c r="AM106" i="9"/>
  <c r="AM71" i="9"/>
  <c r="AM70" i="9"/>
  <c r="AM69" i="9"/>
  <c r="AK70" i="9"/>
  <c r="AK69" i="9"/>
  <c r="AK71" i="9"/>
  <c r="AL71" i="9"/>
  <c r="AL70" i="9"/>
  <c r="AL69" i="9"/>
  <c r="AV25" i="10"/>
  <c r="AV29" i="10" s="1"/>
  <c r="AW71" i="9"/>
  <c r="AW70" i="9"/>
  <c r="AW69" i="9"/>
  <c r="AQ106" i="9"/>
  <c r="AP25" i="10" s="1"/>
  <c r="AQ70" i="9"/>
  <c r="AQ71" i="9"/>
  <c r="AQ69" i="9"/>
  <c r="AK106" i="9"/>
  <c r="AJ25" i="10" s="1"/>
  <c r="AN25" i="10"/>
  <c r="AN29" i="10" s="1"/>
  <c r="AO69" i="9"/>
  <c r="AO70" i="9"/>
  <c r="AO71" i="9"/>
  <c r="AS106" i="9"/>
  <c r="AS69" i="9"/>
  <c r="AS70" i="9"/>
  <c r="AS71" i="9"/>
  <c r="AM25" i="10"/>
  <c r="AM29" i="10" s="1"/>
  <c r="AN71" i="9"/>
  <c r="AN70" i="9"/>
  <c r="AN69" i="9"/>
  <c r="AX72" i="9"/>
  <c r="AP80" i="9"/>
  <c r="AP81" i="9" s="1"/>
  <c r="AQ80" i="9"/>
  <c r="AQ81" i="9" s="1"/>
  <c r="AR72" i="9"/>
  <c r="AN80" i="9"/>
  <c r="AN81" i="9" s="1"/>
  <c r="AM72" i="9"/>
  <c r="AV80" i="9"/>
  <c r="AV81" i="9" s="1"/>
  <c r="AL72" i="9"/>
  <c r="AU72" i="9"/>
  <c r="AN72" i="9"/>
  <c r="AV72" i="9"/>
  <c r="AX80" i="9"/>
  <c r="AX81" i="9" s="1"/>
  <c r="AS80" i="9"/>
  <c r="AS81" i="9" s="1"/>
  <c r="AY72" i="9"/>
  <c r="AL80" i="9"/>
  <c r="AL81" i="9" s="1"/>
  <c r="AW72" i="9"/>
  <c r="AS72" i="9"/>
  <c r="AO80" i="9"/>
  <c r="AO81" i="9" s="1"/>
  <c r="AQ72" i="9"/>
  <c r="AT72" i="9"/>
  <c r="AT80" i="9"/>
  <c r="AT81" i="9" s="1"/>
  <c r="AU80" i="9"/>
  <c r="AU81" i="9" s="1"/>
  <c r="AY80" i="9"/>
  <c r="AY81" i="9" s="1"/>
  <c r="AR80" i="9"/>
  <c r="AR81" i="9" s="1"/>
  <c r="AP72" i="9"/>
  <c r="AM80" i="9"/>
  <c r="AM81" i="9" s="1"/>
  <c r="AO72" i="9"/>
  <c r="AW80" i="9"/>
  <c r="AW81" i="9" s="1"/>
  <c r="AX106" i="9"/>
  <c r="AX25" i="10"/>
  <c r="AX29" i="10" s="1"/>
  <c r="AY70" i="9"/>
  <c r="AY69" i="9"/>
  <c r="AY71" i="9"/>
  <c r="AT106" i="9"/>
  <c r="AS25" i="10" s="1"/>
  <c r="AT71" i="9"/>
  <c r="AT69" i="9"/>
  <c r="AT70" i="9"/>
  <c r="AQ25" i="10"/>
  <c r="AQ29" i="10" s="1"/>
  <c r="AR70" i="9"/>
  <c r="AR69" i="9"/>
  <c r="AR71" i="9"/>
  <c r="AL106" i="9"/>
  <c r="AK25" i="10" s="1"/>
  <c r="AU106" i="9"/>
  <c r="AT25" i="10" s="1"/>
  <c r="AU69" i="9"/>
  <c r="AU71" i="9"/>
  <c r="AU70" i="9"/>
  <c r="AO25" i="10"/>
  <c r="AP69" i="9"/>
  <c r="AP70" i="9"/>
  <c r="AP71" i="9"/>
  <c r="AW14" i="6"/>
  <c r="AW13" i="5"/>
  <c r="AW99" i="6"/>
  <c r="AW60" i="6"/>
  <c r="AW94" i="6"/>
  <c r="AW98" i="6"/>
  <c r="AW111" i="6" s="1"/>
  <c r="AW96" i="6"/>
  <c r="AW97" i="6"/>
  <c r="AX20" i="5"/>
  <c r="AX25" i="6"/>
  <c r="AX21" i="5"/>
  <c r="AX26" i="6"/>
  <c r="AX154" i="3"/>
  <c r="AX13" i="6" s="1"/>
  <c r="AX27" i="6"/>
  <c r="AX22" i="5"/>
  <c r="AV60" i="6"/>
  <c r="AV94" i="6"/>
  <c r="AV99" i="6"/>
  <c r="AV98" i="6"/>
  <c r="AV111" i="6" s="1"/>
  <c r="AV95" i="6"/>
  <c r="AV97" i="6"/>
  <c r="AV96" i="6"/>
  <c r="AV109" i="6"/>
  <c r="AW154" i="3"/>
  <c r="AW13" i="6" s="1"/>
  <c r="AX155" i="3"/>
  <c r="R69" i="9"/>
  <c r="R71" i="9"/>
  <c r="R70" i="9"/>
  <c r="R106" i="9"/>
  <c r="AD71" i="9"/>
  <c r="AD70" i="9"/>
  <c r="AD69" i="9"/>
  <c r="AD106" i="9"/>
  <c r="AC25" i="10" s="1"/>
  <c r="P71" i="9"/>
  <c r="P69" i="9"/>
  <c r="P70" i="9"/>
  <c r="P106" i="9"/>
  <c r="AX9" i="5"/>
  <c r="AB71" i="9"/>
  <c r="AB70" i="9"/>
  <c r="AB69" i="9"/>
  <c r="AB106" i="9"/>
  <c r="Q69" i="9"/>
  <c r="Q70" i="9"/>
  <c r="Q71" i="9"/>
  <c r="Q106" i="9"/>
  <c r="AA70" i="9"/>
  <c r="AA71" i="9"/>
  <c r="AA69" i="9"/>
  <c r="AA106" i="9"/>
  <c r="S70" i="9"/>
  <c r="S69" i="9"/>
  <c r="S71" i="9"/>
  <c r="S106" i="9"/>
  <c r="R25" i="10" s="1"/>
  <c r="AC71" i="9"/>
  <c r="AC69" i="9"/>
  <c r="AC70" i="9"/>
  <c r="AC106" i="9"/>
  <c r="O70" i="9"/>
  <c r="O69" i="9"/>
  <c r="O71" i="9"/>
  <c r="O106" i="9"/>
  <c r="N25" i="10" s="1"/>
  <c r="AW121" i="6"/>
  <c r="AW127" i="6" s="1"/>
  <c r="AW138" i="6" s="1"/>
  <c r="AW61" i="6"/>
  <c r="AW120" i="6"/>
  <c r="AW126" i="6" s="1"/>
  <c r="AW122" i="6"/>
  <c r="AW128" i="6" s="1"/>
  <c r="AW123" i="6"/>
  <c r="AW129" i="6" s="1"/>
  <c r="AW119" i="6"/>
  <c r="AW125" i="6" s="1"/>
  <c r="Z71" i="9"/>
  <c r="Z69" i="9"/>
  <c r="Z70" i="9"/>
  <c r="Z106" i="9"/>
  <c r="Y25" i="10" s="1"/>
  <c r="M106" i="9"/>
  <c r="M71" i="9"/>
  <c r="M70" i="9"/>
  <c r="M69" i="9"/>
  <c r="Y69" i="9"/>
  <c r="Y71" i="9"/>
  <c r="Y70" i="9"/>
  <c r="Y106" i="9"/>
  <c r="X25" i="10" s="1"/>
  <c r="L106" i="9"/>
  <c r="L69" i="9"/>
  <c r="L71" i="9"/>
  <c r="L70" i="9"/>
  <c r="AJ71" i="9"/>
  <c r="AJ70" i="9"/>
  <c r="AJ69" i="9"/>
  <c r="AI25" i="10"/>
  <c r="X70" i="9"/>
  <c r="X71" i="9"/>
  <c r="X69" i="9"/>
  <c r="X106" i="9"/>
  <c r="N70" i="9"/>
  <c r="N106" i="9"/>
  <c r="M25" i="10" s="1"/>
  <c r="N71" i="9"/>
  <c r="N69" i="9"/>
  <c r="AI70" i="9"/>
  <c r="AI69" i="9"/>
  <c r="AI71" i="9"/>
  <c r="AI106" i="9"/>
  <c r="W71" i="9"/>
  <c r="W70" i="9"/>
  <c r="W69" i="9"/>
  <c r="W106" i="9"/>
  <c r="V25" i="10" s="1"/>
  <c r="AH70" i="9"/>
  <c r="AH69" i="9"/>
  <c r="AH71" i="9"/>
  <c r="AH106" i="9"/>
  <c r="V71" i="9"/>
  <c r="V69" i="9"/>
  <c r="V70" i="9"/>
  <c r="V106" i="9"/>
  <c r="U25" i="10" s="1"/>
  <c r="AE69" i="9"/>
  <c r="AE70" i="9"/>
  <c r="AE71" i="9"/>
  <c r="AE106" i="9"/>
  <c r="AF69" i="9"/>
  <c r="AF71" i="9"/>
  <c r="AF70" i="9"/>
  <c r="AF106" i="9"/>
  <c r="AE25" i="10" s="1"/>
  <c r="U70" i="9"/>
  <c r="U71" i="9"/>
  <c r="U69" i="9"/>
  <c r="U106" i="9"/>
  <c r="AT61" i="6"/>
  <c r="AU61" i="6"/>
  <c r="AU119" i="6"/>
  <c r="AU125" i="6" s="1"/>
  <c r="AR123" i="6"/>
  <c r="AR129" i="6" s="1"/>
  <c r="AU120" i="6"/>
  <c r="AU126" i="6" s="1"/>
  <c r="AU123" i="6"/>
  <c r="AU129" i="6" s="1"/>
  <c r="AS120" i="6"/>
  <c r="AS126" i="6" s="1"/>
  <c r="AQ61" i="6"/>
  <c r="AU121" i="6"/>
  <c r="AU127" i="6" s="1"/>
  <c r="AU138" i="6" s="1"/>
  <c r="AS122" i="6"/>
  <c r="AS128" i="6" s="1"/>
  <c r="AT123" i="6"/>
  <c r="AT129" i="6" s="1"/>
  <c r="AV121" i="6"/>
  <c r="AV127" i="6" s="1"/>
  <c r="AV138" i="6" s="1"/>
  <c r="AT120" i="6"/>
  <c r="AT126" i="6" s="1"/>
  <c r="AV61" i="6"/>
  <c r="AU122" i="6"/>
  <c r="AU128" i="6" s="1"/>
  <c r="AR121" i="6"/>
  <c r="AR127" i="6" s="1"/>
  <c r="AR138" i="6" s="1"/>
  <c r="AS121" i="6"/>
  <c r="AS127" i="6" s="1"/>
  <c r="AS138" i="6" s="1"/>
  <c r="AR61" i="6"/>
  <c r="AV122" i="6"/>
  <c r="AV128" i="6" s="1"/>
  <c r="AV123" i="6"/>
  <c r="AV129" i="6" s="1"/>
  <c r="AQ122" i="6"/>
  <c r="AQ128" i="6" s="1"/>
  <c r="AV119" i="6"/>
  <c r="AV125" i="6" s="1"/>
  <c r="AQ121" i="6"/>
  <c r="AQ127" i="6" s="1"/>
  <c r="AQ138" i="6" s="1"/>
  <c r="AR122" i="6"/>
  <c r="AR128" i="6" s="1"/>
  <c r="AQ120" i="6"/>
  <c r="AQ126" i="6" s="1"/>
  <c r="AT122" i="6"/>
  <c r="AT128" i="6" s="1"/>
  <c r="AT119" i="6"/>
  <c r="AT125" i="6" s="1"/>
  <c r="AS119" i="6"/>
  <c r="AS125" i="6" s="1"/>
  <c r="AR119" i="6"/>
  <c r="AR125" i="6" s="1"/>
  <c r="AV120" i="6"/>
  <c r="AV126" i="6" s="1"/>
  <c r="AS61" i="6"/>
  <c r="AS123" i="6"/>
  <c r="AS129" i="6" s="1"/>
  <c r="AT121" i="6"/>
  <c r="AT127" i="6" s="1"/>
  <c r="AT138" i="6" s="1"/>
  <c r="AQ123" i="6"/>
  <c r="AQ129" i="6" s="1"/>
  <c r="K61" i="6"/>
  <c r="K121" i="6"/>
  <c r="K127" i="6" s="1"/>
  <c r="K138" i="6" s="1"/>
  <c r="L122" i="6"/>
  <c r="L128" i="6" s="1"/>
  <c r="K122" i="6"/>
  <c r="K128" i="6" s="1"/>
  <c r="L61" i="6"/>
  <c r="K119" i="6"/>
  <c r="K125" i="6" s="1"/>
  <c r="K123" i="6"/>
  <c r="K129" i="6" s="1"/>
  <c r="L121" i="6"/>
  <c r="L127" i="6" s="1"/>
  <c r="L138" i="6" s="1"/>
  <c r="L120" i="6"/>
  <c r="L126" i="6" s="1"/>
  <c r="M120" i="6"/>
  <c r="M126" i="6" s="1"/>
  <c r="L119" i="6"/>
  <c r="L125" i="6" s="1"/>
  <c r="M121" i="6"/>
  <c r="M127" i="6" s="1"/>
  <c r="M138" i="6" s="1"/>
  <c r="K120" i="6"/>
  <c r="K126" i="6" s="1"/>
  <c r="M61" i="6"/>
  <c r="N119" i="6"/>
  <c r="N125" i="6" s="1"/>
  <c r="O120" i="6"/>
  <c r="O126" i="6" s="1"/>
  <c r="M119" i="6"/>
  <c r="M125" i="6" s="1"/>
  <c r="N123" i="6"/>
  <c r="N129" i="6" s="1"/>
  <c r="N122" i="6"/>
  <c r="N128" i="6" s="1"/>
  <c r="M122" i="6"/>
  <c r="M128" i="6" s="1"/>
  <c r="L123" i="6"/>
  <c r="L129" i="6" s="1"/>
  <c r="M123" i="6"/>
  <c r="M129" i="6" s="1"/>
  <c r="O121" i="6"/>
  <c r="O127" i="6" s="1"/>
  <c r="O138" i="6" s="1"/>
  <c r="N61" i="6"/>
  <c r="O119" i="6"/>
  <c r="O125" i="6" s="1"/>
  <c r="N120" i="6"/>
  <c r="N126" i="6" s="1"/>
  <c r="O123" i="6"/>
  <c r="O129" i="6" s="1"/>
  <c r="N121" i="6"/>
  <c r="N127" i="6" s="1"/>
  <c r="N138" i="6" s="1"/>
  <c r="P120" i="6"/>
  <c r="P126" i="6" s="1"/>
  <c r="P121" i="6"/>
  <c r="P127" i="6" s="1"/>
  <c r="P138" i="6" s="1"/>
  <c r="O61" i="6"/>
  <c r="O122" i="6"/>
  <c r="O128" i="6" s="1"/>
  <c r="P119" i="6"/>
  <c r="P125" i="6" s="1"/>
  <c r="P122" i="6"/>
  <c r="P128" i="6" s="1"/>
  <c r="P123" i="6"/>
  <c r="P129" i="6" s="1"/>
  <c r="T123" i="6"/>
  <c r="T129" i="6" s="1"/>
  <c r="S120" i="6"/>
  <c r="S126" i="6" s="1"/>
  <c r="Q122" i="6"/>
  <c r="Q128" i="6" s="1"/>
  <c r="Q123" i="6"/>
  <c r="Q129" i="6" s="1"/>
  <c r="Q119" i="6"/>
  <c r="Q125" i="6" s="1"/>
  <c r="R122" i="6"/>
  <c r="R128" i="6" s="1"/>
  <c r="R123" i="6"/>
  <c r="R129" i="6" s="1"/>
  <c r="Q61" i="6"/>
  <c r="R61" i="6"/>
  <c r="R120" i="6"/>
  <c r="R126" i="6" s="1"/>
  <c r="Q120" i="6"/>
  <c r="Q126" i="6" s="1"/>
  <c r="R119" i="6"/>
  <c r="R125" i="6" s="1"/>
  <c r="Q121" i="6"/>
  <c r="Q127" i="6" s="1"/>
  <c r="Q138" i="6" s="1"/>
  <c r="S123" i="6"/>
  <c r="S129" i="6" s="1"/>
  <c r="R121" i="6"/>
  <c r="R127" i="6" s="1"/>
  <c r="R138" i="6" s="1"/>
  <c r="T121" i="6"/>
  <c r="T127" i="6" s="1"/>
  <c r="T138" i="6" s="1"/>
  <c r="T119" i="6"/>
  <c r="T125" i="6" s="1"/>
  <c r="T122" i="6"/>
  <c r="T128" i="6" s="1"/>
  <c r="U122" i="6"/>
  <c r="U128" i="6" s="1"/>
  <c r="T61" i="6"/>
  <c r="S61" i="6"/>
  <c r="T120" i="6"/>
  <c r="T126" i="6" s="1"/>
  <c r="S119" i="6"/>
  <c r="S125" i="6" s="1"/>
  <c r="S121" i="6"/>
  <c r="S127" i="6" s="1"/>
  <c r="S138" i="6" s="1"/>
  <c r="V119" i="6"/>
  <c r="V125" i="6" s="1"/>
  <c r="S122" i="6"/>
  <c r="S128" i="6" s="1"/>
  <c r="U119" i="6"/>
  <c r="U125" i="6" s="1"/>
  <c r="V121" i="6"/>
  <c r="V127" i="6" s="1"/>
  <c r="V138" i="6" s="1"/>
  <c r="X61" i="6"/>
  <c r="V122" i="6"/>
  <c r="V128" i="6" s="1"/>
  <c r="V123" i="6"/>
  <c r="V129" i="6" s="1"/>
  <c r="W119" i="6"/>
  <c r="W125" i="6" s="1"/>
  <c r="U121" i="6"/>
  <c r="U127" i="6" s="1"/>
  <c r="U138" i="6" s="1"/>
  <c r="V61" i="6"/>
  <c r="U120" i="6"/>
  <c r="U126" i="6" s="1"/>
  <c r="U123" i="6"/>
  <c r="U129" i="6" s="1"/>
  <c r="U61" i="6"/>
  <c r="V120" i="6"/>
  <c r="V126" i="6" s="1"/>
  <c r="Y120" i="6"/>
  <c r="Y126" i="6" s="1"/>
  <c r="W122" i="6"/>
  <c r="W128" i="6" s="1"/>
  <c r="X123" i="6"/>
  <c r="X129" i="6" s="1"/>
  <c r="W61" i="6"/>
  <c r="W123" i="6"/>
  <c r="W129" i="6" s="1"/>
  <c r="W121" i="6"/>
  <c r="W127" i="6" s="1"/>
  <c r="W138" i="6" s="1"/>
  <c r="W120" i="6"/>
  <c r="W126" i="6" s="1"/>
  <c r="X120" i="6"/>
  <c r="X126" i="6" s="1"/>
  <c r="X121" i="6"/>
  <c r="X127" i="6" s="1"/>
  <c r="X138" i="6" s="1"/>
  <c r="Z121" i="6"/>
  <c r="Z127" i="6" s="1"/>
  <c r="Z138" i="6" s="1"/>
  <c r="Y119" i="6"/>
  <c r="Y125" i="6" s="1"/>
  <c r="X122" i="6"/>
  <c r="X128" i="6" s="1"/>
  <c r="X119" i="6"/>
  <c r="X125" i="6" s="1"/>
  <c r="Y122" i="6"/>
  <c r="Y128" i="6" s="1"/>
  <c r="Z61" i="6"/>
  <c r="Y123" i="6"/>
  <c r="Y129" i="6" s="1"/>
  <c r="Z120" i="6"/>
  <c r="Z126" i="6" s="1"/>
  <c r="Z123" i="6"/>
  <c r="Z129" i="6" s="1"/>
  <c r="AA123" i="6"/>
  <c r="AA129" i="6" s="1"/>
  <c r="AA122" i="6"/>
  <c r="AA128" i="6" s="1"/>
  <c r="Y61" i="6"/>
  <c r="Y121" i="6"/>
  <c r="Y127" i="6" s="1"/>
  <c r="Y138" i="6" s="1"/>
  <c r="Z119" i="6"/>
  <c r="Z125" i="6" s="1"/>
  <c r="Z122" i="6"/>
  <c r="Z128" i="6" s="1"/>
  <c r="AA61" i="6"/>
  <c r="AA120" i="6"/>
  <c r="AA126" i="6" s="1"/>
  <c r="AA121" i="6"/>
  <c r="AA127" i="6" s="1"/>
  <c r="AA138" i="6" s="1"/>
  <c r="AA119" i="6"/>
  <c r="AA125" i="6" s="1"/>
  <c r="AB120" i="6"/>
  <c r="AB126" i="6" s="1"/>
  <c r="AB119" i="6"/>
  <c r="AB125" i="6" s="1"/>
  <c r="AB122" i="6"/>
  <c r="AB128" i="6" s="1"/>
  <c r="AD122" i="6"/>
  <c r="AD128" i="6" s="1"/>
  <c r="AC122" i="6"/>
  <c r="AC128" i="6" s="1"/>
  <c r="AC123" i="6"/>
  <c r="AC129" i="6" s="1"/>
  <c r="AB121" i="6"/>
  <c r="AB127" i="6" s="1"/>
  <c r="AB138" i="6" s="1"/>
  <c r="AB123" i="6"/>
  <c r="AB129" i="6" s="1"/>
  <c r="AE122" i="6"/>
  <c r="AE128" i="6" s="1"/>
  <c r="AC120" i="6"/>
  <c r="AC126" i="6" s="1"/>
  <c r="AB61" i="6"/>
  <c r="AC119" i="6"/>
  <c r="AC125" i="6" s="1"/>
  <c r="AD120" i="6"/>
  <c r="AD126" i="6" s="1"/>
  <c r="AD119" i="6"/>
  <c r="AD125" i="6" s="1"/>
  <c r="AC61" i="6"/>
  <c r="AC121" i="6"/>
  <c r="AC127" i="6" s="1"/>
  <c r="AC138" i="6" s="1"/>
  <c r="AD121" i="6"/>
  <c r="AD127" i="6" s="1"/>
  <c r="AD138" i="6" s="1"/>
  <c r="AF123" i="6"/>
  <c r="AF129" i="6" s="1"/>
  <c r="AF121" i="6"/>
  <c r="AF127" i="6" s="1"/>
  <c r="AF138" i="6" s="1"/>
  <c r="AD61" i="6"/>
  <c r="AE121" i="6"/>
  <c r="AE127" i="6" s="1"/>
  <c r="AE138" i="6" s="1"/>
  <c r="AD123" i="6"/>
  <c r="AD129" i="6" s="1"/>
  <c r="AE119" i="6"/>
  <c r="AE125" i="6" s="1"/>
  <c r="Q80" i="9" s="1"/>
  <c r="Q81" i="9" s="1"/>
  <c r="AF61" i="6"/>
  <c r="AE61" i="6"/>
  <c r="AE120" i="6"/>
  <c r="AE126" i="6" s="1"/>
  <c r="AE123" i="6"/>
  <c r="AE129" i="6" s="1"/>
  <c r="AF120" i="6"/>
  <c r="AF126" i="6" s="1"/>
  <c r="AF119" i="6"/>
  <c r="AF125" i="6" s="1"/>
  <c r="AH119" i="6"/>
  <c r="AH125" i="6" s="1"/>
  <c r="AG121" i="6"/>
  <c r="AG127" i="6" s="1"/>
  <c r="AG138" i="6" s="1"/>
  <c r="AF122" i="6"/>
  <c r="AF128" i="6" s="1"/>
  <c r="AG123" i="6"/>
  <c r="AG129" i="6" s="1"/>
  <c r="AI123" i="6"/>
  <c r="AI129" i="6" s="1"/>
  <c r="AG61" i="6"/>
  <c r="AG120" i="6"/>
  <c r="AG126" i="6" s="1"/>
  <c r="AH123" i="6"/>
  <c r="AH129" i="6" s="1"/>
  <c r="AH120" i="6"/>
  <c r="AH126" i="6" s="1"/>
  <c r="AG119" i="6"/>
  <c r="AG125" i="6" s="1"/>
  <c r="AH121" i="6"/>
  <c r="AH127" i="6" s="1"/>
  <c r="AH138" i="6" s="1"/>
  <c r="AG122" i="6"/>
  <c r="AG128" i="6" s="1"/>
  <c r="AI122" i="6"/>
  <c r="AI128" i="6" s="1"/>
  <c r="AH122" i="6"/>
  <c r="AH128" i="6" s="1"/>
  <c r="AI119" i="6"/>
  <c r="AI125" i="6" s="1"/>
  <c r="AI61" i="6"/>
  <c r="AI120" i="6"/>
  <c r="AI126" i="6" s="1"/>
  <c r="AH61" i="6"/>
  <c r="AI121" i="6"/>
  <c r="AI127" i="6" s="1"/>
  <c r="AI138" i="6" s="1"/>
  <c r="AJ61" i="6"/>
  <c r="AJ123" i="6"/>
  <c r="AJ129" i="6" s="1"/>
  <c r="AK120" i="6"/>
  <c r="AK126" i="6" s="1"/>
  <c r="AK121" i="6"/>
  <c r="AK127" i="6" s="1"/>
  <c r="AK138" i="6" s="1"/>
  <c r="AJ120" i="6"/>
  <c r="AJ126" i="6" s="1"/>
  <c r="AJ122" i="6"/>
  <c r="AJ128" i="6" s="1"/>
  <c r="AJ121" i="6"/>
  <c r="AJ127" i="6" s="1"/>
  <c r="AJ138" i="6" s="1"/>
  <c r="AK122" i="6"/>
  <c r="AK128" i="6" s="1"/>
  <c r="AK123" i="6"/>
  <c r="AK129" i="6" s="1"/>
  <c r="AK119" i="6"/>
  <c r="AK125" i="6" s="1"/>
  <c r="AJ119" i="6"/>
  <c r="AJ125" i="6" s="1"/>
  <c r="AM61" i="6"/>
  <c r="AL119" i="6"/>
  <c r="AL125" i="6" s="1"/>
  <c r="AL61" i="6"/>
  <c r="AN122" i="6"/>
  <c r="AN128" i="6" s="1"/>
  <c r="AL121" i="6"/>
  <c r="AL127" i="6" s="1"/>
  <c r="AL138" i="6" s="1"/>
  <c r="AK61" i="6"/>
  <c r="AL122" i="6"/>
  <c r="AL128" i="6" s="1"/>
  <c r="AM122" i="6"/>
  <c r="AM128" i="6" s="1"/>
  <c r="AL123" i="6"/>
  <c r="AL129" i="6" s="1"/>
  <c r="AN120" i="6"/>
  <c r="AN126" i="6" s="1"/>
  <c r="AM123" i="6"/>
  <c r="AM129" i="6" s="1"/>
  <c r="AM120" i="6"/>
  <c r="AM126" i="6" s="1"/>
  <c r="AL120" i="6"/>
  <c r="AL126" i="6" s="1"/>
  <c r="AN121" i="6"/>
  <c r="AN127" i="6" s="1"/>
  <c r="AN138" i="6" s="1"/>
  <c r="AN123" i="6"/>
  <c r="AN129" i="6" s="1"/>
  <c r="AM121" i="6"/>
  <c r="AM127" i="6" s="1"/>
  <c r="AM138" i="6" s="1"/>
  <c r="AM119" i="6"/>
  <c r="AM125" i="6" s="1"/>
  <c r="AN61" i="6"/>
  <c r="AO121" i="6"/>
  <c r="AO127" i="6" s="1"/>
  <c r="AO138" i="6" s="1"/>
  <c r="AN119" i="6"/>
  <c r="AN125" i="6" s="1"/>
  <c r="AK80" i="9" s="1"/>
  <c r="AK81" i="9" s="1"/>
  <c r="AP61" i="6"/>
  <c r="AQ119" i="6"/>
  <c r="AQ125" i="6" s="1"/>
  <c r="AP123" i="6"/>
  <c r="AP129" i="6" s="1"/>
  <c r="AO122" i="6"/>
  <c r="AO128" i="6" s="1"/>
  <c r="AO123" i="6"/>
  <c r="AO129" i="6" s="1"/>
  <c r="AP119" i="6"/>
  <c r="AP125" i="6" s="1"/>
  <c r="AO119" i="6"/>
  <c r="AO125" i="6" s="1"/>
  <c r="AP121" i="6"/>
  <c r="AP127" i="6" s="1"/>
  <c r="AP138" i="6" s="1"/>
  <c r="AO120" i="6"/>
  <c r="AO126" i="6" s="1"/>
  <c r="AO61" i="6"/>
  <c r="AP120" i="6"/>
  <c r="AP126" i="6" s="1"/>
  <c r="AR120" i="6"/>
  <c r="AR126" i="6" s="1"/>
  <c r="AP122" i="6"/>
  <c r="AP128" i="6" s="1"/>
  <c r="AX121" i="6"/>
  <c r="AX127" i="6" s="1"/>
  <c r="AX138" i="6" s="1"/>
  <c r="AX120" i="6"/>
  <c r="AX126" i="6" s="1"/>
  <c r="AX122" i="6"/>
  <c r="AX128" i="6" s="1"/>
  <c r="AX61" i="6"/>
  <c r="AX123" i="6"/>
  <c r="AX129" i="6" s="1"/>
  <c r="AX119" i="6"/>
  <c r="AX125" i="6" s="1"/>
  <c r="AK35" i="5"/>
  <c r="AK41" i="5" s="1"/>
  <c r="AG69" i="9"/>
  <c r="AG70" i="9"/>
  <c r="AG71" i="9"/>
  <c r="AG106" i="9"/>
  <c r="AF25" i="10" s="1"/>
  <c r="T71" i="9"/>
  <c r="T69" i="9"/>
  <c r="T70" i="9"/>
  <c r="T106" i="9"/>
  <c r="S25" i="10" s="1"/>
  <c r="U39" i="10" l="1"/>
  <c r="U17" i="10" s="1"/>
  <c r="W13" i="10"/>
  <c r="V38" i="10"/>
  <c r="V37" i="10"/>
  <c r="V48" i="10"/>
  <c r="K26" i="5"/>
  <c r="L19" i="5" s="1"/>
  <c r="L24" i="6" s="1"/>
  <c r="L28" i="6" s="1"/>
  <c r="L23" i="5" s="1"/>
  <c r="L24" i="5" s="1"/>
  <c r="L80" i="9"/>
  <c r="L81" i="9" s="1"/>
  <c r="K47" i="10"/>
  <c r="AA80" i="9"/>
  <c r="AA81" i="9" s="1"/>
  <c r="Z11" i="5"/>
  <c r="AW73" i="9"/>
  <c r="AN73" i="9"/>
  <c r="AK29" i="10"/>
  <c r="AT29" i="10"/>
  <c r="AS29" i="10"/>
  <c r="AR73" i="9"/>
  <c r="AP29" i="10"/>
  <c r="AP73" i="9"/>
  <c r="AY73" i="9"/>
  <c r="AV73" i="9"/>
  <c r="AO73" i="9"/>
  <c r="AO29" i="10"/>
  <c r="AU29" i="10"/>
  <c r="AU73" i="9"/>
  <c r="AT73" i="9"/>
  <c r="AQ73" i="9"/>
  <c r="AL73" i="9"/>
  <c r="AM73" i="9"/>
  <c r="AX73" i="9"/>
  <c r="AS73" i="9"/>
  <c r="AW25" i="10"/>
  <c r="AR25" i="10"/>
  <c r="AL25" i="10"/>
  <c r="AN11" i="5"/>
  <c r="AT11" i="5"/>
  <c r="K11" i="6"/>
  <c r="AC11" i="5"/>
  <c r="AJ11" i="5"/>
  <c r="AR11" i="5"/>
  <c r="S80" i="9"/>
  <c r="S81" i="9" s="1"/>
  <c r="N80" i="9"/>
  <c r="N81" i="9" s="1"/>
  <c r="AB80" i="9"/>
  <c r="AB81" i="9" s="1"/>
  <c r="R80" i="9"/>
  <c r="R81" i="9" s="1"/>
  <c r="X11" i="5"/>
  <c r="Y80" i="9"/>
  <c r="Y81" i="9" s="1"/>
  <c r="AW109" i="6"/>
  <c r="AW113" i="6"/>
  <c r="AU11" i="5"/>
  <c r="AB11" i="6"/>
  <c r="AI11" i="6"/>
  <c r="V11" i="5"/>
  <c r="AR139" i="6"/>
  <c r="Y11" i="5"/>
  <c r="T11" i="5"/>
  <c r="T11" i="6"/>
  <c r="O11" i="5"/>
  <c r="O11" i="6"/>
  <c r="AK11" i="5"/>
  <c r="AK11" i="6"/>
  <c r="AO11" i="6"/>
  <c r="AO11" i="5"/>
  <c r="Q11" i="5"/>
  <c r="Q11" i="6"/>
  <c r="AA11" i="5"/>
  <c r="AA11" i="6"/>
  <c r="AF11" i="6"/>
  <c r="AF11" i="5"/>
  <c r="AE11" i="6"/>
  <c r="AE11" i="5"/>
  <c r="P11" i="5"/>
  <c r="P11" i="6"/>
  <c r="AX14" i="6"/>
  <c r="AX13" i="5"/>
  <c r="AX156" i="3"/>
  <c r="AX15" i="6" s="1"/>
  <c r="AH11" i="6"/>
  <c r="AH11" i="5"/>
  <c r="AD11" i="6"/>
  <c r="AD11" i="5"/>
  <c r="AS11" i="6"/>
  <c r="AS11" i="5"/>
  <c r="W11" i="5"/>
  <c r="W11" i="6"/>
  <c r="M11" i="5"/>
  <c r="M11" i="6"/>
  <c r="N11" i="6"/>
  <c r="N11" i="5"/>
  <c r="AV11" i="5"/>
  <c r="AV11" i="6"/>
  <c r="AX11" i="6"/>
  <c r="AX11" i="5"/>
  <c r="AG11" i="5"/>
  <c r="AG11" i="6"/>
  <c r="L11" i="6"/>
  <c r="L11" i="5"/>
  <c r="AM11" i="5"/>
  <c r="AM11" i="6"/>
  <c r="R11" i="6"/>
  <c r="R11" i="5"/>
  <c r="S11" i="5"/>
  <c r="S11" i="6"/>
  <c r="U11" i="5"/>
  <c r="U11" i="6"/>
  <c r="AV113" i="6"/>
  <c r="AL11" i="6"/>
  <c r="AL11" i="5"/>
  <c r="AP11" i="6"/>
  <c r="AP11" i="5"/>
  <c r="AW11" i="5"/>
  <c r="AW11" i="6"/>
  <c r="AQ11" i="6"/>
  <c r="AQ11" i="5"/>
  <c r="AI80" i="9"/>
  <c r="AI81" i="9" s="1"/>
  <c r="AJ80" i="9"/>
  <c r="AJ81" i="9" s="1"/>
  <c r="P80" i="9"/>
  <c r="P81" i="9" s="1"/>
  <c r="X80" i="9"/>
  <c r="X81" i="9" s="1"/>
  <c r="AG80" i="9"/>
  <c r="AG81" i="9" s="1"/>
  <c r="AQ139" i="6"/>
  <c r="AV139" i="6"/>
  <c r="AD139" i="6"/>
  <c r="Z139" i="6"/>
  <c r="AU139" i="6"/>
  <c r="AL139" i="6"/>
  <c r="AG139" i="6"/>
  <c r="K139" i="6"/>
  <c r="AP139" i="6"/>
  <c r="X139" i="6"/>
  <c r="S27" i="10"/>
  <c r="AM139" i="6"/>
  <c r="P139" i="6"/>
  <c r="AE80" i="9"/>
  <c r="AE81" i="9" s="1"/>
  <c r="AD80" i="9"/>
  <c r="AD81" i="9" s="1"/>
  <c r="AX139" i="6"/>
  <c r="AI139" i="6"/>
  <c r="AC139" i="6"/>
  <c r="AA139" i="6"/>
  <c r="O139" i="6"/>
  <c r="W80" i="9"/>
  <c r="W81" i="9" s="1"/>
  <c r="AN139" i="6"/>
  <c r="Y139" i="6"/>
  <c r="AC80" i="9"/>
  <c r="AC81" i="9" s="1"/>
  <c r="M80" i="9"/>
  <c r="M81" i="9" s="1"/>
  <c r="V139" i="6"/>
  <c r="S139" i="6"/>
  <c r="N139" i="6"/>
  <c r="AT139" i="6"/>
  <c r="M27" i="10"/>
  <c r="N27" i="10"/>
  <c r="R27" i="10"/>
  <c r="AG25" i="10"/>
  <c r="P25" i="10"/>
  <c r="AJ139" i="6"/>
  <c r="U139" i="6"/>
  <c r="Q139" i="6"/>
  <c r="T80" i="9"/>
  <c r="T81" i="9" s="1"/>
  <c r="O25" i="10"/>
  <c r="AO139" i="6"/>
  <c r="AF139" i="6"/>
  <c r="T139" i="6"/>
  <c r="R139" i="6"/>
  <c r="M139" i="6"/>
  <c r="AF80" i="9"/>
  <c r="AF81" i="9" s="1"/>
  <c r="AW139" i="6"/>
  <c r="AK36" i="5"/>
  <c r="AL32" i="5" s="1"/>
  <c r="AL34" i="5" s="1"/>
  <c r="AK139" i="6"/>
  <c r="W139" i="6"/>
  <c r="L139" i="6"/>
  <c r="Z80" i="9"/>
  <c r="Z81" i="9" s="1"/>
  <c r="O80" i="9"/>
  <c r="O81" i="9" s="1"/>
  <c r="AH25" i="10"/>
  <c r="Q25" i="10"/>
  <c r="AH139" i="6"/>
  <c r="AE139" i="6"/>
  <c r="AS139" i="6"/>
  <c r="T25" i="10"/>
  <c r="AD25" i="10"/>
  <c r="AH80" i="9"/>
  <c r="AH81" i="9" s="1"/>
  <c r="U80" i="9"/>
  <c r="U81" i="9" s="1"/>
  <c r="W25" i="10"/>
  <c r="K25" i="10"/>
  <c r="L25" i="10"/>
  <c r="L27" i="10" s="1"/>
  <c r="AB25" i="10"/>
  <c r="Z25" i="10"/>
  <c r="AB139" i="6"/>
  <c r="V80" i="9"/>
  <c r="V81" i="9" s="1"/>
  <c r="AA25" i="10"/>
  <c r="U27" i="10" l="1"/>
  <c r="V39" i="10"/>
  <c r="X13" i="10"/>
  <c r="W48" i="10"/>
  <c r="W38" i="10"/>
  <c r="W37" i="10"/>
  <c r="K49" i="10"/>
  <c r="K50" i="10" s="1"/>
  <c r="K52" i="10" s="1"/>
  <c r="L46" i="10" s="1"/>
  <c r="L49" i="10" s="1"/>
  <c r="L25" i="5"/>
  <c r="AL29" i="10"/>
  <c r="AR29" i="10"/>
  <c r="AW29" i="10"/>
  <c r="AX97" i="6"/>
  <c r="AX98" i="6"/>
  <c r="AX111" i="6" s="1"/>
  <c r="AX60" i="6"/>
  <c r="AX99" i="6"/>
  <c r="AX96" i="6"/>
  <c r="AX95" i="6"/>
  <c r="AX94" i="6"/>
  <c r="AX109" i="6"/>
  <c r="AL35" i="5"/>
  <c r="AL41" i="5" s="1"/>
  <c r="P27" i="10"/>
  <c r="O27" i="10"/>
  <c r="K27" i="10"/>
  <c r="T27" i="10"/>
  <c r="Q27" i="10"/>
  <c r="W39" i="10" l="1"/>
  <c r="W17" i="10" s="1"/>
  <c r="V17" i="10"/>
  <c r="V27" i="10"/>
  <c r="Y13" i="10"/>
  <c r="X38" i="10"/>
  <c r="X37" i="10"/>
  <c r="X48" i="10"/>
  <c r="L26" i="5"/>
  <c r="M19" i="5" s="1"/>
  <c r="M24" i="6" s="1"/>
  <c r="M28" i="6" s="1"/>
  <c r="K54" i="10"/>
  <c r="L50" i="10"/>
  <c r="L54" i="10" s="1"/>
  <c r="AX113" i="6"/>
  <c r="AL36" i="5"/>
  <c r="AM32" i="5" s="1"/>
  <c r="AM34" i="5" s="1"/>
  <c r="W27" i="10" l="1"/>
  <c r="X39" i="10"/>
  <c r="X27" i="10" s="1"/>
  <c r="Z13" i="10"/>
  <c r="Y48" i="10"/>
  <c r="Y37" i="10"/>
  <c r="Y38" i="10"/>
  <c r="K18" i="10"/>
  <c r="K28" i="10"/>
  <c r="M23" i="5"/>
  <c r="M24" i="5" s="1"/>
  <c r="M25" i="5" s="1"/>
  <c r="L52" i="10"/>
  <c r="M46" i="10" s="1"/>
  <c r="M49" i="10" s="1"/>
  <c r="M50" i="10" s="1"/>
  <c r="M54" i="10" s="1"/>
  <c r="L18" i="10"/>
  <c r="L28" i="10"/>
  <c r="AM35" i="5"/>
  <c r="AM41" i="5" s="1"/>
  <c r="X17" i="10" l="1"/>
  <c r="Y39" i="10"/>
  <c r="AA13" i="10"/>
  <c r="Z38" i="10"/>
  <c r="Z48" i="10"/>
  <c r="Z37" i="10"/>
  <c r="M26" i="5"/>
  <c r="N19" i="5" s="1"/>
  <c r="N24" i="6" s="1"/>
  <c r="N28" i="6" s="1"/>
  <c r="N23" i="5" s="1"/>
  <c r="N24" i="5" s="1"/>
  <c r="N25" i="5" s="1"/>
  <c r="N26" i="5" s="1"/>
  <c r="O19" i="5" s="1"/>
  <c r="O24" i="6" s="1"/>
  <c r="O28" i="6" s="1"/>
  <c r="M18" i="10"/>
  <c r="M28" i="10"/>
  <c r="M52" i="10"/>
  <c r="N46" i="10" s="1"/>
  <c r="N49" i="10" s="1"/>
  <c r="AM36" i="5"/>
  <c r="AN32" i="5" s="1"/>
  <c r="AN34" i="5" s="1"/>
  <c r="Z39" i="10" l="1"/>
  <c r="Z17" i="10" s="1"/>
  <c r="AB13" i="10"/>
  <c r="AA38" i="10"/>
  <c r="AA48" i="10"/>
  <c r="AA37" i="10"/>
  <c r="Y17" i="10"/>
  <c r="Y27" i="10"/>
  <c r="O23" i="5"/>
  <c r="O24" i="5" s="1"/>
  <c r="O25" i="5" s="1"/>
  <c r="O26" i="5" s="1"/>
  <c r="P19" i="5" s="1"/>
  <c r="P24" i="6" s="1"/>
  <c r="P28" i="6" s="1"/>
  <c r="N50" i="10"/>
  <c r="N54" i="10" s="1"/>
  <c r="AN35" i="5"/>
  <c r="AN41" i="5" s="1"/>
  <c r="Z27" i="10" l="1"/>
  <c r="AA39" i="10"/>
  <c r="AA17" i="10" s="1"/>
  <c r="AC13" i="10"/>
  <c r="AB48" i="10"/>
  <c r="AB38" i="10"/>
  <c r="AB37" i="10"/>
  <c r="P23" i="5"/>
  <c r="P24" i="5" s="1"/>
  <c r="P25" i="5" s="1"/>
  <c r="P26" i="5" s="1"/>
  <c r="Q19" i="5" s="1"/>
  <c r="Q24" i="6" s="1"/>
  <c r="Q28" i="6" s="1"/>
  <c r="N28" i="10"/>
  <c r="N18" i="10"/>
  <c r="N52" i="10"/>
  <c r="O46" i="10" s="1"/>
  <c r="O49" i="10" s="1"/>
  <c r="AN36" i="5"/>
  <c r="AO32" i="5" s="1"/>
  <c r="AO34" i="5" s="1"/>
  <c r="AO35" i="5" s="1"/>
  <c r="AO41" i="5" s="1"/>
  <c r="AB39" i="10" l="1"/>
  <c r="AB27" i="10" s="1"/>
  <c r="AA27" i="10"/>
  <c r="AD13" i="10"/>
  <c r="AC48" i="10"/>
  <c r="AC37" i="10"/>
  <c r="AC38" i="10"/>
  <c r="Q23" i="5"/>
  <c r="Q24" i="5" s="1"/>
  <c r="Q25" i="5" s="1"/>
  <c r="Q26" i="5" s="1"/>
  <c r="R19" i="5" s="1"/>
  <c r="R24" i="6" s="1"/>
  <c r="R28" i="6" s="1"/>
  <c r="O50" i="10"/>
  <c r="O54" i="10" s="1"/>
  <c r="AO36" i="5"/>
  <c r="AP32" i="5" s="1"/>
  <c r="AP34" i="5" s="1"/>
  <c r="AB17" i="10" l="1"/>
  <c r="AC39" i="10"/>
  <c r="AE13" i="10"/>
  <c r="AD38" i="10"/>
  <c r="AD48" i="10"/>
  <c r="AD37" i="10"/>
  <c r="R23" i="5"/>
  <c r="R24" i="5" s="1"/>
  <c r="R25" i="5" s="1"/>
  <c r="R26" i="5" s="1"/>
  <c r="S19" i="5" s="1"/>
  <c r="S24" i="6" s="1"/>
  <c r="S28" i="6" s="1"/>
  <c r="O18" i="10"/>
  <c r="O28" i="10"/>
  <c r="O52" i="10"/>
  <c r="P46" i="10" s="1"/>
  <c r="P49" i="10" s="1"/>
  <c r="AP35" i="5"/>
  <c r="AP41" i="5" s="1"/>
  <c r="AD39" i="10" l="1"/>
  <c r="AD27" i="10" s="1"/>
  <c r="AF13" i="10"/>
  <c r="AE38" i="10"/>
  <c r="AE37" i="10"/>
  <c r="AE48" i="10"/>
  <c r="AC17" i="10"/>
  <c r="AC27" i="10"/>
  <c r="S23" i="5"/>
  <c r="S24" i="5" s="1"/>
  <c r="S25" i="5" s="1"/>
  <c r="S26" i="5" s="1"/>
  <c r="T19" i="5" s="1"/>
  <c r="T24" i="6" s="1"/>
  <c r="T28" i="6" s="1"/>
  <c r="P50" i="10"/>
  <c r="P54" i="10" s="1"/>
  <c r="AP36" i="5"/>
  <c r="AQ32" i="5" s="1"/>
  <c r="AQ34" i="5" s="1"/>
  <c r="AQ35" i="5" s="1"/>
  <c r="AQ41" i="5" s="1"/>
  <c r="AD17" i="10" l="1"/>
  <c r="AE39" i="10"/>
  <c r="AE17" i="10" s="1"/>
  <c r="AG13" i="10"/>
  <c r="AF38" i="10"/>
  <c r="AF48" i="10"/>
  <c r="AF37" i="10"/>
  <c r="T23" i="5"/>
  <c r="T24" i="5" s="1"/>
  <c r="T25" i="5" s="1"/>
  <c r="T26" i="5" s="1"/>
  <c r="U19" i="5" s="1"/>
  <c r="U24" i="6" s="1"/>
  <c r="U28" i="6" s="1"/>
  <c r="P52" i="10"/>
  <c r="Q46" i="10" s="1"/>
  <c r="Q49" i="10" s="1"/>
  <c r="Q50" i="10" s="1"/>
  <c r="Q54" i="10" s="1"/>
  <c r="P28" i="10"/>
  <c r="P18" i="10"/>
  <c r="AQ36" i="5"/>
  <c r="AR32" i="5" s="1"/>
  <c r="AR34" i="5" s="1"/>
  <c r="AR35" i="5" s="1"/>
  <c r="AR41" i="5" s="1"/>
  <c r="AF39" i="10" l="1"/>
  <c r="AF17" i="10" s="1"/>
  <c r="AE27" i="10"/>
  <c r="AF27" i="10"/>
  <c r="AH13" i="10"/>
  <c r="AG48" i="10"/>
  <c r="AG38" i="10"/>
  <c r="AG37" i="10"/>
  <c r="U23" i="5"/>
  <c r="U24" i="5" s="1"/>
  <c r="U25" i="5" s="1"/>
  <c r="U26" i="5" s="1"/>
  <c r="V19" i="5" s="1"/>
  <c r="Q52" i="10"/>
  <c r="R46" i="10" s="1"/>
  <c r="R49" i="10" s="1"/>
  <c r="R50" i="10" s="1"/>
  <c r="R54" i="10" s="1"/>
  <c r="Q18" i="10"/>
  <c r="Q28" i="10"/>
  <c r="AR36" i="5"/>
  <c r="AS32" i="5" s="1"/>
  <c r="AS34" i="5" s="1"/>
  <c r="AS35" i="5" s="1"/>
  <c r="AS41" i="5" s="1"/>
  <c r="AG39" i="10" l="1"/>
  <c r="AG27" i="10" s="1"/>
  <c r="AI13" i="10"/>
  <c r="AH38" i="10"/>
  <c r="AH37" i="10"/>
  <c r="AH48" i="10"/>
  <c r="R52" i="10"/>
  <c r="S46" i="10" s="1"/>
  <c r="S49" i="10" s="1"/>
  <c r="S50" i="10" s="1"/>
  <c r="S54" i="10" s="1"/>
  <c r="S28" i="10" s="1"/>
  <c r="R28" i="10"/>
  <c r="R18" i="10"/>
  <c r="AS36" i="5"/>
  <c r="AT32" i="5" s="1"/>
  <c r="AT34" i="5" s="1"/>
  <c r="AT35" i="5" s="1"/>
  <c r="AT41" i="5" s="1"/>
  <c r="V24" i="6"/>
  <c r="V28" i="6" s="1"/>
  <c r="AG17" i="10" l="1"/>
  <c r="AH39" i="10"/>
  <c r="AH17" i="10" s="1"/>
  <c r="AJ13" i="10"/>
  <c r="AI37" i="10"/>
  <c r="AI38" i="10"/>
  <c r="AI48" i="10"/>
  <c r="V23" i="5"/>
  <c r="V24" i="5" s="1"/>
  <c r="V25" i="5" s="1"/>
  <c r="V26" i="5" s="1"/>
  <c r="W19" i="5" s="1"/>
  <c r="S52" i="10"/>
  <c r="T46" i="10" s="1"/>
  <c r="T49" i="10" s="1"/>
  <c r="T50" i="10" s="1"/>
  <c r="T54" i="10" s="1"/>
  <c r="T18" i="10" s="1"/>
  <c r="S18" i="10"/>
  <c r="AT36" i="5"/>
  <c r="AU32" i="5" s="1"/>
  <c r="AU34" i="5" s="1"/>
  <c r="AH27" i="10" l="1"/>
  <c r="AI39" i="10"/>
  <c r="AI27" i="10" s="1"/>
  <c r="AK13" i="10"/>
  <c r="AJ37" i="10"/>
  <c r="AJ38" i="10"/>
  <c r="AJ48" i="10"/>
  <c r="T52" i="10"/>
  <c r="U46" i="10" s="1"/>
  <c r="U49" i="10" s="1"/>
  <c r="U50" i="10" s="1"/>
  <c r="U54" i="10" s="1"/>
  <c r="T28" i="10"/>
  <c r="AU35" i="5"/>
  <c r="AU41" i="5" s="1"/>
  <c r="W24" i="6"/>
  <c r="W28" i="6" s="1"/>
  <c r="AI17" i="10" l="1"/>
  <c r="AJ39" i="10"/>
  <c r="AL13" i="10"/>
  <c r="AK38" i="10"/>
  <c r="AK37" i="10"/>
  <c r="AK48" i="10"/>
  <c r="W23" i="5"/>
  <c r="W24" i="5" s="1"/>
  <c r="W25" i="5" s="1"/>
  <c r="W26" i="5" s="1"/>
  <c r="X19" i="5" s="1"/>
  <c r="U52" i="10"/>
  <c r="V46" i="10" s="1"/>
  <c r="V49" i="10" s="1"/>
  <c r="V50" i="10" s="1"/>
  <c r="V54" i="10" s="1"/>
  <c r="U18" i="10"/>
  <c r="U28" i="10"/>
  <c r="AU36" i="5"/>
  <c r="AV32" i="5" s="1"/>
  <c r="AV34" i="5" s="1"/>
  <c r="AV35" i="5" s="1"/>
  <c r="AV41" i="5" s="1"/>
  <c r="AK39" i="10" l="1"/>
  <c r="AK17" i="10" s="1"/>
  <c r="AM13" i="10"/>
  <c r="AL38" i="10"/>
  <c r="AL48" i="10"/>
  <c r="AL37" i="10"/>
  <c r="AJ17" i="10"/>
  <c r="AJ27" i="10"/>
  <c r="V52" i="10"/>
  <c r="W46" i="10" s="1"/>
  <c r="W49" i="10" s="1"/>
  <c r="V28" i="10"/>
  <c r="V18" i="10"/>
  <c r="AV36" i="5"/>
  <c r="AW32" i="5" s="1"/>
  <c r="AW34" i="5" s="1"/>
  <c r="AW35" i="5" s="1"/>
  <c r="AW41" i="5" s="1"/>
  <c r="X24" i="6"/>
  <c r="X28" i="6" s="1"/>
  <c r="AL39" i="10" l="1"/>
  <c r="AL17" i="10" s="1"/>
  <c r="AK27" i="10"/>
  <c r="AN13" i="10"/>
  <c r="AM38" i="10"/>
  <c r="AM37" i="10"/>
  <c r="AM48" i="10"/>
  <c r="X23" i="5"/>
  <c r="X24" i="5" s="1"/>
  <c r="X25" i="5" s="1"/>
  <c r="X26" i="5" s="1"/>
  <c r="Y19" i="5" s="1"/>
  <c r="W50" i="10"/>
  <c r="W54" i="10" s="1"/>
  <c r="AW36" i="5"/>
  <c r="AX32" i="5" s="1"/>
  <c r="AX34" i="5" s="1"/>
  <c r="AX35" i="5" s="1"/>
  <c r="AX41" i="5" s="1"/>
  <c r="AM39" i="10" l="1"/>
  <c r="AM17" i="10" s="1"/>
  <c r="AL27" i="10"/>
  <c r="AO13" i="10"/>
  <c r="AN48" i="10"/>
  <c r="AN38" i="10"/>
  <c r="AN37" i="10"/>
  <c r="W52" i="10"/>
  <c r="X46" i="10" s="1"/>
  <c r="X49" i="10" s="1"/>
  <c r="X50" i="10" s="1"/>
  <c r="X54" i="10" s="1"/>
  <c r="W18" i="10"/>
  <c r="W28" i="10"/>
  <c r="AX36" i="5"/>
  <c r="Y24" i="6"/>
  <c r="Y28" i="6" s="1"/>
  <c r="AM27" i="10" l="1"/>
  <c r="AN39" i="10"/>
  <c r="AN17" i="10" s="1"/>
  <c r="AP13" i="10"/>
  <c r="AO48" i="10"/>
  <c r="AO37" i="10"/>
  <c r="AO38" i="10"/>
  <c r="Y23" i="5"/>
  <c r="Y24" i="5" s="1"/>
  <c r="Y25" i="5" s="1"/>
  <c r="Y26" i="5" s="1"/>
  <c r="Z19" i="5" s="1"/>
  <c r="X52" i="10"/>
  <c r="Y46" i="10" s="1"/>
  <c r="Y49" i="10" s="1"/>
  <c r="Y50" i="10" s="1"/>
  <c r="Y54" i="10" s="1"/>
  <c r="X28" i="10"/>
  <c r="X18" i="10"/>
  <c r="AN27" i="10" l="1"/>
  <c r="AO39" i="10"/>
  <c r="AQ13" i="10"/>
  <c r="AP37" i="10"/>
  <c r="AP48" i="10"/>
  <c r="AP38" i="10"/>
  <c r="Y18" i="10"/>
  <c r="Y28" i="10"/>
  <c r="Y52" i="10"/>
  <c r="Z46" i="10" s="1"/>
  <c r="Z49" i="10" s="1"/>
  <c r="Z24" i="6"/>
  <c r="Z28" i="6" s="1"/>
  <c r="AP39" i="10" l="1"/>
  <c r="AR13" i="10"/>
  <c r="AQ48" i="10"/>
  <c r="AQ37" i="10"/>
  <c r="AQ38" i="10"/>
  <c r="AO17" i="10"/>
  <c r="AO27" i="10"/>
  <c r="Z23" i="5"/>
  <c r="Z24" i="5" s="1"/>
  <c r="Z25" i="5" s="1"/>
  <c r="Z26" i="5" s="1"/>
  <c r="AA19" i="5" s="1"/>
  <c r="Z50" i="10"/>
  <c r="Z54" i="10" s="1"/>
  <c r="AQ39" i="10" l="1"/>
  <c r="AS13" i="10"/>
  <c r="AR37" i="10"/>
  <c r="AR38" i="10"/>
  <c r="AR48" i="10"/>
  <c r="AP17" i="10"/>
  <c r="AP27" i="10"/>
  <c r="Z52" i="10"/>
  <c r="AA46" i="10" s="1"/>
  <c r="AA49" i="10" s="1"/>
  <c r="Z28" i="10"/>
  <c r="Z18" i="10"/>
  <c r="AA24" i="6"/>
  <c r="AA28" i="6" s="1"/>
  <c r="AR39" i="10" l="1"/>
  <c r="AT13" i="10"/>
  <c r="AS37" i="10"/>
  <c r="AS38" i="10"/>
  <c r="AS48" i="10"/>
  <c r="AQ17" i="10"/>
  <c r="AQ27" i="10"/>
  <c r="AA23" i="5"/>
  <c r="AA24" i="5" s="1"/>
  <c r="AA25" i="5" s="1"/>
  <c r="AA26" i="5" s="1"/>
  <c r="AB19" i="5" s="1"/>
  <c r="AA50" i="10"/>
  <c r="AA54" i="10" s="1"/>
  <c r="AS39" i="10" l="1"/>
  <c r="AU13" i="10"/>
  <c r="AT48" i="10"/>
  <c r="AT37" i="10"/>
  <c r="AT38" i="10"/>
  <c r="AR17" i="10"/>
  <c r="AR27" i="10"/>
  <c r="AA18" i="10"/>
  <c r="AA28" i="10"/>
  <c r="AA52" i="10"/>
  <c r="AB46" i="10" s="1"/>
  <c r="AB49" i="10" s="1"/>
  <c r="AB24" i="6"/>
  <c r="AB28" i="6" s="1"/>
  <c r="AT39" i="10" l="1"/>
  <c r="AV13" i="10"/>
  <c r="AU37" i="10"/>
  <c r="AU38" i="10"/>
  <c r="AU48" i="10"/>
  <c r="AS27" i="10"/>
  <c r="AS17" i="10"/>
  <c r="AB23" i="5"/>
  <c r="AB24" i="5" s="1"/>
  <c r="AB25" i="5" s="1"/>
  <c r="AB26" i="5" s="1"/>
  <c r="AC19" i="5" s="1"/>
  <c r="AB50" i="10"/>
  <c r="AB54" i="10" s="1"/>
  <c r="AW13" i="10" l="1"/>
  <c r="AV48" i="10"/>
  <c r="AV37" i="10"/>
  <c r="AV38" i="10"/>
  <c r="AU39" i="10"/>
  <c r="AT17" i="10"/>
  <c r="AT27" i="10"/>
  <c r="AB18" i="10"/>
  <c r="AB28" i="10"/>
  <c r="AB52" i="10"/>
  <c r="AC46" i="10" s="1"/>
  <c r="AC49" i="10" s="1"/>
  <c r="AC24" i="6"/>
  <c r="AC28" i="6" s="1"/>
  <c r="AV39" i="10" l="1"/>
  <c r="AV17" i="10" s="1"/>
  <c r="AU27" i="10"/>
  <c r="AU17" i="10"/>
  <c r="AX13" i="10"/>
  <c r="AW48" i="10"/>
  <c r="AW37" i="10"/>
  <c r="AW38" i="10"/>
  <c r="AC23" i="5"/>
  <c r="AC24" i="5" s="1"/>
  <c r="AC25" i="5" s="1"/>
  <c r="AC26" i="5" s="1"/>
  <c r="AD19" i="5" s="1"/>
  <c r="AC50" i="10"/>
  <c r="AC54" i="10" s="1"/>
  <c r="AV27" i="10" l="1"/>
  <c r="AW39" i="10"/>
  <c r="AW17" i="10" s="1"/>
  <c r="AX37" i="10"/>
  <c r="AX38" i="10"/>
  <c r="AX48" i="10"/>
  <c r="AC52" i="10"/>
  <c r="AD46" i="10" s="1"/>
  <c r="AD49" i="10" s="1"/>
  <c r="AD50" i="10" s="1"/>
  <c r="AD54" i="10" s="1"/>
  <c r="AC18" i="10"/>
  <c r="AC28" i="10"/>
  <c r="AD24" i="6"/>
  <c r="AD28" i="6" s="1"/>
  <c r="AW27" i="10" l="1"/>
  <c r="AX39" i="10"/>
  <c r="AD23" i="5"/>
  <c r="AD24" i="5" s="1"/>
  <c r="AD25" i="5" s="1"/>
  <c r="AD26" i="5" s="1"/>
  <c r="AE19" i="5" s="1"/>
  <c r="AD18" i="10"/>
  <c r="AD28" i="10"/>
  <c r="AD52" i="10"/>
  <c r="AE46" i="10" s="1"/>
  <c r="AE49" i="10" s="1"/>
  <c r="AX17" i="10" l="1"/>
  <c r="AX27" i="10"/>
  <c r="AE50" i="10"/>
  <c r="AE54" i="10" s="1"/>
  <c r="AE24" i="6"/>
  <c r="AE28" i="6" s="1"/>
  <c r="AE23" i="5" l="1"/>
  <c r="AE24" i="5" s="1"/>
  <c r="AE25" i="5" s="1"/>
  <c r="AE26" i="5" s="1"/>
  <c r="AF19" i="5" s="1"/>
  <c r="AE52" i="10"/>
  <c r="AF46" i="10" s="1"/>
  <c r="AF49" i="10" s="1"/>
  <c r="AF50" i="10" s="1"/>
  <c r="AE28" i="10"/>
  <c r="AE18" i="10"/>
  <c r="AF54" i="10" l="1"/>
  <c r="AF28" i="10" s="1"/>
  <c r="AF52" i="10"/>
  <c r="AG46" i="10" s="1"/>
  <c r="AG49" i="10" s="1"/>
  <c r="AG50" i="10" s="1"/>
  <c r="AG54" i="10" s="1"/>
  <c r="AF24" i="6"/>
  <c r="AF28" i="6" s="1"/>
  <c r="AF23" i="5" l="1"/>
  <c r="AF24" i="5" s="1"/>
  <c r="AF25" i="5" s="1"/>
  <c r="AF26" i="5" s="1"/>
  <c r="AG19" i="5" s="1"/>
  <c r="AG52" i="10"/>
  <c r="AH46" i="10" s="1"/>
  <c r="AH49" i="10" s="1"/>
  <c r="AH50" i="10" s="1"/>
  <c r="AH54" i="10" s="1"/>
  <c r="AF18" i="10"/>
  <c r="AG28" i="10"/>
  <c r="AG18" i="10"/>
  <c r="AH52" i="10" l="1"/>
  <c r="AI46" i="10" s="1"/>
  <c r="AI49" i="10" s="1"/>
  <c r="AH18" i="10"/>
  <c r="AH28" i="10"/>
  <c r="AG24" i="6"/>
  <c r="AG28" i="6" s="1"/>
  <c r="AG23" i="5" l="1"/>
  <c r="AG24" i="5" s="1"/>
  <c r="AG25" i="5" s="1"/>
  <c r="AG26" i="5" s="1"/>
  <c r="AH19" i="5" s="1"/>
  <c r="AI50" i="10"/>
  <c r="AI51" i="10" s="1"/>
  <c r="AI52" i="10" l="1"/>
  <c r="AJ46" i="10" s="1"/>
  <c r="AJ49" i="10" s="1"/>
  <c r="AI54" i="10"/>
  <c r="AI18" i="10" s="1"/>
  <c r="AH24" i="6"/>
  <c r="AH28" i="6" s="1"/>
  <c r="AH23" i="5" l="1"/>
  <c r="AH24" i="5" s="1"/>
  <c r="AH25" i="5" s="1"/>
  <c r="AH26" i="5" s="1"/>
  <c r="AI19" i="5" s="1"/>
  <c r="AJ50" i="10"/>
  <c r="AJ51" i="10" s="1"/>
  <c r="AI28" i="10"/>
  <c r="AJ52" i="10" l="1"/>
  <c r="AK46" i="10" s="1"/>
  <c r="AK49" i="10" s="1"/>
  <c r="AI24" i="6"/>
  <c r="AI28" i="6" s="1"/>
  <c r="AI23" i="5" l="1"/>
  <c r="AI24" i="5" s="1"/>
  <c r="AI25" i="5" s="1"/>
  <c r="AI26" i="5" s="1"/>
  <c r="AJ19" i="5" s="1"/>
  <c r="AK50" i="10"/>
  <c r="AJ54" i="10"/>
  <c r="AJ18" i="10" l="1"/>
  <c r="AJ28" i="10"/>
  <c r="AK52" i="10"/>
  <c r="AL46" i="10" s="1"/>
  <c r="AL49" i="10" s="1"/>
  <c r="AJ24" i="6"/>
  <c r="AJ28" i="6" s="1"/>
  <c r="AJ23" i="5" l="1"/>
  <c r="AJ24" i="5" s="1"/>
  <c r="AJ25" i="5" s="1"/>
  <c r="AJ26" i="5" s="1"/>
  <c r="AK19" i="5" s="1"/>
  <c r="AL50" i="10"/>
  <c r="AK54" i="10"/>
  <c r="AK18" i="10" l="1"/>
  <c r="AK28" i="10"/>
  <c r="AK31" i="10" s="1"/>
  <c r="AK52" i="12" s="1"/>
  <c r="AL52" i="10"/>
  <c r="AM46" i="10" s="1"/>
  <c r="AM49" i="10" s="1"/>
  <c r="AL54" i="10"/>
  <c r="AK24" i="6"/>
  <c r="AK28" i="6" s="1"/>
  <c r="AK23" i="5" l="1"/>
  <c r="AK24" i="5" s="1"/>
  <c r="AK25" i="5" s="1"/>
  <c r="AK26" i="5" s="1"/>
  <c r="AL19" i="5" s="1"/>
  <c r="AL18" i="10"/>
  <c r="AL28" i="10"/>
  <c r="AL31" i="10" s="1"/>
  <c r="AL52" i="12" s="1"/>
  <c r="AM50" i="10"/>
  <c r="AM52" i="10" l="1"/>
  <c r="AN46" i="10" s="1"/>
  <c r="AN49" i="10" s="1"/>
  <c r="AL24" i="6"/>
  <c r="AL28" i="6" s="1"/>
  <c r="AL23" i="5" l="1"/>
  <c r="AL24" i="5" s="1"/>
  <c r="AL25" i="5" s="1"/>
  <c r="AL26" i="5" s="1"/>
  <c r="AM19" i="5" s="1"/>
  <c r="AN50" i="10"/>
  <c r="AM54" i="10"/>
  <c r="AM18" i="10" l="1"/>
  <c r="AM28" i="10"/>
  <c r="AM31" i="10" s="1"/>
  <c r="AM52" i="12" s="1"/>
  <c r="AN52" i="10"/>
  <c r="AO46" i="10" s="1"/>
  <c r="AO49" i="10" s="1"/>
  <c r="AM24" i="6"/>
  <c r="AM28" i="6" s="1"/>
  <c r="AM23" i="5" l="1"/>
  <c r="AM24" i="5" s="1"/>
  <c r="AM25" i="5" s="1"/>
  <c r="AM26" i="5" s="1"/>
  <c r="AN19" i="5" s="1"/>
  <c r="AO50" i="10"/>
  <c r="AN54" i="10"/>
  <c r="AN28" i="10" l="1"/>
  <c r="AN31" i="10" s="1"/>
  <c r="AN52" i="12" s="1"/>
  <c r="AN18" i="10"/>
  <c r="AO54" i="10"/>
  <c r="AN24" i="6"/>
  <c r="AN28" i="6" s="1"/>
  <c r="AN23" i="5" l="1"/>
  <c r="AN24" i="5" s="1"/>
  <c r="AN25" i="5" s="1"/>
  <c r="AN26" i="5" s="1"/>
  <c r="AO19" i="5" s="1"/>
  <c r="AO28" i="10"/>
  <c r="AO31" i="10" s="1"/>
  <c r="AO52" i="12" s="1"/>
  <c r="AO18" i="10"/>
  <c r="AO52" i="10"/>
  <c r="AP46" i="10" s="1"/>
  <c r="AP49" i="10" s="1"/>
  <c r="AP50" i="10" l="1"/>
  <c r="AO24" i="6"/>
  <c r="AO28" i="6" s="1"/>
  <c r="AO23" i="5" l="1"/>
  <c r="AO24" i="5" s="1"/>
  <c r="AO25" i="5" s="1"/>
  <c r="AO26" i="5" s="1"/>
  <c r="AP19" i="5" s="1"/>
  <c r="AP52" i="10"/>
  <c r="AQ46" i="10" s="1"/>
  <c r="AQ49" i="10" s="1"/>
  <c r="AQ50" i="10" s="1"/>
  <c r="AP54" i="10"/>
  <c r="AP28" i="10" l="1"/>
  <c r="AP31" i="10" s="1"/>
  <c r="AP52" i="12" s="1"/>
  <c r="AP18" i="10"/>
  <c r="AQ54" i="10"/>
  <c r="AP24" i="6"/>
  <c r="AP28" i="6" s="1"/>
  <c r="AP23" i="5" l="1"/>
  <c r="AP24" i="5" s="1"/>
  <c r="AP25" i="5" s="1"/>
  <c r="AP26" i="5" s="1"/>
  <c r="AQ19" i="5" s="1"/>
  <c r="AQ18" i="10"/>
  <c r="AQ28" i="10"/>
  <c r="AQ31" i="10" s="1"/>
  <c r="AQ52" i="12" s="1"/>
  <c r="AQ52" i="10"/>
  <c r="AR46" i="10" s="1"/>
  <c r="AR49" i="10" s="1"/>
  <c r="AR50" i="10" l="1"/>
  <c r="AQ24" i="6"/>
  <c r="AQ28" i="6" s="1"/>
  <c r="AQ23" i="5" l="1"/>
  <c r="AQ24" i="5" s="1"/>
  <c r="AQ25" i="5" s="1"/>
  <c r="AQ26" i="5" s="1"/>
  <c r="AR19" i="5" s="1"/>
  <c r="AR52" i="10"/>
  <c r="AS46" i="10" s="1"/>
  <c r="AS49" i="10" s="1"/>
  <c r="AS50" i="10" s="1"/>
  <c r="AR54" i="10"/>
  <c r="AR18" i="10" l="1"/>
  <c r="AR28" i="10"/>
  <c r="AR31" i="10" s="1"/>
  <c r="AR52" i="12" s="1"/>
  <c r="AS54" i="10"/>
  <c r="AR24" i="6"/>
  <c r="AR28" i="6" s="1"/>
  <c r="AR23" i="5" l="1"/>
  <c r="AR24" i="5" s="1"/>
  <c r="AR25" i="5" s="1"/>
  <c r="AR26" i="5" s="1"/>
  <c r="AS19" i="5" s="1"/>
  <c r="AS18" i="10"/>
  <c r="AS28" i="10"/>
  <c r="AS31" i="10" s="1"/>
  <c r="AS52" i="12" s="1"/>
  <c r="AS52" i="10"/>
  <c r="AT46" i="10" s="1"/>
  <c r="AT49" i="10" s="1"/>
  <c r="AT50" i="10" l="1"/>
  <c r="AS24" i="6"/>
  <c r="AS28" i="6" s="1"/>
  <c r="AS23" i="5" l="1"/>
  <c r="AS24" i="5" s="1"/>
  <c r="AS25" i="5" s="1"/>
  <c r="AS26" i="5" s="1"/>
  <c r="AT19" i="5" s="1"/>
  <c r="AT52" i="10"/>
  <c r="AU46" i="10" s="1"/>
  <c r="AU49" i="10" s="1"/>
  <c r="AT54" i="10"/>
  <c r="AT18" i="10" l="1"/>
  <c r="AT28" i="10"/>
  <c r="AT31" i="10" s="1"/>
  <c r="AT52" i="12" s="1"/>
  <c r="AU50" i="10"/>
  <c r="AU52" i="10" s="1"/>
  <c r="AV46" i="10" s="1"/>
  <c r="AV49" i="10" s="1"/>
  <c r="AT24" i="6"/>
  <c r="AT28" i="6" s="1"/>
  <c r="AT23" i="5" l="1"/>
  <c r="AT24" i="5" s="1"/>
  <c r="AT25" i="5" s="1"/>
  <c r="AT26" i="5" s="1"/>
  <c r="AU19" i="5" s="1"/>
  <c r="AV50" i="10"/>
  <c r="AU54" i="10"/>
  <c r="AU18" i="10" l="1"/>
  <c r="AU28" i="10"/>
  <c r="AU31" i="10" s="1"/>
  <c r="AU52" i="12" s="1"/>
  <c r="AV52" i="10"/>
  <c r="AW46" i="10" s="1"/>
  <c r="AW49" i="10" s="1"/>
  <c r="AU24" i="6"/>
  <c r="AU28" i="6" s="1"/>
  <c r="AU23" i="5" l="1"/>
  <c r="AU24" i="5" s="1"/>
  <c r="AU25" i="5" s="1"/>
  <c r="AU26" i="5" s="1"/>
  <c r="AV19" i="5" s="1"/>
  <c r="AW50" i="10"/>
  <c r="AW52" i="10" s="1"/>
  <c r="AX46" i="10" s="1"/>
  <c r="AX49" i="10" s="1"/>
  <c r="AV54" i="10"/>
  <c r="AX50" i="10" l="1"/>
  <c r="AV18" i="10"/>
  <c r="AV28" i="10"/>
  <c r="AV31" i="10" s="1"/>
  <c r="AV52" i="12" s="1"/>
  <c r="AW54" i="10"/>
  <c r="AV24" i="6"/>
  <c r="AV28" i="6" s="1"/>
  <c r="AV23" i="5" l="1"/>
  <c r="AV24" i="5" s="1"/>
  <c r="AV25" i="5" s="1"/>
  <c r="AV26" i="5" s="1"/>
  <c r="AW19" i="5" s="1"/>
  <c r="AW18" i="10"/>
  <c r="AW28" i="10"/>
  <c r="AW31" i="10" s="1"/>
  <c r="AW52" i="12" s="1"/>
  <c r="AX52" i="10"/>
  <c r="AX54" i="10" l="1"/>
  <c r="AW24" i="6"/>
  <c r="AW28" i="6" s="1"/>
  <c r="AW23" i="5" l="1"/>
  <c r="AW24" i="5" s="1"/>
  <c r="AW25" i="5" s="1"/>
  <c r="AW26" i="5" s="1"/>
  <c r="AX19" i="5" s="1"/>
  <c r="AX28" i="10"/>
  <c r="AX31" i="10" s="1"/>
  <c r="AX52" i="12" s="1"/>
  <c r="AX18" i="10"/>
  <c r="AX24" i="6" l="1"/>
  <c r="AX28" i="6" s="1"/>
  <c r="AX23" i="5" l="1"/>
  <c r="AX24" i="5" s="1"/>
  <c r="AX25" i="5" s="1"/>
  <c r="K11" i="7" l="1"/>
  <c r="K43" i="6" s="1"/>
  <c r="AX26" i="5"/>
  <c r="AT44" i="6" l="1"/>
  <c r="AS44" i="6"/>
  <c r="AK43" i="6"/>
  <c r="AO46" i="6"/>
  <c r="AF44" i="6"/>
  <c r="AE44" i="6"/>
  <c r="AD43" i="6"/>
  <c r="AC44" i="6"/>
  <c r="AB46" i="6"/>
  <c r="O44" i="6"/>
  <c r="Q44" i="6"/>
  <c r="AX43" i="6"/>
  <c r="AR46" i="6"/>
  <c r="AI45" i="6"/>
  <c r="AC43" i="6"/>
  <c r="AR43" i="6"/>
  <c r="AP45" i="6"/>
  <c r="AF45" i="6"/>
  <c r="V43" i="6"/>
  <c r="L43" i="6"/>
  <c r="S43" i="6"/>
  <c r="AF46" i="6"/>
  <c r="AS43" i="6"/>
  <c r="AU45" i="6"/>
  <c r="AB43" i="6"/>
  <c r="AR44" i="6"/>
  <c r="Y43" i="6"/>
  <c r="AN44" i="6"/>
  <c r="AL43" i="6"/>
  <c r="V44" i="6"/>
  <c r="T45" i="6"/>
  <c r="AL44" i="6"/>
  <c r="AK44" i="6"/>
  <c r="T44" i="6"/>
  <c r="P44" i="6"/>
  <c r="AC46" i="6"/>
  <c r="AJ44" i="6"/>
  <c r="AQ45" i="6"/>
  <c r="AE45" i="6"/>
  <c r="AV45" i="6"/>
  <c r="AT45" i="6"/>
  <c r="L46" i="6"/>
  <c r="AV46" i="6"/>
  <c r="AQ44" i="6"/>
  <c r="AI44" i="6"/>
  <c r="AA43" i="6"/>
  <c r="N44" i="6"/>
  <c r="AW46" i="6"/>
  <c r="Q43" i="6"/>
  <c r="O43" i="6"/>
  <c r="V46" i="6"/>
  <c r="AD45" i="6"/>
  <c r="AW43" i="6"/>
  <c r="AQ43" i="6"/>
  <c r="AI43" i="6"/>
  <c r="Z43" i="6"/>
  <c r="N43" i="6"/>
  <c r="W46" i="6"/>
  <c r="Z45" i="6"/>
  <c r="AN45" i="6"/>
  <c r="AI46" i="6"/>
  <c r="AM45" i="6"/>
  <c r="AW44" i="6"/>
  <c r="AP44" i="6"/>
  <c r="AG44" i="6"/>
  <c r="Z44" i="6"/>
  <c r="M44" i="6"/>
  <c r="Q46" i="6"/>
  <c r="U45" i="6"/>
  <c r="AX45" i="6"/>
  <c r="W45" i="6"/>
  <c r="V45" i="6"/>
  <c r="AX44" i="6"/>
  <c r="AO44" i="6"/>
  <c r="AG43" i="6"/>
  <c r="Y44" i="6"/>
  <c r="K44" i="6"/>
  <c r="AH45" i="6"/>
  <c r="AD46" i="6"/>
  <c r="R44" i="6"/>
  <c r="O46" i="6"/>
  <c r="R45" i="6"/>
  <c r="R43" i="6"/>
  <c r="AB45" i="6"/>
  <c r="O45" i="6"/>
  <c r="N45" i="6"/>
  <c r="X46" i="6"/>
  <c r="AJ46" i="6"/>
  <c r="AV43" i="6"/>
  <c r="AM44" i="6"/>
  <c r="AF43" i="6"/>
  <c r="X44" i="6"/>
  <c r="AL45" i="6"/>
  <c r="Q45" i="6"/>
  <c r="X45" i="6"/>
  <c r="AK46" i="6"/>
  <c r="AL46" i="6"/>
  <c r="AQ46" i="6"/>
  <c r="AT43" i="6"/>
  <c r="AM43" i="6"/>
  <c r="AE43" i="6"/>
  <c r="W44" i="6"/>
  <c r="AE46" i="6"/>
  <c r="Y45" i="6"/>
  <c r="P43" i="6"/>
  <c r="T43" i="6"/>
  <c r="AK45" i="6"/>
  <c r="AJ45" i="6"/>
  <c r="W43" i="6"/>
  <c r="AU46" i="6"/>
  <c r="AG45" i="6"/>
  <c r="S46" i="6"/>
  <c r="P46" i="6"/>
  <c r="M46" i="6"/>
  <c r="M45" i="6"/>
  <c r="T46" i="6"/>
  <c r="AH46" i="6"/>
  <c r="Y46" i="6"/>
  <c r="AU43" i="6"/>
  <c r="AO43" i="6"/>
  <c r="AH44" i="6"/>
  <c r="AB44" i="6"/>
  <c r="U43" i="6"/>
  <c r="AS45" i="6"/>
  <c r="P45" i="6"/>
  <c r="Z46" i="6"/>
  <c r="R46" i="6"/>
  <c r="AX46" i="6"/>
  <c r="AU44" i="6"/>
  <c r="AN43" i="6"/>
  <c r="AH43" i="6"/>
  <c r="AA44" i="6"/>
  <c r="U44" i="6"/>
  <c r="AG46" i="6"/>
  <c r="L45" i="6"/>
  <c r="AA46" i="6"/>
  <c r="U46" i="6"/>
  <c r="AS46" i="6"/>
  <c r="AT46" i="6"/>
  <c r="AA45" i="6"/>
  <c r="AR45" i="6"/>
  <c r="AW45" i="6"/>
  <c r="AC45" i="6"/>
  <c r="K45" i="6"/>
  <c r="S44" i="6"/>
  <c r="L44" i="6"/>
  <c r="AV44" i="6"/>
  <c r="AP43" i="6"/>
  <c r="AJ43" i="6"/>
  <c r="AD44" i="6"/>
  <c r="X43" i="6"/>
  <c r="M43" i="6"/>
  <c r="AO45" i="6"/>
  <c r="N46" i="6"/>
  <c r="AP46" i="6"/>
  <c r="AN46" i="6"/>
  <c r="AM46" i="6"/>
  <c r="S45" i="6"/>
  <c r="K46" i="6"/>
  <c r="T47" i="6" l="1"/>
  <c r="Y47" i="6"/>
  <c r="AC47" i="6"/>
  <c r="AR47" i="6"/>
  <c r="AK47" i="6"/>
  <c r="O47" i="6"/>
  <c r="AF47" i="6"/>
  <c r="AE47" i="6"/>
  <c r="AQ47" i="6"/>
  <c r="AI47" i="6"/>
  <c r="S47" i="6"/>
  <c r="AN47" i="6"/>
  <c r="V47" i="6"/>
  <c r="R47" i="6"/>
  <c r="P47" i="6"/>
  <c r="AV47" i="6"/>
  <c r="AW47" i="6"/>
  <c r="AB47" i="6"/>
  <c r="W47" i="6"/>
  <c r="AL47" i="6"/>
  <c r="Q47" i="6"/>
  <c r="AG47" i="6"/>
  <c r="AM47" i="6"/>
  <c r="N47" i="6"/>
  <c r="AX47" i="6"/>
  <c r="X47" i="6"/>
  <c r="AD47" i="6"/>
  <c r="AJ47" i="6"/>
  <c r="AT47" i="6"/>
  <c r="Z47" i="6"/>
  <c r="U47" i="6"/>
  <c r="K47" i="6"/>
  <c r="AH47" i="6"/>
  <c r="AS47" i="6"/>
  <c r="L47" i="6"/>
  <c r="AA47" i="6"/>
  <c r="AU47" i="6"/>
  <c r="K20" i="10"/>
  <c r="K48" i="6"/>
  <c r="AO47" i="6"/>
  <c r="AP47" i="6"/>
  <c r="M47" i="6"/>
  <c r="K49" i="6" l="1"/>
  <c r="K50" i="6" s="1"/>
  <c r="L42" i="6" s="1"/>
  <c r="L48" i="6" s="1"/>
  <c r="L49" i="6" l="1"/>
  <c r="L50" i="6" l="1"/>
  <c r="M42" i="6" s="1"/>
  <c r="M48" i="6" l="1"/>
  <c r="M49" i="6" s="1"/>
  <c r="M50" i="6" l="1"/>
  <c r="N42" i="6" s="1"/>
  <c r="N48" i="6" l="1"/>
  <c r="N49" i="6" s="1"/>
  <c r="N50" i="6" l="1"/>
  <c r="O42" i="6" s="1"/>
  <c r="O48" i="6" l="1"/>
  <c r="O49" i="6" s="1"/>
  <c r="O50" i="6" l="1"/>
  <c r="P42" i="6" s="1"/>
  <c r="P48" i="6" l="1"/>
  <c r="P49" i="6" s="1"/>
  <c r="P50" i="6" s="1"/>
  <c r="Q42" i="6" s="1"/>
  <c r="Q48" i="6" l="1"/>
  <c r="Q49" i="6" s="1"/>
  <c r="Q50" i="6" s="1"/>
  <c r="R42" i="6" s="1"/>
  <c r="R48" i="6" l="1"/>
  <c r="R49" i="6" s="1"/>
  <c r="R50" i="6" s="1"/>
  <c r="S42" i="6" s="1"/>
  <c r="S48" i="6" l="1"/>
  <c r="S49" i="6" s="1"/>
  <c r="S50" i="6" s="1"/>
  <c r="T42" i="6" s="1"/>
  <c r="T48" i="6" l="1"/>
  <c r="T49" i="6" s="1"/>
  <c r="T50" i="6" s="1"/>
  <c r="U42" i="6" s="1"/>
  <c r="U48" i="6" l="1"/>
  <c r="U49" i="6" s="1"/>
  <c r="U50" i="6" s="1"/>
  <c r="V42" i="6" s="1"/>
  <c r="V48" i="6" s="1"/>
  <c r="V49" i="6" l="1"/>
  <c r="V50" i="6" s="1"/>
  <c r="W42" i="6" s="1"/>
  <c r="W48" i="6" s="1"/>
  <c r="W49" i="6" l="1"/>
  <c r="W50" i="6" s="1"/>
  <c r="X42" i="6" s="1"/>
  <c r="X48" i="6" s="1"/>
  <c r="X49" i="6" l="1"/>
  <c r="X50" i="6" s="1"/>
  <c r="Y42" i="6" s="1"/>
  <c r="Y48" i="6" s="1"/>
  <c r="Y49" i="6" l="1"/>
  <c r="Y50" i="6" s="1"/>
  <c r="Z42" i="6" s="1"/>
  <c r="Z48" i="6" s="1"/>
  <c r="Z49" i="6" l="1"/>
  <c r="Z50" i="6" s="1"/>
  <c r="AA42" i="6" s="1"/>
  <c r="AA48" i="6" s="1"/>
  <c r="AA49" i="6" l="1"/>
  <c r="AA50" i="6" s="1"/>
  <c r="AB42" i="6" s="1"/>
  <c r="AB48" i="6" s="1"/>
  <c r="AB49" i="6" l="1"/>
  <c r="AB50" i="6" s="1"/>
  <c r="AC42" i="6" s="1"/>
  <c r="AC48" i="6" s="1"/>
  <c r="AC49" i="6" l="1"/>
  <c r="AC50" i="6" s="1"/>
  <c r="AD42" i="6" s="1"/>
  <c r="AD48" i="6" s="1"/>
  <c r="AD49" i="6" l="1"/>
  <c r="AD50" i="6" s="1"/>
  <c r="AE42" i="6" s="1"/>
  <c r="AE48" i="6" s="1"/>
  <c r="AE49" i="6" l="1"/>
  <c r="AE50" i="6" s="1"/>
  <c r="AF42" i="6" s="1"/>
  <c r="AF48" i="6" s="1"/>
  <c r="AF49" i="6" l="1"/>
  <c r="AF50" i="6" s="1"/>
  <c r="AG42" i="6" s="1"/>
  <c r="AG48" i="6" s="1"/>
  <c r="AG49" i="6" l="1"/>
  <c r="AG50" i="6" s="1"/>
  <c r="AH42" i="6" s="1"/>
  <c r="AH48" i="6" s="1"/>
  <c r="AH49" i="6" l="1"/>
  <c r="AH50" i="6" s="1"/>
  <c r="AI42" i="6" s="1"/>
  <c r="AI48" i="6" s="1"/>
  <c r="AI49" i="6" l="1"/>
  <c r="AI50" i="6" s="1"/>
  <c r="AJ42" i="6" s="1"/>
  <c r="AJ48" i="6" s="1"/>
  <c r="AJ49" i="6" l="1"/>
  <c r="AJ50" i="6" s="1"/>
  <c r="AK42" i="6" s="1"/>
  <c r="AK48" i="6" s="1"/>
  <c r="AK49" i="6" l="1"/>
  <c r="AK50" i="6" s="1"/>
  <c r="AL42" i="6" s="1"/>
  <c r="AL48" i="6" s="1"/>
  <c r="AL49" i="6" l="1"/>
  <c r="AL50" i="6" s="1"/>
  <c r="AM42" i="6" s="1"/>
  <c r="AM48" i="6" s="1"/>
  <c r="AM49" i="6" l="1"/>
  <c r="AM50" i="6" s="1"/>
  <c r="AN42" i="6" s="1"/>
  <c r="AN48" i="6" s="1"/>
  <c r="AN49" i="6" l="1"/>
  <c r="AN50" i="6" s="1"/>
  <c r="AO42" i="6" s="1"/>
  <c r="AO48" i="6" s="1"/>
  <c r="AO49" i="6" l="1"/>
  <c r="AO50" i="6" s="1"/>
  <c r="AP42" i="6" s="1"/>
  <c r="AP48" i="6" s="1"/>
  <c r="AP49" i="6" l="1"/>
  <c r="AP50" i="6" s="1"/>
  <c r="AQ42" i="6" s="1"/>
  <c r="AQ48" i="6" s="1"/>
  <c r="AQ49" i="6" l="1"/>
  <c r="AQ50" i="6" s="1"/>
  <c r="AR42" i="6" s="1"/>
  <c r="AR48" i="6" s="1"/>
  <c r="AR49" i="6" l="1"/>
  <c r="AR50" i="6" s="1"/>
  <c r="AS42" i="6" s="1"/>
  <c r="AS48" i="6" s="1"/>
  <c r="AS49" i="6" l="1"/>
  <c r="AS50" i="6" s="1"/>
  <c r="AT42" i="6" s="1"/>
  <c r="AT48" i="6" s="1"/>
  <c r="AT49" i="6" l="1"/>
  <c r="AT50" i="6" s="1"/>
  <c r="AU42" i="6" s="1"/>
  <c r="AU48" i="6" s="1"/>
  <c r="AU49" i="6" l="1"/>
  <c r="AU50" i="6" s="1"/>
  <c r="AV42" i="6" s="1"/>
  <c r="AV48" i="6" s="1"/>
  <c r="AV49" i="6" l="1"/>
  <c r="AV50" i="6" s="1"/>
  <c r="AW42" i="6" s="1"/>
  <c r="AW48" i="6" s="1"/>
  <c r="AW49" i="6" l="1"/>
  <c r="AW50" i="6" s="1"/>
  <c r="AX42" i="6" s="1"/>
  <c r="AX48" i="6" s="1"/>
  <c r="AX49" i="6" l="1"/>
  <c r="AX50" i="6" l="1"/>
  <c r="K10" i="7"/>
  <c r="K13" i="7" s="1"/>
  <c r="K26" i="7" l="1"/>
  <c r="K74" i="10"/>
  <c r="K35" i="7"/>
  <c r="O72" i="10" l="1"/>
  <c r="AA72" i="10"/>
  <c r="AM72" i="10"/>
  <c r="K72" i="10"/>
  <c r="AB72" i="10"/>
  <c r="AN72" i="10"/>
  <c r="P72" i="10"/>
  <c r="Z72" i="10"/>
  <c r="Q72" i="10"/>
  <c r="AC72" i="10"/>
  <c r="AO72" i="10"/>
  <c r="R72" i="10"/>
  <c r="AD72" i="10"/>
  <c r="AP72" i="10"/>
  <c r="S72" i="10"/>
  <c r="AE72" i="10"/>
  <c r="AQ72" i="10"/>
  <c r="AX72" i="10"/>
  <c r="T72" i="10"/>
  <c r="AF72" i="10"/>
  <c r="AR72" i="10"/>
  <c r="N72" i="10"/>
  <c r="U72" i="10"/>
  <c r="AG72" i="10"/>
  <c r="AS72" i="10"/>
  <c r="V72" i="10"/>
  <c r="AH72" i="10"/>
  <c r="AT72" i="10"/>
  <c r="AL72" i="10"/>
  <c r="W72" i="10"/>
  <c r="AI72" i="10"/>
  <c r="AU72" i="10"/>
  <c r="L72" i="10"/>
  <c r="X72" i="10"/>
  <c r="AJ72" i="10"/>
  <c r="AV72" i="10"/>
  <c r="M72" i="10"/>
  <c r="Y72" i="10"/>
  <c r="AK72" i="10"/>
  <c r="AW72" i="10"/>
  <c r="L15" i="9"/>
  <c r="K13" i="8"/>
  <c r="K15" i="7"/>
  <c r="K16" i="7" s="1"/>
  <c r="K71" i="10"/>
  <c r="K19" i="10" s="1"/>
  <c r="K21" i="10" s="1"/>
  <c r="K70" i="10" l="1"/>
  <c r="K36" i="7"/>
  <c r="L9" i="7"/>
  <c r="L13" i="7" s="1"/>
  <c r="K18" i="7"/>
  <c r="K13" i="12"/>
  <c r="K13" i="11"/>
  <c r="K38" i="7" l="1"/>
  <c r="K41" i="7" s="1"/>
  <c r="K39" i="7"/>
  <c r="K42" i="7" s="1"/>
  <c r="K75" i="10"/>
  <c r="K76" i="10" s="1"/>
  <c r="L74" i="10" s="1"/>
  <c r="L71" i="10" s="1"/>
  <c r="L35" i="7"/>
  <c r="L26" i="7"/>
  <c r="L16" i="9" l="1"/>
  <c r="L23" i="9"/>
  <c r="K14" i="8"/>
  <c r="K21" i="8" s="1"/>
  <c r="K40" i="8" s="1"/>
  <c r="L19" i="10"/>
  <c r="L21" i="10" s="1"/>
  <c r="L70" i="10"/>
  <c r="L13" i="8"/>
  <c r="M15" i="9"/>
  <c r="L15" i="7"/>
  <c r="L16" i="7" s="1"/>
  <c r="K15" i="8" l="1"/>
  <c r="L17" i="9"/>
  <c r="L42" i="9" s="1"/>
  <c r="L75" i="10"/>
  <c r="L76" i="10" s="1"/>
  <c r="M74" i="10" s="1"/>
  <c r="M71" i="10" s="1"/>
  <c r="L36" i="7"/>
  <c r="M9" i="7"/>
  <c r="M13" i="7" s="1"/>
  <c r="L18" i="7"/>
  <c r="L13" i="12"/>
  <c r="L13" i="11"/>
  <c r="L39" i="7" l="1"/>
  <c r="L42" i="7" s="1"/>
  <c r="L38" i="7"/>
  <c r="L41" i="7" s="1"/>
  <c r="K25" i="8"/>
  <c r="K50" i="8" s="1"/>
  <c r="L27" i="9"/>
  <c r="L52" i="9" s="1"/>
  <c r="M19" i="10"/>
  <c r="M21" i="10" s="1"/>
  <c r="M70" i="10"/>
  <c r="M35" i="7"/>
  <c r="M26" i="7"/>
  <c r="L14" i="8" l="1"/>
  <c r="M16" i="9"/>
  <c r="M75" i="10"/>
  <c r="M76" i="10" s="1"/>
  <c r="N74" i="10" s="1"/>
  <c r="N71" i="10" s="1"/>
  <c r="M13" i="8"/>
  <c r="N15" i="9"/>
  <c r="M15" i="7"/>
  <c r="M16" i="7" s="1"/>
  <c r="M13" i="12"/>
  <c r="M13" i="11"/>
  <c r="M17" i="9" l="1"/>
  <c r="M23" i="9"/>
  <c r="M42" i="9" s="1"/>
  <c r="L15" i="8"/>
  <c r="L21" i="8"/>
  <c r="N9" i="7"/>
  <c r="N13" i="7" s="1"/>
  <c r="M36" i="7"/>
  <c r="M18" i="7"/>
  <c r="N19" i="10"/>
  <c r="N21" i="10" s="1"/>
  <c r="N70" i="10"/>
  <c r="M27" i="9" l="1"/>
  <c r="L25" i="8"/>
  <c r="L40" i="8"/>
  <c r="M38" i="7"/>
  <c r="M39" i="7"/>
  <c r="N75" i="10"/>
  <c r="N76" i="10" s="1"/>
  <c r="O74" i="10" s="1"/>
  <c r="O71" i="10" s="1"/>
  <c r="N13" i="12"/>
  <c r="N13" i="11"/>
  <c r="N35" i="7"/>
  <c r="N26" i="7"/>
  <c r="M41" i="7" l="1"/>
  <c r="M14" i="8" s="1"/>
  <c r="M42" i="7"/>
  <c r="N16" i="9" s="1"/>
  <c r="O15" i="9"/>
  <c r="N13" i="8"/>
  <c r="N15" i="7"/>
  <c r="N16" i="7" s="1"/>
  <c r="O19" i="10"/>
  <c r="O21" i="10" s="1"/>
  <c r="O70" i="10"/>
  <c r="M15" i="8" l="1"/>
  <c r="M21" i="8"/>
  <c r="M40" i="8" s="1"/>
  <c r="N17" i="9"/>
  <c r="N23" i="9"/>
  <c r="N42" i="9" s="1"/>
  <c r="O75" i="10"/>
  <c r="O76" i="10" s="1"/>
  <c r="P74" i="10" s="1"/>
  <c r="P71" i="10" s="1"/>
  <c r="O13" i="11"/>
  <c r="O13" i="12"/>
  <c r="O9" i="7"/>
  <c r="O13" i="7" s="1"/>
  <c r="N36" i="7"/>
  <c r="N18" i="7"/>
  <c r="M25" i="8" l="1"/>
  <c r="N38" i="7"/>
  <c r="N41" i="7" s="1"/>
  <c r="N14" i="8" s="1"/>
  <c r="N39" i="7"/>
  <c r="N27" i="9"/>
  <c r="O35" i="7"/>
  <c r="O26" i="7"/>
  <c r="P19" i="10"/>
  <c r="P21" i="10" s="1"/>
  <c r="P70" i="10"/>
  <c r="N15" i="8" l="1"/>
  <c r="N21" i="8"/>
  <c r="N40" i="8" s="1"/>
  <c r="P75" i="10"/>
  <c r="P76" i="10" s="1"/>
  <c r="Q74" i="10" s="1"/>
  <c r="Q71" i="10" s="1"/>
  <c r="N42" i="7"/>
  <c r="O16" i="9" s="1"/>
  <c r="P15" i="9"/>
  <c r="O13" i="8"/>
  <c r="O15" i="7"/>
  <c r="O16" i="7" s="1"/>
  <c r="P13" i="12"/>
  <c r="P13" i="11"/>
  <c r="O17" i="9" l="1"/>
  <c r="O23" i="9"/>
  <c r="O42" i="9" s="1"/>
  <c r="N25" i="8"/>
  <c r="Q19" i="10"/>
  <c r="Q21" i="10" s="1"/>
  <c r="Q70" i="10"/>
  <c r="P9" i="7"/>
  <c r="P13" i="7" s="1"/>
  <c r="O36" i="7"/>
  <c r="O18" i="7"/>
  <c r="O39" i="7" l="1"/>
  <c r="O38" i="7"/>
  <c r="O41" i="7" s="1"/>
  <c r="O14" i="8" s="1"/>
  <c r="O27" i="9"/>
  <c r="Q75" i="10"/>
  <c r="Q76" i="10" s="1"/>
  <c r="R74" i="10" s="1"/>
  <c r="R71" i="10" s="1"/>
  <c r="P35" i="7"/>
  <c r="P26" i="7"/>
  <c r="Q13" i="12"/>
  <c r="Q13" i="11"/>
  <c r="O15" i="8" l="1"/>
  <c r="O21" i="8"/>
  <c r="O40" i="8" s="1"/>
  <c r="O42" i="7"/>
  <c r="P16" i="9" s="1"/>
  <c r="R19" i="10"/>
  <c r="R21" i="10" s="1"/>
  <c r="R70" i="10"/>
  <c r="P13" i="8"/>
  <c r="Q15" i="9"/>
  <c r="P15" i="7"/>
  <c r="P16" i="7" s="1"/>
  <c r="P17" i="9" l="1"/>
  <c r="P23" i="9"/>
  <c r="P42" i="9" s="1"/>
  <c r="O25" i="8"/>
  <c r="R75" i="10"/>
  <c r="R76" i="10" s="1"/>
  <c r="S74" i="10" s="1"/>
  <c r="S71" i="10" s="1"/>
  <c r="Q9" i="7"/>
  <c r="Q13" i="7" s="1"/>
  <c r="P36" i="7"/>
  <c r="P18" i="7"/>
  <c r="R13" i="12"/>
  <c r="R13" i="11"/>
  <c r="P39" i="7" l="1"/>
  <c r="P38" i="7"/>
  <c r="P41" i="7" s="1"/>
  <c r="P14" i="8" s="1"/>
  <c r="P27" i="9"/>
  <c r="S19" i="10"/>
  <c r="S21" i="10" s="1"/>
  <c r="S70" i="10"/>
  <c r="Q35" i="7"/>
  <c r="Q26" i="7"/>
  <c r="P15" i="8" l="1"/>
  <c r="P21" i="8"/>
  <c r="P40" i="8" s="1"/>
  <c r="S75" i="10"/>
  <c r="S76" i="10" s="1"/>
  <c r="T74" i="10" s="1"/>
  <c r="T71" i="10" s="1"/>
  <c r="P42" i="7"/>
  <c r="Q16" i="9" s="1"/>
  <c r="R15" i="9"/>
  <c r="Q13" i="8"/>
  <c r="Q15" i="7"/>
  <c r="Q16" i="7" s="1"/>
  <c r="S13" i="11"/>
  <c r="S13" i="12"/>
  <c r="Q17" i="9" l="1"/>
  <c r="Q23" i="9"/>
  <c r="Q42" i="9" s="1"/>
  <c r="P25" i="8"/>
  <c r="T19" i="10"/>
  <c r="T21" i="10" s="1"/>
  <c r="T70" i="10"/>
  <c r="Q36" i="7"/>
  <c r="R9" i="7"/>
  <c r="R13" i="7" s="1"/>
  <c r="Q18" i="7"/>
  <c r="Q39" i="7" l="1"/>
  <c r="Q38" i="7"/>
  <c r="Q41" i="7" s="1"/>
  <c r="Q14" i="8" s="1"/>
  <c r="Q27" i="9"/>
  <c r="T75" i="10"/>
  <c r="T76" i="10" s="1"/>
  <c r="U74" i="10" s="1"/>
  <c r="U71" i="10" s="1"/>
  <c r="R35" i="7"/>
  <c r="R26" i="7"/>
  <c r="T13" i="12"/>
  <c r="T13" i="11"/>
  <c r="Q15" i="8" l="1"/>
  <c r="Q21" i="8"/>
  <c r="Q40" i="8" s="1"/>
  <c r="Q42" i="7"/>
  <c r="R16" i="9" s="1"/>
  <c r="U19" i="10"/>
  <c r="U21" i="10" s="1"/>
  <c r="U70" i="10"/>
  <c r="R13" i="8"/>
  <c r="S15" i="9"/>
  <c r="R15" i="7"/>
  <c r="R16" i="7" s="1"/>
  <c r="R17" i="9" l="1"/>
  <c r="R23" i="9"/>
  <c r="R42" i="9" s="1"/>
  <c r="Q25" i="8"/>
  <c r="U75" i="10"/>
  <c r="U76" i="10" s="1"/>
  <c r="V74" i="10" s="1"/>
  <c r="V71" i="10" s="1"/>
  <c r="S9" i="7"/>
  <c r="S13" i="7" s="1"/>
  <c r="R36" i="7"/>
  <c r="R18" i="7"/>
  <c r="U13" i="12"/>
  <c r="U13" i="11"/>
  <c r="R39" i="7" l="1"/>
  <c r="R38" i="7"/>
  <c r="R41" i="7" s="1"/>
  <c r="R14" i="8" s="1"/>
  <c r="R27" i="9"/>
  <c r="V19" i="10"/>
  <c r="V21" i="10" s="1"/>
  <c r="V70" i="10"/>
  <c r="S35" i="7"/>
  <c r="S26" i="7"/>
  <c r="R15" i="8" l="1"/>
  <c r="R21" i="8"/>
  <c r="R40" i="8" s="1"/>
  <c r="V75" i="10"/>
  <c r="V76" i="10" s="1"/>
  <c r="W74" i="10" s="1"/>
  <c r="W71" i="10" s="1"/>
  <c r="R42" i="7"/>
  <c r="S16" i="9" s="1"/>
  <c r="S13" i="8"/>
  <c r="T15" i="9"/>
  <c r="S15" i="7"/>
  <c r="S16" i="7" s="1"/>
  <c r="V13" i="12"/>
  <c r="V13" i="11"/>
  <c r="S17" i="9" l="1"/>
  <c r="S23" i="9"/>
  <c r="S42" i="9" s="1"/>
  <c r="R25" i="8"/>
  <c r="W19" i="10"/>
  <c r="W21" i="10" s="1"/>
  <c r="W70" i="10"/>
  <c r="S36" i="7"/>
  <c r="T9" i="7"/>
  <c r="T13" i="7" s="1"/>
  <c r="S18" i="7"/>
  <c r="S39" i="7" l="1"/>
  <c r="S38" i="7"/>
  <c r="S41" i="7" s="1"/>
  <c r="S14" i="8" s="1"/>
  <c r="S27" i="9"/>
  <c r="W75" i="10"/>
  <c r="W76" i="10" s="1"/>
  <c r="X74" i="10" s="1"/>
  <c r="X71" i="10" s="1"/>
  <c r="T35" i="7"/>
  <c r="T26" i="7"/>
  <c r="W13" i="12"/>
  <c r="W13" i="11"/>
  <c r="S15" i="8" l="1"/>
  <c r="S21" i="8"/>
  <c r="S40" i="8" s="1"/>
  <c r="S42" i="7"/>
  <c r="T16" i="9" s="1"/>
  <c r="X19" i="10"/>
  <c r="X21" i="10" s="1"/>
  <c r="X70" i="10"/>
  <c r="U15" i="9"/>
  <c r="T13" i="8"/>
  <c r="T15" i="7"/>
  <c r="T16" i="7" s="1"/>
  <c r="T17" i="9" l="1"/>
  <c r="T23" i="9"/>
  <c r="T42" i="9" s="1"/>
  <c r="S25" i="8"/>
  <c r="X75" i="10"/>
  <c r="X76" i="10" s="1"/>
  <c r="Y74" i="10" s="1"/>
  <c r="Y71" i="10" s="1"/>
  <c r="T36" i="7"/>
  <c r="U9" i="7"/>
  <c r="U13" i="7" s="1"/>
  <c r="T18" i="7"/>
  <c r="X13" i="12"/>
  <c r="X13" i="11"/>
  <c r="T38" i="7" l="1"/>
  <c r="T41" i="7" s="1"/>
  <c r="T14" i="8" s="1"/>
  <c r="T39" i="7"/>
  <c r="T27" i="9"/>
  <c r="Y19" i="10"/>
  <c r="Y21" i="10" s="1"/>
  <c r="Y70" i="10"/>
  <c r="U35" i="7"/>
  <c r="U26" i="7"/>
  <c r="T15" i="8" l="1"/>
  <c r="T21" i="8"/>
  <c r="T40" i="8" s="1"/>
  <c r="Y75" i="10"/>
  <c r="Y76" i="10" s="1"/>
  <c r="Z74" i="10" s="1"/>
  <c r="Z71" i="10" s="1"/>
  <c r="T42" i="7"/>
  <c r="U16" i="9" s="1"/>
  <c r="V15" i="9"/>
  <c r="U13" i="8"/>
  <c r="U15" i="7"/>
  <c r="U16" i="7" s="1"/>
  <c r="Y13" i="12"/>
  <c r="Y13" i="11"/>
  <c r="U17" i="9" l="1"/>
  <c r="U23" i="9"/>
  <c r="U42" i="9" s="1"/>
  <c r="T25" i="8"/>
  <c r="Z19" i="10"/>
  <c r="Z21" i="10" s="1"/>
  <c r="Z70" i="10"/>
  <c r="U36" i="7"/>
  <c r="V9" i="7"/>
  <c r="V13" i="7" s="1"/>
  <c r="U18" i="7"/>
  <c r="U39" i="7" l="1"/>
  <c r="U38" i="7"/>
  <c r="U41" i="7" s="1"/>
  <c r="U14" i="8" s="1"/>
  <c r="U27" i="9"/>
  <c r="Z75" i="10"/>
  <c r="Z76" i="10" s="1"/>
  <c r="AA74" i="10" s="1"/>
  <c r="AA71" i="10" s="1"/>
  <c r="V35" i="7"/>
  <c r="V26" i="7"/>
  <c r="Z13" i="12"/>
  <c r="Z13" i="11"/>
  <c r="U15" i="8" l="1"/>
  <c r="U21" i="8"/>
  <c r="U40" i="8" s="1"/>
  <c r="U42" i="7"/>
  <c r="V16" i="9" s="1"/>
  <c r="AA19" i="10"/>
  <c r="AA21" i="10" s="1"/>
  <c r="AA70" i="10"/>
  <c r="W15" i="9"/>
  <c r="V13" i="8"/>
  <c r="V15" i="7"/>
  <c r="V16" i="7" s="1"/>
  <c r="V17" i="9" l="1"/>
  <c r="V23" i="9"/>
  <c r="V42" i="9" s="1"/>
  <c r="U25" i="8"/>
  <c r="AA75" i="10"/>
  <c r="AA76" i="10" s="1"/>
  <c r="AB74" i="10" s="1"/>
  <c r="AB71" i="10" s="1"/>
  <c r="V36" i="7"/>
  <c r="W9" i="7"/>
  <c r="W13" i="7" s="1"/>
  <c r="V18" i="7"/>
  <c r="AA13" i="11"/>
  <c r="AA13" i="12"/>
  <c r="V39" i="7" l="1"/>
  <c r="V38" i="7"/>
  <c r="V41" i="7" s="1"/>
  <c r="V14" i="8" s="1"/>
  <c r="V27" i="9"/>
  <c r="AB19" i="10"/>
  <c r="AB21" i="10" s="1"/>
  <c r="AB70" i="10"/>
  <c r="W35" i="7"/>
  <c r="W26" i="7"/>
  <c r="V15" i="8" l="1"/>
  <c r="V21" i="8"/>
  <c r="V40" i="8" s="1"/>
  <c r="AB75" i="10"/>
  <c r="AB76" i="10" s="1"/>
  <c r="AC74" i="10" s="1"/>
  <c r="AC71" i="10" s="1"/>
  <c r="V42" i="7"/>
  <c r="W16" i="9" s="1"/>
  <c r="X15" i="9"/>
  <c r="W13" i="8"/>
  <c r="W15" i="7"/>
  <c r="W16" i="7" s="1"/>
  <c r="AB13" i="12"/>
  <c r="AB13" i="11"/>
  <c r="W17" i="9" l="1"/>
  <c r="W23" i="9"/>
  <c r="W42" i="9" s="1"/>
  <c r="V25" i="8"/>
  <c r="AC19" i="10"/>
  <c r="AC21" i="10" s="1"/>
  <c r="AC70" i="10"/>
  <c r="W36" i="7"/>
  <c r="X9" i="7"/>
  <c r="X13" i="7" s="1"/>
  <c r="W18" i="7"/>
  <c r="W38" i="7" l="1"/>
  <c r="W41" i="7" s="1"/>
  <c r="W14" i="8" s="1"/>
  <c r="W39" i="7"/>
  <c r="W27" i="9"/>
  <c r="AC75" i="10"/>
  <c r="AC76" i="10" s="1"/>
  <c r="AD74" i="10" s="1"/>
  <c r="AD71" i="10" s="1"/>
  <c r="X35" i="7"/>
  <c r="X26" i="7"/>
  <c r="AC13" i="12"/>
  <c r="AC13" i="11"/>
  <c r="W15" i="8" l="1"/>
  <c r="W21" i="8"/>
  <c r="W40" i="8" s="1"/>
  <c r="W42" i="7"/>
  <c r="X16" i="9" s="1"/>
  <c r="AD19" i="10"/>
  <c r="AD21" i="10" s="1"/>
  <c r="AD70" i="10"/>
  <c r="X13" i="8"/>
  <c r="Y15" i="9"/>
  <c r="X15" i="7"/>
  <c r="X16" i="7" s="1"/>
  <c r="X17" i="9" l="1"/>
  <c r="X23" i="9"/>
  <c r="X42" i="9" s="1"/>
  <c r="W25" i="8"/>
  <c r="AD75" i="10"/>
  <c r="AD76" i="10" s="1"/>
  <c r="AE74" i="10" s="1"/>
  <c r="AE71" i="10" s="1"/>
  <c r="Y9" i="7"/>
  <c r="Y13" i="7" s="1"/>
  <c r="X36" i="7"/>
  <c r="X18" i="7"/>
  <c r="AD13" i="12"/>
  <c r="AD13" i="11"/>
  <c r="X39" i="7" l="1"/>
  <c r="X38" i="7"/>
  <c r="X41" i="7" s="1"/>
  <c r="X14" i="8" s="1"/>
  <c r="X27" i="9"/>
  <c r="AE19" i="10"/>
  <c r="AE21" i="10" s="1"/>
  <c r="AE70" i="10"/>
  <c r="Y35" i="7"/>
  <c r="Y26" i="7"/>
  <c r="X15" i="8" l="1"/>
  <c r="X21" i="8"/>
  <c r="X40" i="8" s="1"/>
  <c r="AE75" i="10"/>
  <c r="AE76" i="10" s="1"/>
  <c r="AF74" i="10" s="1"/>
  <c r="AF71" i="10" s="1"/>
  <c r="X42" i="7"/>
  <c r="Y16" i="9" s="1"/>
  <c r="Z15" i="9"/>
  <c r="Y13" i="8"/>
  <c r="Y15" i="7"/>
  <c r="Y16" i="7" s="1"/>
  <c r="AE13" i="11"/>
  <c r="AE13" i="12"/>
  <c r="Y17" i="9" l="1"/>
  <c r="Y23" i="9"/>
  <c r="Y42" i="9" s="1"/>
  <c r="X25" i="8"/>
  <c r="AF19" i="10"/>
  <c r="AF21" i="10" s="1"/>
  <c r="AF70" i="10"/>
  <c r="Z9" i="7"/>
  <c r="Z13" i="7" s="1"/>
  <c r="Y36" i="7"/>
  <c r="Y18" i="7"/>
  <c r="Y38" i="7" l="1"/>
  <c r="Y41" i="7" s="1"/>
  <c r="Y14" i="8" s="1"/>
  <c r="Y39" i="7"/>
  <c r="Y27" i="9"/>
  <c r="AF75" i="10"/>
  <c r="AF76" i="10" s="1"/>
  <c r="AG74" i="10" s="1"/>
  <c r="AG71" i="10" s="1"/>
  <c r="Z35" i="7"/>
  <c r="Z26" i="7"/>
  <c r="AF13" i="12"/>
  <c r="AF13" i="11"/>
  <c r="Y15" i="8" l="1"/>
  <c r="Y21" i="8"/>
  <c r="Y40" i="8" s="1"/>
  <c r="Y42" i="7"/>
  <c r="Z16" i="9" s="1"/>
  <c r="AG19" i="10"/>
  <c r="AG21" i="10" s="1"/>
  <c r="AG70" i="10"/>
  <c r="AA15" i="9"/>
  <c r="Z13" i="8"/>
  <c r="Z15" i="7"/>
  <c r="Z16" i="7" s="1"/>
  <c r="Z17" i="9" l="1"/>
  <c r="Z23" i="9"/>
  <c r="Z42" i="9" s="1"/>
  <c r="Y25" i="8"/>
  <c r="AG75" i="10"/>
  <c r="AG76" i="10" s="1"/>
  <c r="AH74" i="10" s="1"/>
  <c r="AH71" i="10" s="1"/>
  <c r="AG13" i="12"/>
  <c r="AG13" i="11"/>
  <c r="AA9" i="7"/>
  <c r="AA13" i="7" s="1"/>
  <c r="Z36" i="7"/>
  <c r="Z18" i="7"/>
  <c r="Z38" i="7" l="1"/>
  <c r="Z41" i="7" s="1"/>
  <c r="Z14" i="8" s="1"/>
  <c r="Z39" i="7"/>
  <c r="Z27" i="9"/>
  <c r="AH19" i="10"/>
  <c r="AH21" i="10" s="1"/>
  <c r="AH70" i="10"/>
  <c r="AA35" i="7"/>
  <c r="AA26" i="7"/>
  <c r="Z15" i="8" l="1"/>
  <c r="Z21" i="8"/>
  <c r="Z40" i="8" s="1"/>
  <c r="AH75" i="10"/>
  <c r="AH76" i="10" s="1"/>
  <c r="AI74" i="10" s="1"/>
  <c r="Z42" i="7"/>
  <c r="AA16" i="9" s="1"/>
  <c r="AB15" i="9"/>
  <c r="AA13" i="8"/>
  <c r="AA15" i="7"/>
  <c r="AA16" i="7" s="1"/>
  <c r="AH13" i="12"/>
  <c r="AH13" i="11"/>
  <c r="AA17" i="9" l="1"/>
  <c r="AA23" i="9"/>
  <c r="AA42" i="9" s="1"/>
  <c r="Z25" i="8"/>
  <c r="AI71" i="10"/>
  <c r="AI70" i="10" s="1"/>
  <c r="AI75" i="10" s="1"/>
  <c r="AB9" i="7"/>
  <c r="AB13" i="7" s="1"/>
  <c r="AA36" i="7"/>
  <c r="AA18" i="7"/>
  <c r="AA39" i="7" l="1"/>
  <c r="AA38" i="7"/>
  <c r="AA41" i="7" s="1"/>
  <c r="AA14" i="8" s="1"/>
  <c r="AA27" i="9"/>
  <c r="AI76" i="10"/>
  <c r="AJ74" i="10" s="1"/>
  <c r="AJ71" i="10" s="1"/>
  <c r="AJ19" i="10" s="1"/>
  <c r="AJ21" i="10" s="1"/>
  <c r="AI19" i="10"/>
  <c r="AI21" i="10" s="1"/>
  <c r="AB35" i="7"/>
  <c r="AB26" i="7"/>
  <c r="AA15" i="8" l="1"/>
  <c r="AA21" i="8"/>
  <c r="AA40" i="8" s="1"/>
  <c r="AI13" i="11"/>
  <c r="AI13" i="12"/>
  <c r="AJ70" i="10"/>
  <c r="AJ75" i="10" s="1"/>
  <c r="AJ76" i="10" s="1"/>
  <c r="AK74" i="10" s="1"/>
  <c r="AK71" i="10" s="1"/>
  <c r="AA42" i="7"/>
  <c r="AB16" i="9" s="1"/>
  <c r="AJ13" i="11"/>
  <c r="AJ13" i="12"/>
  <c r="AB13" i="8"/>
  <c r="AC15" i="9"/>
  <c r="AB15" i="7"/>
  <c r="AB16" i="7" s="1"/>
  <c r="AB17" i="9" l="1"/>
  <c r="AB23" i="9"/>
  <c r="AB42" i="9" s="1"/>
  <c r="AA25" i="8"/>
  <c r="AK70" i="10"/>
  <c r="AK19" i="10"/>
  <c r="AK21" i="10" s="1"/>
  <c r="AC9" i="7"/>
  <c r="AC13" i="7" s="1"/>
  <c r="AB36" i="7"/>
  <c r="AB18" i="7"/>
  <c r="AB39" i="7" l="1"/>
  <c r="AB38" i="7"/>
  <c r="AB41" i="7" s="1"/>
  <c r="AB14" i="8" s="1"/>
  <c r="AB27" i="9"/>
  <c r="AK13" i="12"/>
  <c r="AK13" i="11"/>
  <c r="AK75" i="10"/>
  <c r="AK76" i="10" s="1"/>
  <c r="AL74" i="10" s="1"/>
  <c r="AL71" i="10" s="1"/>
  <c r="AC35" i="7"/>
  <c r="AC26" i="7"/>
  <c r="AB15" i="8" l="1"/>
  <c r="AB21" i="8"/>
  <c r="AB40" i="8" s="1"/>
  <c r="AL70" i="10"/>
  <c r="AL19" i="10"/>
  <c r="AL21" i="10" s="1"/>
  <c r="AB42" i="7"/>
  <c r="AC16" i="9" s="1"/>
  <c r="AD15" i="9"/>
  <c r="AC13" i="8"/>
  <c r="AC15" i="7"/>
  <c r="AC16" i="7" s="1"/>
  <c r="AC17" i="9" l="1"/>
  <c r="AC23" i="9"/>
  <c r="AC42" i="9" s="1"/>
  <c r="AB25" i="8"/>
  <c r="AL13" i="12"/>
  <c r="AL13" i="11"/>
  <c r="AL75" i="10"/>
  <c r="AL76" i="10" s="1"/>
  <c r="AM74" i="10" s="1"/>
  <c r="AM71" i="10" s="1"/>
  <c r="AD9" i="7"/>
  <c r="AD13" i="7" s="1"/>
  <c r="AC36" i="7"/>
  <c r="AC18" i="7"/>
  <c r="AC38" i="7" l="1"/>
  <c r="AC41" i="7" s="1"/>
  <c r="AC14" i="8" s="1"/>
  <c r="AC39" i="7"/>
  <c r="AC27" i="9"/>
  <c r="AM19" i="10"/>
  <c r="AM21" i="10" s="1"/>
  <c r="AM70" i="10"/>
  <c r="AD35" i="7"/>
  <c r="AD26" i="7"/>
  <c r="AC15" i="8" l="1"/>
  <c r="AC21" i="8"/>
  <c r="AC40" i="8" s="1"/>
  <c r="AM75" i="10"/>
  <c r="AM76" i="10" s="1"/>
  <c r="AN74" i="10" s="1"/>
  <c r="AN71" i="10" s="1"/>
  <c r="AM13" i="11"/>
  <c r="AM13" i="12"/>
  <c r="AC42" i="7"/>
  <c r="AD16" i="9" s="1"/>
  <c r="AE15" i="9"/>
  <c r="AD13" i="8"/>
  <c r="AD15" i="7"/>
  <c r="AD16" i="7" s="1"/>
  <c r="AD17" i="9" l="1"/>
  <c r="AD23" i="9"/>
  <c r="AD42" i="9" s="1"/>
  <c r="AC25" i="8"/>
  <c r="AN19" i="10"/>
  <c r="AN21" i="10" s="1"/>
  <c r="AN70" i="10"/>
  <c r="AE9" i="7"/>
  <c r="AE13" i="7" s="1"/>
  <c r="AD36" i="7"/>
  <c r="AD18" i="7"/>
  <c r="AD39" i="7" l="1"/>
  <c r="AD38" i="7"/>
  <c r="AD41" i="7" s="1"/>
  <c r="AD14" i="8" s="1"/>
  <c r="AD27" i="9"/>
  <c r="AN75" i="10"/>
  <c r="AN76" i="10" s="1"/>
  <c r="AO74" i="10" s="1"/>
  <c r="AO71" i="10" s="1"/>
  <c r="AN13" i="12"/>
  <c r="AN13" i="11"/>
  <c r="AE35" i="7"/>
  <c r="AE26" i="7"/>
  <c r="AD15" i="8" l="1"/>
  <c r="AD21" i="8"/>
  <c r="AD40" i="8" s="1"/>
  <c r="AO19" i="10"/>
  <c r="AO21" i="10" s="1"/>
  <c r="AO70" i="10"/>
  <c r="AD42" i="7"/>
  <c r="AE16" i="9" s="1"/>
  <c r="AE13" i="8"/>
  <c r="AF15" i="9"/>
  <c r="AE15" i="7"/>
  <c r="AE16" i="7" s="1"/>
  <c r="AE17" i="9" l="1"/>
  <c r="AE23" i="9"/>
  <c r="AE42" i="9" s="1"/>
  <c r="AD25" i="8"/>
  <c r="AO75" i="10"/>
  <c r="AO76" i="10" s="1"/>
  <c r="AP74" i="10" s="1"/>
  <c r="AP71" i="10" s="1"/>
  <c r="AO13" i="11"/>
  <c r="AO13" i="12"/>
  <c r="AE36" i="7"/>
  <c r="AF9" i="7"/>
  <c r="AF13" i="7" s="1"/>
  <c r="AE18" i="7"/>
  <c r="AE39" i="7" l="1"/>
  <c r="AE38" i="7"/>
  <c r="AE41" i="7" s="1"/>
  <c r="AE14" i="8" s="1"/>
  <c r="AE27" i="9"/>
  <c r="AP19" i="10"/>
  <c r="AP21" i="10" s="1"/>
  <c r="AP70" i="10"/>
  <c r="AF35" i="7"/>
  <c r="AF26" i="7"/>
  <c r="AE15" i="8" l="1"/>
  <c r="AE21" i="8"/>
  <c r="AE40" i="8" s="1"/>
  <c r="AP75" i="10"/>
  <c r="AP76" i="10" s="1"/>
  <c r="AQ74" i="10" s="1"/>
  <c r="AQ71" i="10" s="1"/>
  <c r="AP13" i="11"/>
  <c r="AP13" i="12"/>
  <c r="AE42" i="7"/>
  <c r="AF16" i="9" s="1"/>
  <c r="AF13" i="8"/>
  <c r="AG15" i="9"/>
  <c r="AF15" i="7"/>
  <c r="AF16" i="7" s="1"/>
  <c r="AF17" i="9" l="1"/>
  <c r="AF23" i="9"/>
  <c r="AF42" i="9" s="1"/>
  <c r="AE25" i="8"/>
  <c r="AQ19" i="10"/>
  <c r="AQ21" i="10" s="1"/>
  <c r="AQ70" i="10"/>
  <c r="AF36" i="7"/>
  <c r="AG9" i="7"/>
  <c r="AG13" i="7" s="1"/>
  <c r="AF18" i="7"/>
  <c r="AF39" i="7" l="1"/>
  <c r="AF38" i="7"/>
  <c r="AF41" i="7" s="1"/>
  <c r="AF14" i="8" s="1"/>
  <c r="AF27" i="9"/>
  <c r="AQ75" i="10"/>
  <c r="AQ76" i="10" s="1"/>
  <c r="AR74" i="10" s="1"/>
  <c r="AR71" i="10" s="1"/>
  <c r="AQ13" i="12"/>
  <c r="AQ13" i="11"/>
  <c r="AG35" i="7"/>
  <c r="AG26" i="7"/>
  <c r="AF15" i="8" l="1"/>
  <c r="AF21" i="8"/>
  <c r="AF40" i="8" s="1"/>
  <c r="AR19" i="10"/>
  <c r="AR21" i="10" s="1"/>
  <c r="AR70" i="10"/>
  <c r="AF42" i="7"/>
  <c r="AG16" i="9" s="1"/>
  <c r="AH15" i="9"/>
  <c r="AG13" i="8"/>
  <c r="AG15" i="7"/>
  <c r="AG16" i="7" s="1"/>
  <c r="AG17" i="9" l="1"/>
  <c r="AG23" i="9"/>
  <c r="AG42" i="9" s="1"/>
  <c r="AF25" i="8"/>
  <c r="AR75" i="10"/>
  <c r="AR76" i="10" s="1"/>
  <c r="AS74" i="10" s="1"/>
  <c r="AS71" i="10" s="1"/>
  <c r="AR13" i="11"/>
  <c r="AR13" i="12"/>
  <c r="AG36" i="7"/>
  <c r="AH9" i="7"/>
  <c r="AH13" i="7" s="1"/>
  <c r="AG18" i="7"/>
  <c r="AG38" i="7" l="1"/>
  <c r="AG41" i="7" s="1"/>
  <c r="AG14" i="8" s="1"/>
  <c r="AG39" i="7"/>
  <c r="AG27" i="9"/>
  <c r="AS19" i="10"/>
  <c r="AS21" i="10" s="1"/>
  <c r="AS70" i="10"/>
  <c r="AH35" i="7"/>
  <c r="AH26" i="7"/>
  <c r="AG15" i="8" l="1"/>
  <c r="AG21" i="8"/>
  <c r="AG40" i="8" s="1"/>
  <c r="AS13" i="12"/>
  <c r="AS13" i="11"/>
  <c r="AS75" i="10"/>
  <c r="AS76" i="10" s="1"/>
  <c r="AT74" i="10" s="1"/>
  <c r="AT71" i="10" s="1"/>
  <c r="AG42" i="7"/>
  <c r="AH16" i="9" s="1"/>
  <c r="AH13" i="8"/>
  <c r="AI15" i="9"/>
  <c r="AH15" i="7"/>
  <c r="AH16" i="7" s="1"/>
  <c r="AH17" i="9" l="1"/>
  <c r="AH23" i="9"/>
  <c r="AH42" i="9" s="1"/>
  <c r="AG25" i="8"/>
  <c r="AT19" i="10"/>
  <c r="AT21" i="10" s="1"/>
  <c r="AT70" i="10"/>
  <c r="AH36" i="7"/>
  <c r="AI9" i="7"/>
  <c r="AI13" i="7" s="1"/>
  <c r="AH18" i="7"/>
  <c r="AH38" i="7" l="1"/>
  <c r="AH41" i="7" s="1"/>
  <c r="AH14" i="8" s="1"/>
  <c r="AH39" i="7"/>
  <c r="AH27" i="9"/>
  <c r="AT75" i="10"/>
  <c r="AT76" i="10" s="1"/>
  <c r="AU74" i="10" s="1"/>
  <c r="AU71" i="10" s="1"/>
  <c r="AT13" i="12"/>
  <c r="AT13" i="11"/>
  <c r="AI35" i="7"/>
  <c r="AI26" i="7"/>
  <c r="AH15" i="8" l="1"/>
  <c r="AH21" i="8"/>
  <c r="AH40" i="8" s="1"/>
  <c r="AU19" i="10"/>
  <c r="AU21" i="10" s="1"/>
  <c r="AU70" i="10"/>
  <c r="AH42" i="7"/>
  <c r="AI16" i="9" s="1"/>
  <c r="AI13" i="8"/>
  <c r="AJ15" i="9"/>
  <c r="AI15" i="7"/>
  <c r="AI16" i="7" l="1"/>
  <c r="AJ9" i="7" s="1"/>
  <c r="AI17" i="9"/>
  <c r="AI23" i="9"/>
  <c r="AI42" i="9" s="1"/>
  <c r="AH25" i="8"/>
  <c r="AU75" i="10"/>
  <c r="AU76" i="10" s="1"/>
  <c r="AV74" i="10" s="1"/>
  <c r="AV71" i="10" s="1"/>
  <c r="AU13" i="11"/>
  <c r="AU13" i="12"/>
  <c r="AI18" i="7" l="1"/>
  <c r="AJ13" i="7"/>
  <c r="AI36" i="7"/>
  <c r="AI39" i="7" s="1"/>
  <c r="AI27" i="9"/>
  <c r="AV19" i="10"/>
  <c r="AV21" i="10" s="1"/>
  <c r="AV70" i="10"/>
  <c r="AJ35" i="7" l="1"/>
  <c r="AJ26" i="7"/>
  <c r="AI38" i="7"/>
  <c r="AI41" i="7" s="1"/>
  <c r="AI14" i="8" s="1"/>
  <c r="AI15" i="8" s="1"/>
  <c r="AV75" i="10"/>
  <c r="AV76" i="10" s="1"/>
  <c r="AW74" i="10" s="1"/>
  <c r="AW71" i="10" s="1"/>
  <c r="AV13" i="11"/>
  <c r="AV13" i="12"/>
  <c r="AI42" i="7"/>
  <c r="AJ16" i="9" s="1"/>
  <c r="AK26" i="7"/>
  <c r="AJ15" i="7" l="1"/>
  <c r="AJ16" i="7" s="1"/>
  <c r="AJ13" i="8"/>
  <c r="AK15" i="9"/>
  <c r="AI21" i="8"/>
  <c r="AI40" i="8" s="1"/>
  <c r="AJ17" i="9"/>
  <c r="AJ23" i="9"/>
  <c r="AJ42" i="9" s="1"/>
  <c r="AW19" i="10"/>
  <c r="AW21" i="10" s="1"/>
  <c r="AW70" i="10"/>
  <c r="AK15" i="7"/>
  <c r="AL15" i="9"/>
  <c r="AK13" i="8"/>
  <c r="AK9" i="7" l="1"/>
  <c r="AK13" i="7" s="1"/>
  <c r="AK35" i="7" s="1"/>
  <c r="AJ18" i="7"/>
  <c r="AJ36" i="7"/>
  <c r="AI25" i="8"/>
  <c r="AJ27" i="9"/>
  <c r="AW75" i="10"/>
  <c r="AW76" i="10" s="1"/>
  <c r="AX74" i="10" s="1"/>
  <c r="AX71" i="10" s="1"/>
  <c r="AW13" i="11"/>
  <c r="AW13" i="12"/>
  <c r="AL26" i="7"/>
  <c r="AJ38" i="7" l="1"/>
  <c r="AJ41" i="7" s="1"/>
  <c r="AJ14" i="8" s="1"/>
  <c r="AJ39" i="7"/>
  <c r="AK16" i="7"/>
  <c r="AX19" i="10"/>
  <c r="AX21" i="10" s="1"/>
  <c r="AX70" i="10"/>
  <c r="AL15" i="7"/>
  <c r="AL13" i="8"/>
  <c r="AM15" i="9"/>
  <c r="AJ15" i="8" l="1"/>
  <c r="AJ21" i="8"/>
  <c r="AJ40" i="8" s="1"/>
  <c r="AK18" i="7"/>
  <c r="AL9" i="7"/>
  <c r="AL13" i="7" s="1"/>
  <c r="AL35" i="7" s="1"/>
  <c r="AK36" i="7"/>
  <c r="AJ42" i="7"/>
  <c r="AK16" i="9" s="1"/>
  <c r="AX75" i="10"/>
  <c r="AX76" i="10" s="1"/>
  <c r="AX13" i="12"/>
  <c r="AX13" i="11"/>
  <c r="AM26" i="7"/>
  <c r="AL16" i="7" l="1"/>
  <c r="AL18" i="7" s="1"/>
  <c r="AK17" i="9"/>
  <c r="AK23" i="9"/>
  <c r="AK42" i="9" s="1"/>
  <c r="AK38" i="7"/>
  <c r="AK41" i="7" s="1"/>
  <c r="AK14" i="8" s="1"/>
  <c r="AK39" i="7"/>
  <c r="AJ25" i="8"/>
  <c r="AJ50" i="8" s="1"/>
  <c r="AM15" i="7"/>
  <c r="AM13" i="8"/>
  <c r="AN15" i="9"/>
  <c r="AL36" i="7" l="1"/>
  <c r="AL39" i="7" s="1"/>
  <c r="AL42" i="7" s="1"/>
  <c r="AM16" i="9" s="1"/>
  <c r="AM17" i="9" s="1"/>
  <c r="AM9" i="7"/>
  <c r="AM13" i="7" s="1"/>
  <c r="AM35" i="7" s="1"/>
  <c r="AK42" i="7"/>
  <c r="AL16" i="9" s="1"/>
  <c r="AK15" i="8"/>
  <c r="AK21" i="8"/>
  <c r="AK40" i="8" s="1"/>
  <c r="AK27" i="9"/>
  <c r="AK52" i="9" s="1"/>
  <c r="AN26" i="7"/>
  <c r="AL38" i="7" l="1"/>
  <c r="AL41" i="7" s="1"/>
  <c r="AL14" i="8" s="1"/>
  <c r="AL15" i="8" s="1"/>
  <c r="AM23" i="9"/>
  <c r="AM42" i="9" s="1"/>
  <c r="AM16" i="7"/>
  <c r="AM18" i="7" s="1"/>
  <c r="AK25" i="8"/>
  <c r="AK50" i="8" s="1"/>
  <c r="AL17" i="9"/>
  <c r="AL23" i="9"/>
  <c r="AL42" i="9" s="1"/>
  <c r="AN15" i="7"/>
  <c r="AN13" i="8"/>
  <c r="AO15" i="9"/>
  <c r="AL21" i="8" l="1"/>
  <c r="AL40" i="8" s="1"/>
  <c r="AM27" i="9"/>
  <c r="AM52" i="9" s="1"/>
  <c r="AN9" i="7"/>
  <c r="AN13" i="7" s="1"/>
  <c r="AN35" i="7" s="1"/>
  <c r="AM36" i="7"/>
  <c r="AM39" i="7" s="1"/>
  <c r="AL27" i="9"/>
  <c r="AL52" i="9" s="1"/>
  <c r="AO26" i="7"/>
  <c r="AL25" i="8" l="1"/>
  <c r="AL50" i="8" s="1"/>
  <c r="AN16" i="7"/>
  <c r="AN18" i="7" s="1"/>
  <c r="AM42" i="7"/>
  <c r="AN16" i="9" s="1"/>
  <c r="AN17" i="9" s="1"/>
  <c r="AM38" i="7"/>
  <c r="AM41" i="7" s="1"/>
  <c r="AM14" i="8" s="1"/>
  <c r="AM15" i="8" s="1"/>
  <c r="AO15" i="7"/>
  <c r="AP15" i="9"/>
  <c r="AO13" i="8"/>
  <c r="AO9" i="7" l="1"/>
  <c r="AO13" i="7" s="1"/>
  <c r="AO35" i="7" s="1"/>
  <c r="AN36" i="7"/>
  <c r="AN39" i="7" s="1"/>
  <c r="AN42" i="7" s="1"/>
  <c r="AO16" i="9" s="1"/>
  <c r="AO17" i="9" s="1"/>
  <c r="AM21" i="8"/>
  <c r="AM40" i="8" s="1"/>
  <c r="AN23" i="9"/>
  <c r="AN42" i="9" s="1"/>
  <c r="AP26" i="7"/>
  <c r="AN27" i="9" l="1"/>
  <c r="AN52" i="9" s="1"/>
  <c r="AO16" i="7"/>
  <c r="AO18" i="7" s="1"/>
  <c r="AO23" i="9"/>
  <c r="AO42" i="9" s="1"/>
  <c r="AN38" i="7"/>
  <c r="AN41" i="7" s="1"/>
  <c r="AN14" i="8" s="1"/>
  <c r="AN21" i="8" s="1"/>
  <c r="AN40" i="8" s="1"/>
  <c r="AM25" i="8"/>
  <c r="AM50" i="8" s="1"/>
  <c r="AP15" i="7"/>
  <c r="AP13" i="8"/>
  <c r="AQ15" i="9"/>
  <c r="AO36" i="7" l="1"/>
  <c r="AO38" i="7" s="1"/>
  <c r="AO41" i="7" s="1"/>
  <c r="AO14" i="8" s="1"/>
  <c r="AO15" i="8" s="1"/>
  <c r="AO27" i="9"/>
  <c r="AO52" i="9" s="1"/>
  <c r="AP9" i="7"/>
  <c r="AP13" i="7" s="1"/>
  <c r="AP35" i="7" s="1"/>
  <c r="AN15" i="8"/>
  <c r="AN25" i="8" s="1"/>
  <c r="AN50" i="8" s="1"/>
  <c r="AQ26" i="7"/>
  <c r="AO21" i="8" l="1"/>
  <c r="AO40" i="8" s="1"/>
  <c r="AP16" i="7"/>
  <c r="AP36" i="7" s="1"/>
  <c r="AP38" i="7" s="1"/>
  <c r="AP41" i="7" s="1"/>
  <c r="AP14" i="8" s="1"/>
  <c r="AP15" i="8" s="1"/>
  <c r="AO39" i="7"/>
  <c r="AQ15" i="7"/>
  <c r="AQ13" i="8"/>
  <c r="AR15" i="9"/>
  <c r="AP21" i="8" l="1"/>
  <c r="AP40" i="8" s="1"/>
  <c r="AP18" i="7"/>
  <c r="AP39" i="7"/>
  <c r="AP42" i="7" s="1"/>
  <c r="AQ16" i="9" s="1"/>
  <c r="AQ17" i="9" s="1"/>
  <c r="AQ9" i="7"/>
  <c r="AQ13" i="7" s="1"/>
  <c r="AQ35" i="7" s="1"/>
  <c r="AO25" i="8"/>
  <c r="AO50" i="8" s="1"/>
  <c r="AO42" i="7"/>
  <c r="AP16" i="9" s="1"/>
  <c r="AP17" i="9" s="1"/>
  <c r="AR26" i="7"/>
  <c r="AP23" i="9" l="1"/>
  <c r="AP42" i="9" s="1"/>
  <c r="AQ16" i="7"/>
  <c r="AQ36" i="7" s="1"/>
  <c r="AQ39" i="7" s="1"/>
  <c r="AQ42" i="7" s="1"/>
  <c r="AR16" i="9" s="1"/>
  <c r="AP25" i="8"/>
  <c r="AP50" i="8" s="1"/>
  <c r="AQ23" i="9"/>
  <c r="AQ42" i="9" s="1"/>
  <c r="AR15" i="7"/>
  <c r="AR13" i="8"/>
  <c r="AS15" i="9"/>
  <c r="AP27" i="9" l="1"/>
  <c r="AP52" i="9" s="1"/>
  <c r="AQ38" i="7"/>
  <c r="AQ41" i="7" s="1"/>
  <c r="AQ14" i="8" s="1"/>
  <c r="AQ15" i="8" s="1"/>
  <c r="AQ18" i="7"/>
  <c r="AR9" i="7"/>
  <c r="AR13" i="7" s="1"/>
  <c r="AR35" i="7" s="1"/>
  <c r="AQ27" i="9"/>
  <c r="AQ52" i="9" s="1"/>
  <c r="AR17" i="9"/>
  <c r="AR23" i="9"/>
  <c r="AR42" i="9" s="1"/>
  <c r="AS26" i="7"/>
  <c r="AQ21" i="8" l="1"/>
  <c r="AQ40" i="8" s="1"/>
  <c r="AR16" i="7"/>
  <c r="AR36" i="7" s="1"/>
  <c r="AR39" i="7" s="1"/>
  <c r="AR42" i="7" s="1"/>
  <c r="AS16" i="9" s="1"/>
  <c r="AS17" i="9" s="1"/>
  <c r="AR27" i="9"/>
  <c r="AR52" i="9" s="1"/>
  <c r="AS15" i="7"/>
  <c r="AT15" i="9"/>
  <c r="AS13" i="8"/>
  <c r="AQ25" i="8" l="1"/>
  <c r="AQ50" i="8" s="1"/>
  <c r="AS23" i="9"/>
  <c r="AS42" i="9" s="1"/>
  <c r="AR18" i="7"/>
  <c r="AR38" i="7"/>
  <c r="AR41" i="7" s="1"/>
  <c r="AR14" i="8" s="1"/>
  <c r="AR15" i="8" s="1"/>
  <c r="AS9" i="7"/>
  <c r="AS13" i="7" s="1"/>
  <c r="AS35" i="7" s="1"/>
  <c r="AT26" i="7"/>
  <c r="AS27" i="9" l="1"/>
  <c r="AS52" i="9" s="1"/>
  <c r="AR21" i="8"/>
  <c r="AR40" i="8" s="1"/>
  <c r="AS16" i="7"/>
  <c r="AT9" i="7" s="1"/>
  <c r="AT13" i="7" s="1"/>
  <c r="AT35" i="7" s="1"/>
  <c r="AT15" i="7"/>
  <c r="AU15" i="9"/>
  <c r="AT13" i="8"/>
  <c r="AS36" i="7" l="1"/>
  <c r="AS38" i="7" s="1"/>
  <c r="AS41" i="7" s="1"/>
  <c r="AS14" i="8" s="1"/>
  <c r="AS15" i="8" s="1"/>
  <c r="AT16" i="7"/>
  <c r="AT18" i="7" s="1"/>
  <c r="AR25" i="8"/>
  <c r="AR50" i="8" s="1"/>
  <c r="AS18" i="7"/>
  <c r="AU26" i="7"/>
  <c r="AS39" i="7" l="1"/>
  <c r="AS42" i="7" s="1"/>
  <c r="AT16" i="9" s="1"/>
  <c r="AT17" i="9" s="1"/>
  <c r="AS21" i="8"/>
  <c r="AS40" i="8" s="1"/>
  <c r="AU9" i="7"/>
  <c r="AU13" i="7" s="1"/>
  <c r="AU35" i="7" s="1"/>
  <c r="AT36" i="7"/>
  <c r="AT39" i="7" s="1"/>
  <c r="AS25" i="8"/>
  <c r="AS50" i="8" s="1"/>
  <c r="AU15" i="7"/>
  <c r="AV15" i="9"/>
  <c r="AU13" i="8"/>
  <c r="AT23" i="9" l="1"/>
  <c r="AT42" i="9" s="1"/>
  <c r="AT38" i="7"/>
  <c r="AT41" i="7" s="1"/>
  <c r="AT14" i="8" s="1"/>
  <c r="AT21" i="8" s="1"/>
  <c r="AU16" i="7"/>
  <c r="AU18" i="7" s="1"/>
  <c r="AT42" i="7"/>
  <c r="AU16" i="9" s="1"/>
  <c r="AV26" i="7"/>
  <c r="AT27" i="9" l="1"/>
  <c r="AT52" i="9" s="1"/>
  <c r="AT15" i="8"/>
  <c r="AT25" i="8" s="1"/>
  <c r="AT50" i="8" s="1"/>
  <c r="AV9" i="7"/>
  <c r="AV13" i="7" s="1"/>
  <c r="AV35" i="7" s="1"/>
  <c r="AU36" i="7"/>
  <c r="AU39" i="7" s="1"/>
  <c r="AU17" i="9"/>
  <c r="AU23" i="9"/>
  <c r="AU42" i="9" s="1"/>
  <c r="AT40" i="8"/>
  <c r="AV15" i="7"/>
  <c r="AW15" i="9"/>
  <c r="AV13" i="8"/>
  <c r="AV16" i="7" l="1"/>
  <c r="AV18" i="7" s="1"/>
  <c r="AU38" i="7"/>
  <c r="AU41" i="7" s="1"/>
  <c r="AU14" i="8" s="1"/>
  <c r="AU15" i="8" s="1"/>
  <c r="AU42" i="7"/>
  <c r="AV16" i="9" s="1"/>
  <c r="AV17" i="9" s="1"/>
  <c r="AU27" i="9"/>
  <c r="AU52" i="9" s="1"/>
  <c r="AW26" i="7"/>
  <c r="AV36" i="7" l="1"/>
  <c r="AV39" i="7" s="1"/>
  <c r="AW9" i="7"/>
  <c r="AW13" i="7" s="1"/>
  <c r="AW35" i="7" s="1"/>
  <c r="AU21" i="8"/>
  <c r="AU40" i="8" s="1"/>
  <c r="AV23" i="9"/>
  <c r="AV42" i="9" s="1"/>
  <c r="AW15" i="7"/>
  <c r="AX15" i="9"/>
  <c r="AW13" i="8"/>
  <c r="AX26" i="7"/>
  <c r="I28" i="7" l="1"/>
  <c r="C35" i="1" s="1"/>
  <c r="AW16" i="7"/>
  <c r="AX9" i="7" s="1"/>
  <c r="AX13" i="7" s="1"/>
  <c r="AX35" i="7" s="1"/>
  <c r="AU25" i="8"/>
  <c r="AU50" i="8" s="1"/>
  <c r="AV38" i="7"/>
  <c r="AV41" i="7" s="1"/>
  <c r="AV14" i="8" s="1"/>
  <c r="AV15" i="8" s="1"/>
  <c r="AV27" i="9"/>
  <c r="AV52" i="9" s="1"/>
  <c r="AV42" i="7"/>
  <c r="AW16" i="9" s="1"/>
  <c r="AX15" i="7"/>
  <c r="AX13" i="8"/>
  <c r="AY15" i="9"/>
  <c r="AW18" i="7" l="1"/>
  <c r="AW36" i="7"/>
  <c r="AW38" i="7" s="1"/>
  <c r="AW41" i="7" s="1"/>
  <c r="AW14" i="8" s="1"/>
  <c r="AV21" i="8"/>
  <c r="AV40" i="8" s="1"/>
  <c r="AX16" i="7"/>
  <c r="AX36" i="7" s="1"/>
  <c r="AX38" i="7" s="1"/>
  <c r="AX41" i="7" s="1"/>
  <c r="AX14" i="8" s="1"/>
  <c r="AW17" i="9"/>
  <c r="AW23" i="9"/>
  <c r="AW42" i="9" s="1"/>
  <c r="AX18" i="7" l="1"/>
  <c r="AV25" i="8"/>
  <c r="AV50" i="8" s="1"/>
  <c r="AW39" i="7"/>
  <c r="AW42" i="7" s="1"/>
  <c r="AX16" i="9" s="1"/>
  <c r="AX17" i="9" s="1"/>
  <c r="AX39" i="7"/>
  <c r="AX42" i="7" s="1"/>
  <c r="AY16" i="9" s="1"/>
  <c r="AW15" i="8"/>
  <c r="AW21" i="8"/>
  <c r="AW40" i="8" s="1"/>
  <c r="AX15" i="8"/>
  <c r="AX21" i="8"/>
  <c r="AX40" i="8" s="1"/>
  <c r="AW27" i="9"/>
  <c r="AW52" i="9" s="1"/>
  <c r="I41" i="8" l="1"/>
  <c r="I45" i="8" s="1"/>
  <c r="AX23" i="9"/>
  <c r="AX42" i="9" s="1"/>
  <c r="AY17" i="9"/>
  <c r="AY23" i="9"/>
  <c r="AY42" i="9" s="1"/>
  <c r="AW25" i="8"/>
  <c r="AW50" i="8" s="1"/>
  <c r="AX25" i="8"/>
  <c r="AX50" i="8" s="1"/>
  <c r="AX27" i="9" l="1"/>
  <c r="AX52" i="9" s="1"/>
  <c r="J43" i="9"/>
  <c r="J47" i="9" s="1"/>
  <c r="AF48" i="9" s="1"/>
  <c r="AY27" i="9"/>
  <c r="AY52" i="9" s="1"/>
  <c r="AW48" i="9" l="1"/>
  <c r="AE48" i="9"/>
  <c r="AI48" i="9"/>
  <c r="T48" i="9"/>
  <c r="AK48" i="9"/>
  <c r="AV48" i="9"/>
  <c r="AN48" i="9"/>
  <c r="AT48" i="9"/>
  <c r="AB48" i="9"/>
  <c r="O48" i="9"/>
  <c r="AX48" i="9"/>
  <c r="AL48" i="9"/>
  <c r="AH48" i="9"/>
  <c r="X48" i="9"/>
  <c r="V48" i="9"/>
  <c r="AR48" i="9"/>
  <c r="Q48" i="9"/>
  <c r="N48" i="9"/>
  <c r="AQ48" i="9"/>
  <c r="Y48" i="9"/>
  <c r="P48" i="9"/>
  <c r="U48" i="9"/>
  <c r="S48" i="9"/>
  <c r="AO48" i="9"/>
  <c r="AP48" i="9"/>
  <c r="AY48" i="9"/>
  <c r="W48" i="9"/>
  <c r="AD48" i="9"/>
  <c r="AM48" i="9"/>
  <c r="AU48" i="9"/>
  <c r="R48" i="9"/>
  <c r="AA48" i="9"/>
  <c r="AC48" i="9"/>
  <c r="AJ48" i="9"/>
  <c r="AS48" i="9"/>
  <c r="Z48" i="9"/>
  <c r="L48" i="9"/>
  <c r="AG48" i="9"/>
  <c r="M48" i="9"/>
  <c r="M52" i="9" l="1"/>
  <c r="M50" i="8"/>
  <c r="N50" i="8" l="1"/>
  <c r="O52" i="9" l="1"/>
  <c r="O50" i="8" l="1"/>
  <c r="P52" i="9"/>
  <c r="P50" i="8" l="1"/>
  <c r="R50" i="8" l="1"/>
  <c r="R52" i="9"/>
  <c r="S52" i="9" l="1"/>
  <c r="S50" i="8"/>
  <c r="T52" i="9" l="1"/>
  <c r="T50" i="8" l="1"/>
  <c r="U52" i="9"/>
  <c r="U50" i="8" l="1"/>
  <c r="V52" i="9"/>
  <c r="V50" i="8" l="1"/>
  <c r="W52" i="9"/>
  <c r="W50" i="8" l="1"/>
  <c r="X52" i="9"/>
  <c r="X50" i="8" l="1"/>
  <c r="Y50" i="8"/>
  <c r="Y52" i="9"/>
  <c r="Z52" i="9" l="1"/>
  <c r="Z50" i="8" l="1"/>
  <c r="AA52" i="9"/>
  <c r="AA50" i="8"/>
  <c r="AB50" i="8" l="1"/>
  <c r="AC50" i="8"/>
  <c r="AC52" i="9"/>
  <c r="AD50" i="8" l="1"/>
  <c r="AD52" i="9"/>
  <c r="AE52" i="9" l="1"/>
  <c r="AE50" i="8" l="1"/>
  <c r="AF52" i="9"/>
  <c r="AF50" i="8" l="1"/>
  <c r="AG52" i="9"/>
  <c r="AG50" i="8"/>
  <c r="AH52" i="9" l="1"/>
  <c r="AH50" i="8"/>
  <c r="AI52" i="9" l="1"/>
  <c r="AI50" i="8"/>
  <c r="AJ52" i="9" l="1"/>
  <c r="AB52" i="9"/>
  <c r="Q52" i="9"/>
  <c r="N52" i="9"/>
  <c r="Q50" i="8"/>
  <c r="L50" i="8"/>
  <c r="J53" i="9" l="1"/>
  <c r="J57" i="9" s="1"/>
  <c r="H14" i="13"/>
  <c r="I51" i="8"/>
  <c r="I55" i="8" s="1"/>
  <c r="I60" i="8" s="1"/>
  <c r="K61" i="8" s="1"/>
  <c r="H15" i="13" l="1"/>
  <c r="J62" i="9"/>
  <c r="H8" i="13"/>
  <c r="U61" i="8"/>
  <c r="H7" i="13"/>
  <c r="W46" i="8"/>
  <c r="AI46" i="8"/>
  <c r="AU46" i="8"/>
  <c r="L46" i="8"/>
  <c r="X46" i="8"/>
  <c r="AJ46" i="8"/>
  <c r="AV46" i="8"/>
  <c r="Y46" i="8"/>
  <c r="AK46" i="8"/>
  <c r="AW46" i="8"/>
  <c r="AX46" i="8"/>
  <c r="AA46" i="8"/>
  <c r="AC46" i="8"/>
  <c r="M46" i="8"/>
  <c r="AN46" i="8"/>
  <c r="AP46" i="8"/>
  <c r="N46" i="8"/>
  <c r="Q46" i="8"/>
  <c r="S46" i="8"/>
  <c r="AE46" i="8"/>
  <c r="AQ46" i="8"/>
  <c r="AT46" i="8"/>
  <c r="Z46" i="8"/>
  <c r="AM46" i="8"/>
  <c r="AB46" i="8"/>
  <c r="R46" i="8"/>
  <c r="T46" i="8"/>
  <c r="AF46" i="8"/>
  <c r="AR46" i="8"/>
  <c r="AH46" i="8"/>
  <c r="AL46" i="8"/>
  <c r="K46" i="8"/>
  <c r="AO46" i="8"/>
  <c r="U46" i="8"/>
  <c r="AG46" i="8"/>
  <c r="AS46" i="8"/>
  <c r="V46" i="8"/>
  <c r="O46" i="8"/>
  <c r="P46" i="8"/>
  <c r="AD46" i="8"/>
  <c r="AK58" i="9"/>
  <c r="AO58" i="9"/>
  <c r="AE58" i="9"/>
  <c r="AV58" i="9"/>
  <c r="AR58" i="9"/>
  <c r="AB58" i="9"/>
  <c r="AS58" i="9"/>
  <c r="AW58" i="9"/>
  <c r="AD58" i="9"/>
  <c r="AQ58" i="9"/>
  <c r="AJ58" i="9"/>
  <c r="AT58" i="9"/>
  <c r="U58" i="9"/>
  <c r="AC58" i="9"/>
  <c r="N58" i="9"/>
  <c r="V58" i="9"/>
  <c r="T58" i="9"/>
  <c r="P58" i="9"/>
  <c r="Z58" i="9"/>
  <c r="AH58" i="9"/>
  <c r="AF58" i="9"/>
  <c r="AG58" i="9"/>
  <c r="AA58" i="9"/>
  <c r="AL58" i="9"/>
  <c r="AX58" i="9"/>
  <c r="O58" i="9"/>
  <c r="AN58" i="9"/>
  <c r="M58" i="9"/>
  <c r="AU58" i="9"/>
  <c r="Q58" i="9"/>
  <c r="S58" i="9"/>
  <c r="AM58" i="9"/>
  <c r="L58" i="9"/>
  <c r="W58" i="9"/>
  <c r="AP58" i="9"/>
  <c r="AY58" i="9"/>
  <c r="R58" i="9"/>
  <c r="X58" i="9"/>
  <c r="AI58" i="9"/>
  <c r="Y58" i="9"/>
  <c r="AO56" i="8"/>
  <c r="AK56" i="8"/>
  <c r="AR56" i="8"/>
  <c r="V56" i="8"/>
  <c r="AJ56" i="8"/>
  <c r="AP56" i="8"/>
  <c r="AB56" i="8"/>
  <c r="AN56" i="8"/>
  <c r="AD56" i="8"/>
  <c r="AI56" i="8"/>
  <c r="M56" i="8"/>
  <c r="W56" i="8"/>
  <c r="AM56" i="8"/>
  <c r="AQ56" i="8"/>
  <c r="AW56" i="8"/>
  <c r="K56" i="8"/>
  <c r="Z56" i="8"/>
  <c r="AX56" i="8"/>
  <c r="P56" i="8"/>
  <c r="AA56" i="8"/>
  <c r="AS56" i="8"/>
  <c r="Y56" i="8"/>
  <c r="AL56" i="8"/>
  <c r="S56" i="8"/>
  <c r="U56" i="8"/>
  <c r="O56" i="8"/>
  <c r="AE56" i="8"/>
  <c r="AF56" i="8"/>
  <c r="AH56" i="8"/>
  <c r="AV56" i="8"/>
  <c r="X56" i="8"/>
  <c r="R56" i="8"/>
  <c r="AT56" i="8"/>
  <c r="N56" i="8"/>
  <c r="L56" i="8"/>
  <c r="AC56" i="8"/>
  <c r="AU56" i="8"/>
  <c r="T56" i="8"/>
  <c r="AG56" i="8"/>
  <c r="Q56" i="8"/>
  <c r="AD61" i="8" l="1"/>
  <c r="AE61" i="8"/>
  <c r="AE12" i="11" s="1"/>
  <c r="AE14" i="11" s="1"/>
  <c r="AH61" i="8"/>
  <c r="AH12" i="11" s="1"/>
  <c r="AH14" i="11" s="1"/>
  <c r="V61" i="8"/>
  <c r="V12" i="11" s="1"/>
  <c r="V14" i="11" s="1"/>
  <c r="N61" i="8"/>
  <c r="N12" i="11" s="1"/>
  <c r="N14" i="11" s="1"/>
  <c r="M61" i="8"/>
  <c r="M12" i="11" s="1"/>
  <c r="M14" i="11" s="1"/>
  <c r="AW61" i="8"/>
  <c r="AW12" i="11" s="1"/>
  <c r="AW14" i="11" s="1"/>
  <c r="R61" i="8"/>
  <c r="R12" i="11" s="1"/>
  <c r="R14" i="11" s="1"/>
  <c r="AX61" i="8"/>
  <c r="AX12" i="11" s="1"/>
  <c r="AX14" i="11" s="1"/>
  <c r="S61" i="8"/>
  <c r="S12" i="11" s="1"/>
  <c r="S14" i="11" s="1"/>
  <c r="AL61" i="8"/>
  <c r="AL12" i="11" s="1"/>
  <c r="AL14" i="11" s="1"/>
  <c r="W61" i="8"/>
  <c r="W12" i="11" s="1"/>
  <c r="W14" i="11" s="1"/>
  <c r="Z61" i="8"/>
  <c r="Z12" i="11" s="1"/>
  <c r="Z14" i="11" s="1"/>
  <c r="AI61" i="8"/>
  <c r="AI12" i="11" s="1"/>
  <c r="AI14" i="11" s="1"/>
  <c r="AT61" i="8"/>
  <c r="AT12" i="11" s="1"/>
  <c r="AT14" i="11" s="1"/>
  <c r="AK61" i="8"/>
  <c r="AK12" i="11" s="1"/>
  <c r="AK14" i="11" s="1"/>
  <c r="P61" i="8"/>
  <c r="P12" i="11" s="1"/>
  <c r="P14" i="11" s="1"/>
  <c r="Y61" i="8"/>
  <c r="Y12" i="11" s="1"/>
  <c r="Y14" i="11" s="1"/>
  <c r="O61" i="8"/>
  <c r="O12" i="11" s="1"/>
  <c r="O14" i="11" s="1"/>
  <c r="AJ61" i="8"/>
  <c r="AJ12" i="11" s="1"/>
  <c r="AJ14" i="11" s="1"/>
  <c r="X61" i="8"/>
  <c r="X12" i="11" s="1"/>
  <c r="X14" i="11" s="1"/>
  <c r="AQ61" i="8"/>
  <c r="AQ12" i="11" s="1"/>
  <c r="AQ14" i="11" s="1"/>
  <c r="AB61" i="8"/>
  <c r="AB12" i="11" s="1"/>
  <c r="AB14" i="11" s="1"/>
  <c r="L61" i="8"/>
  <c r="L12" i="11" s="1"/>
  <c r="L14" i="11" s="1"/>
  <c r="AC61" i="8"/>
  <c r="AC12" i="11" s="1"/>
  <c r="AC14" i="11" s="1"/>
  <c r="Q61" i="8"/>
  <c r="Q12" i="11" s="1"/>
  <c r="Q14" i="11" s="1"/>
  <c r="AV61" i="8"/>
  <c r="AV12" i="11" s="1"/>
  <c r="AV14" i="11" s="1"/>
  <c r="AA61" i="8"/>
  <c r="AA12" i="11" s="1"/>
  <c r="AA14" i="11" s="1"/>
  <c r="T61" i="8"/>
  <c r="T12" i="11" s="1"/>
  <c r="T14" i="11" s="1"/>
  <c r="K12" i="11"/>
  <c r="K14" i="11" s="1"/>
  <c r="AO61" i="8"/>
  <c r="AO12" i="11" s="1"/>
  <c r="AO14" i="11" s="1"/>
  <c r="AP61" i="8"/>
  <c r="AP12" i="11" s="1"/>
  <c r="AP14" i="11" s="1"/>
  <c r="AN61" i="8"/>
  <c r="AN12" i="11" s="1"/>
  <c r="AN14" i="11" s="1"/>
  <c r="AM61" i="8"/>
  <c r="AM12" i="11" s="1"/>
  <c r="AM14" i="11" s="1"/>
  <c r="AS61" i="8"/>
  <c r="AS12" i="11" s="1"/>
  <c r="AS14" i="11" s="1"/>
  <c r="AG61" i="8"/>
  <c r="AG12" i="11" s="1"/>
  <c r="AG14" i="11" s="1"/>
  <c r="AU61" i="8"/>
  <c r="AU12" i="11" s="1"/>
  <c r="AU14" i="11" s="1"/>
  <c r="AR61" i="8"/>
  <c r="AR12" i="11" s="1"/>
  <c r="AR14" i="11" s="1"/>
  <c r="AF61" i="8"/>
  <c r="AF12" i="11" s="1"/>
  <c r="AF14" i="11" s="1"/>
  <c r="AD12" i="11"/>
  <c r="AD14" i="11" s="1"/>
  <c r="M63" i="9"/>
  <c r="L12" i="12" s="1"/>
  <c r="L14" i="12" s="1"/>
  <c r="AN63" i="9"/>
  <c r="AM12" i="12" s="1"/>
  <c r="AM14" i="12" s="1"/>
  <c r="AR63" i="9"/>
  <c r="AQ12" i="12" s="1"/>
  <c r="AQ14" i="12" s="1"/>
  <c r="AP63" i="9"/>
  <c r="AO12" i="12" s="1"/>
  <c r="AO14" i="12" s="1"/>
  <c r="Y63" i="9"/>
  <c r="X12" i="12" s="1"/>
  <c r="X14" i="12" s="1"/>
  <c r="L63" i="9"/>
  <c r="K12" i="12" s="1"/>
  <c r="K14" i="12" s="1"/>
  <c r="AG63" i="9"/>
  <c r="AF12" i="12" s="1"/>
  <c r="AF14" i="12" s="1"/>
  <c r="AD63" i="9"/>
  <c r="AC12" i="12" s="1"/>
  <c r="AC14" i="12" s="1"/>
  <c r="U63" i="9"/>
  <c r="T12" i="12" s="1"/>
  <c r="T14" i="12" s="1"/>
  <c r="AK63" i="9"/>
  <c r="AJ12" i="12" s="1"/>
  <c r="AJ14" i="12" s="1"/>
  <c r="AC63" i="9"/>
  <c r="AB12" i="12" s="1"/>
  <c r="AB14" i="12" s="1"/>
  <c r="N63" i="9"/>
  <c r="M12" i="12" s="1"/>
  <c r="M14" i="12" s="1"/>
  <c r="AL63" i="9"/>
  <c r="AK12" i="12" s="1"/>
  <c r="AK14" i="12" s="1"/>
  <c r="AK19" i="12" s="1"/>
  <c r="V63" i="9"/>
  <c r="U12" i="12" s="1"/>
  <c r="U14" i="12" s="1"/>
  <c r="AW63" i="9"/>
  <c r="AV12" i="12" s="1"/>
  <c r="AV14" i="12" s="1"/>
  <c r="AV19" i="12" s="1"/>
  <c r="AO63" i="9"/>
  <c r="AN12" i="12" s="1"/>
  <c r="AN14" i="12" s="1"/>
  <c r="O63" i="9"/>
  <c r="N12" i="12" s="1"/>
  <c r="N14" i="12" s="1"/>
  <c r="AS63" i="9"/>
  <c r="AR12" i="12" s="1"/>
  <c r="AR14" i="12" s="1"/>
  <c r="AF63" i="9"/>
  <c r="AE12" i="12" s="1"/>
  <c r="AE14" i="12" s="1"/>
  <c r="AH63" i="9"/>
  <c r="AG12" i="12" s="1"/>
  <c r="AG14" i="12" s="1"/>
  <c r="Z63" i="9"/>
  <c r="Y12" i="12" s="1"/>
  <c r="Y14" i="12" s="1"/>
  <c r="R63" i="9"/>
  <c r="Q12" i="12" s="1"/>
  <c r="Q14" i="12" s="1"/>
  <c r="Q63" i="9"/>
  <c r="P12" i="12" s="1"/>
  <c r="P14" i="12" s="1"/>
  <c r="AX63" i="9"/>
  <c r="AW12" i="12" s="1"/>
  <c r="AW14" i="12" s="1"/>
  <c r="AW19" i="12" s="1"/>
  <c r="AT63" i="9"/>
  <c r="AS12" i="12" s="1"/>
  <c r="AS14" i="12" s="1"/>
  <c r="AS19" i="12" s="1"/>
  <c r="AV63" i="9"/>
  <c r="AU12" i="12" s="1"/>
  <c r="AU14" i="12" s="1"/>
  <c r="W63" i="9"/>
  <c r="V12" i="12" s="1"/>
  <c r="V14" i="12" s="1"/>
  <c r="AI63" i="9"/>
  <c r="AH12" i="12" s="1"/>
  <c r="AH14" i="12" s="1"/>
  <c r="AA63" i="9"/>
  <c r="Z12" i="12" s="1"/>
  <c r="Z14" i="12" s="1"/>
  <c r="S63" i="9"/>
  <c r="R12" i="12" s="1"/>
  <c r="R14" i="12" s="1"/>
  <c r="R19" i="12" s="1"/>
  <c r="AB63" i="9"/>
  <c r="AA12" i="12" s="1"/>
  <c r="AA14" i="12" s="1"/>
  <c r="AU63" i="9"/>
  <c r="AT12" i="12" s="1"/>
  <c r="AT14" i="12" s="1"/>
  <c r="AM63" i="9"/>
  <c r="AL12" i="12" s="1"/>
  <c r="AL14" i="12" s="1"/>
  <c r="AE63" i="9"/>
  <c r="AD12" i="12" s="1"/>
  <c r="AD14" i="12" s="1"/>
  <c r="P63" i="9"/>
  <c r="O12" i="12" s="1"/>
  <c r="O14" i="12" s="1"/>
  <c r="T63" i="9"/>
  <c r="S12" i="12" s="1"/>
  <c r="S14" i="12" s="1"/>
  <c r="X63" i="9"/>
  <c r="W12" i="12" s="1"/>
  <c r="W14" i="12" s="1"/>
  <c r="AY63" i="9"/>
  <c r="AX12" i="12" s="1"/>
  <c r="AX14" i="12" s="1"/>
  <c r="AQ63" i="9"/>
  <c r="AP12" i="12" s="1"/>
  <c r="AP14" i="12" s="1"/>
  <c r="AP19" i="12" s="1"/>
  <c r="AJ63" i="9"/>
  <c r="AI12" i="12" s="1"/>
  <c r="AI14" i="12" s="1"/>
  <c r="Z19" i="11"/>
  <c r="U12" i="11"/>
  <c r="U14" i="11" s="1"/>
  <c r="K20" i="11" l="1"/>
  <c r="K25" i="11" s="1"/>
  <c r="L19" i="11"/>
  <c r="W19" i="11"/>
  <c r="AL19" i="11"/>
  <c r="AU19" i="11"/>
  <c r="P19" i="11"/>
  <c r="AN19" i="11"/>
  <c r="X19" i="11"/>
  <c r="AX19" i="11"/>
  <c r="T19" i="11"/>
  <c r="AB19" i="11"/>
  <c r="AM19" i="11"/>
  <c r="AQ19" i="11"/>
  <c r="AD19" i="11"/>
  <c r="AP19" i="11"/>
  <c r="AJ19" i="11"/>
  <c r="R19" i="11"/>
  <c r="AW19" i="11"/>
  <c r="AO19" i="11"/>
  <c r="O19" i="11"/>
  <c r="AR19" i="11"/>
  <c r="Y19" i="11"/>
  <c r="M19" i="11"/>
  <c r="N19" i="11"/>
  <c r="V19" i="11"/>
  <c r="AF19" i="11"/>
  <c r="AG19" i="11"/>
  <c r="AA19" i="11"/>
  <c r="AK19" i="11"/>
  <c r="AS19" i="11"/>
  <c r="AV19" i="11"/>
  <c r="AT19" i="11"/>
  <c r="AH19" i="11"/>
  <c r="AE19" i="11"/>
  <c r="Q19" i="11"/>
  <c r="AC19" i="11"/>
  <c r="AI19" i="11"/>
  <c r="K19" i="11"/>
  <c r="AM19" i="12"/>
  <c r="AU19" i="12"/>
  <c r="M19" i="12"/>
  <c r="AJ19" i="12"/>
  <c r="AD19" i="12"/>
  <c r="AX19" i="12"/>
  <c r="L19" i="12"/>
  <c r="AH19" i="12"/>
  <c r="U19" i="12"/>
  <c r="AB19" i="12"/>
  <c r="Q19" i="12"/>
  <c r="AC19" i="12"/>
  <c r="AN19" i="12"/>
  <c r="V19" i="12"/>
  <c r="AQ19" i="12"/>
  <c r="P19" i="12"/>
  <c r="AI19" i="12"/>
  <c r="AT19" i="12"/>
  <c r="Z19" i="12"/>
  <c r="AG19" i="12"/>
  <c r="AO19" i="12"/>
  <c r="T19" i="12"/>
  <c r="N19" i="12"/>
  <c r="S19" i="12"/>
  <c r="O19" i="12"/>
  <c r="AL19" i="12"/>
  <c r="AR19" i="12"/>
  <c r="W19" i="12"/>
  <c r="AA19" i="12"/>
  <c r="AE19" i="12"/>
  <c r="AF19" i="12"/>
  <c r="Y19" i="12"/>
  <c r="K20" i="12"/>
  <c r="K25" i="12" s="1"/>
  <c r="K27" i="12" s="1"/>
  <c r="K31" i="12" s="1"/>
  <c r="K19" i="12"/>
  <c r="X19" i="12"/>
  <c r="S19" i="11"/>
  <c r="U19" i="11"/>
  <c r="K21" i="11" l="1"/>
  <c r="L18" i="11" s="1"/>
  <c r="L20" i="11" s="1"/>
  <c r="L25" i="11" s="1"/>
  <c r="L27" i="11" s="1"/>
  <c r="L31" i="11" s="1"/>
  <c r="L35" i="11" s="1"/>
  <c r="K27" i="11"/>
  <c r="K31" i="11" s="1"/>
  <c r="K35" i="12"/>
  <c r="K38" i="12" s="1"/>
  <c r="K21" i="12"/>
  <c r="L18" i="12" s="1"/>
  <c r="L21" i="11" l="1"/>
  <c r="M18" i="11" s="1"/>
  <c r="M20" i="11" s="1"/>
  <c r="K35" i="11"/>
  <c r="K38" i="11" s="1"/>
  <c r="L38" i="11"/>
  <c r="L20" i="12"/>
  <c r="L25" i="12" s="1"/>
  <c r="L27" i="12" s="1"/>
  <c r="L31" i="12" s="1"/>
  <c r="L35" i="12" l="1"/>
  <c r="L38" i="12" s="1"/>
  <c r="M25" i="11"/>
  <c r="M27" i="11" s="1"/>
  <c r="M31" i="11" s="1"/>
  <c r="M35" i="11" s="1"/>
  <c r="L21" i="12"/>
  <c r="M18" i="12" s="1"/>
  <c r="M20" i="12" s="1"/>
  <c r="M25" i="12" s="1"/>
  <c r="M27" i="12" s="1"/>
  <c r="M31" i="12" s="1"/>
  <c r="M21" i="11"/>
  <c r="N18" i="11" s="1"/>
  <c r="M35" i="12" l="1"/>
  <c r="M38" i="12" s="1"/>
  <c r="M38" i="11"/>
  <c r="M21" i="12"/>
  <c r="N18" i="12" s="1"/>
  <c r="N20" i="12" s="1"/>
  <c r="N25" i="12" s="1"/>
  <c r="N27" i="12" s="1"/>
  <c r="N31" i="12" s="1"/>
  <c r="N20" i="11"/>
  <c r="N35" i="12" l="1"/>
  <c r="N38" i="12" s="1"/>
  <c r="N25" i="11"/>
  <c r="N27" i="11" s="1"/>
  <c r="N31" i="11" s="1"/>
  <c r="N35" i="11" s="1"/>
  <c r="N21" i="12"/>
  <c r="O18" i="12" s="1"/>
  <c r="O20" i="12" s="1"/>
  <c r="O25" i="12" s="1"/>
  <c r="O27" i="12" s="1"/>
  <c r="O31" i="12" s="1"/>
  <c r="N21" i="11"/>
  <c r="O18" i="11" s="1"/>
  <c r="O35" i="12" l="1"/>
  <c r="O38" i="12" s="1"/>
  <c r="N38" i="11"/>
  <c r="O21" i="12"/>
  <c r="P18" i="12" s="1"/>
  <c r="P20" i="12" s="1"/>
  <c r="P25" i="12" s="1"/>
  <c r="P27" i="12" s="1"/>
  <c r="P31" i="12" s="1"/>
  <c r="O20" i="11"/>
  <c r="P35" i="12" l="1"/>
  <c r="P38" i="12" s="1"/>
  <c r="O25" i="11"/>
  <c r="O27" i="11" s="1"/>
  <c r="O31" i="11" s="1"/>
  <c r="O35" i="11" s="1"/>
  <c r="P21" i="12"/>
  <c r="Q18" i="12" s="1"/>
  <c r="Q20" i="12" s="1"/>
  <c r="Q25" i="12" s="1"/>
  <c r="Q27" i="12" s="1"/>
  <c r="Q31" i="12" s="1"/>
  <c r="O21" i="11"/>
  <c r="P18" i="11" s="1"/>
  <c r="Q35" i="12" l="1"/>
  <c r="Q38" i="12" s="1"/>
  <c r="O38" i="11"/>
  <c r="Q21" i="12"/>
  <c r="R18" i="12" s="1"/>
  <c r="P20" i="11"/>
  <c r="P25" i="11" l="1"/>
  <c r="P27" i="11" s="1"/>
  <c r="P31" i="11" s="1"/>
  <c r="P35" i="11" s="1"/>
  <c r="R20" i="12"/>
  <c r="R25" i="12" s="1"/>
  <c r="R27" i="12" s="1"/>
  <c r="R31" i="12" s="1"/>
  <c r="P21" i="11"/>
  <c r="Q18" i="11" s="1"/>
  <c r="R35" i="12" l="1"/>
  <c r="R38" i="12" s="1"/>
  <c r="P38" i="11"/>
  <c r="R21" i="12"/>
  <c r="S18" i="12" s="1"/>
  <c r="S20" i="12" s="1"/>
  <c r="S25" i="12" s="1"/>
  <c r="S27" i="12" s="1"/>
  <c r="S31" i="12" s="1"/>
  <c r="Q20" i="11"/>
  <c r="S35" i="12" l="1"/>
  <c r="S38" i="12" s="1"/>
  <c r="Q25" i="11"/>
  <c r="Q27" i="11" s="1"/>
  <c r="Q31" i="11" s="1"/>
  <c r="Q35" i="11" s="1"/>
  <c r="S21" i="12"/>
  <c r="T18" i="12" s="1"/>
  <c r="T20" i="12" s="1"/>
  <c r="T25" i="12" s="1"/>
  <c r="T27" i="12" s="1"/>
  <c r="T31" i="12" s="1"/>
  <c r="Q21" i="11"/>
  <c r="R18" i="11" s="1"/>
  <c r="T35" i="12" l="1"/>
  <c r="T38" i="12" s="1"/>
  <c r="Q38" i="11"/>
  <c r="T21" i="12"/>
  <c r="U18" i="12" s="1"/>
  <c r="U20" i="12" s="1"/>
  <c r="U25" i="12" s="1"/>
  <c r="U27" i="12" s="1"/>
  <c r="U31" i="12" s="1"/>
  <c r="R20" i="11"/>
  <c r="U35" i="12" l="1"/>
  <c r="U38" i="12" s="1"/>
  <c r="R25" i="11"/>
  <c r="R27" i="11" s="1"/>
  <c r="R31" i="11" s="1"/>
  <c r="R35" i="11" s="1"/>
  <c r="U21" i="12"/>
  <c r="V18" i="12" s="1"/>
  <c r="R21" i="11"/>
  <c r="S18" i="11" s="1"/>
  <c r="R38" i="11" l="1"/>
  <c r="V20" i="12"/>
  <c r="V25" i="12" s="1"/>
  <c r="V27" i="12" s="1"/>
  <c r="V31" i="12" s="1"/>
  <c r="S20" i="11"/>
  <c r="V35" i="12" l="1"/>
  <c r="V38" i="12" s="1"/>
  <c r="S25" i="11"/>
  <c r="S27" i="11" s="1"/>
  <c r="S31" i="11" s="1"/>
  <c r="S35" i="11" s="1"/>
  <c r="V21" i="12"/>
  <c r="W18" i="12" s="1"/>
  <c r="W20" i="12" s="1"/>
  <c r="W25" i="12" s="1"/>
  <c r="W27" i="12" s="1"/>
  <c r="W31" i="12" s="1"/>
  <c r="S21" i="11"/>
  <c r="T18" i="11" s="1"/>
  <c r="W35" i="12" l="1"/>
  <c r="W38" i="12" s="1"/>
  <c r="S38" i="11"/>
  <c r="W21" i="12"/>
  <c r="X18" i="12" s="1"/>
  <c r="X20" i="12" s="1"/>
  <c r="T20" i="11"/>
  <c r="T25" i="11" l="1"/>
  <c r="T27" i="11" s="1"/>
  <c r="T31" i="11" s="1"/>
  <c r="T35" i="11" s="1"/>
  <c r="X25" i="12"/>
  <c r="X27" i="12" s="1"/>
  <c r="X31" i="12" s="1"/>
  <c r="X21" i="12"/>
  <c r="Y18" i="12" s="1"/>
  <c r="Y20" i="12" s="1"/>
  <c r="Y25" i="12" s="1"/>
  <c r="Y27" i="12" s="1"/>
  <c r="Y31" i="12" s="1"/>
  <c r="T21" i="11"/>
  <c r="U18" i="11" s="1"/>
  <c r="Y35" i="12" l="1"/>
  <c r="Y38" i="12" s="1"/>
  <c r="X35" i="12"/>
  <c r="X38" i="12" s="1"/>
  <c r="T38" i="11"/>
  <c r="Y21" i="12"/>
  <c r="Z18" i="12" s="1"/>
  <c r="Z20" i="12" s="1"/>
  <c r="Z25" i="12" s="1"/>
  <c r="Z27" i="12" s="1"/>
  <c r="Z31" i="12" s="1"/>
  <c r="U20" i="11"/>
  <c r="Z35" i="12" l="1"/>
  <c r="Z38" i="12" s="1"/>
  <c r="U25" i="11"/>
  <c r="U27" i="11" s="1"/>
  <c r="U31" i="11" s="1"/>
  <c r="U35" i="11" s="1"/>
  <c r="Z21" i="12"/>
  <c r="AA18" i="12" s="1"/>
  <c r="AA20" i="12" s="1"/>
  <c r="AA25" i="12" s="1"/>
  <c r="AA27" i="12" s="1"/>
  <c r="AA31" i="12" s="1"/>
  <c r="U21" i="11"/>
  <c r="V18" i="11" s="1"/>
  <c r="AA35" i="12" l="1"/>
  <c r="AA38" i="12" s="1"/>
  <c r="U38" i="11"/>
  <c r="AA21" i="12"/>
  <c r="AB18" i="12" s="1"/>
  <c r="V20" i="11"/>
  <c r="V25" i="11" l="1"/>
  <c r="V27" i="11" s="1"/>
  <c r="V31" i="11" s="1"/>
  <c r="V35" i="11" s="1"/>
  <c r="AB20" i="12"/>
  <c r="AB25" i="12" s="1"/>
  <c r="AB27" i="12" s="1"/>
  <c r="AB31" i="12" s="1"/>
  <c r="V21" i="11"/>
  <c r="W18" i="11" s="1"/>
  <c r="AB35" i="12" l="1"/>
  <c r="AB38" i="12" s="1"/>
  <c r="V38" i="11"/>
  <c r="AB21" i="12"/>
  <c r="AC18" i="12" s="1"/>
  <c r="W20" i="11"/>
  <c r="W25" i="11" l="1"/>
  <c r="W27" i="11" s="1"/>
  <c r="W31" i="11" s="1"/>
  <c r="W35" i="11" s="1"/>
  <c r="AC20" i="12"/>
  <c r="AC25" i="12" s="1"/>
  <c r="AC27" i="12" s="1"/>
  <c r="AC31" i="12" s="1"/>
  <c r="W21" i="11"/>
  <c r="X18" i="11" s="1"/>
  <c r="AC35" i="12" l="1"/>
  <c r="AC38" i="12" s="1"/>
  <c r="W38" i="11"/>
  <c r="AC21" i="12"/>
  <c r="AD18" i="12" s="1"/>
  <c r="X20" i="11"/>
  <c r="X25" i="11" l="1"/>
  <c r="X27" i="11" s="1"/>
  <c r="X31" i="11" s="1"/>
  <c r="X35" i="11" s="1"/>
  <c r="AD20" i="12"/>
  <c r="AD25" i="12" s="1"/>
  <c r="AD27" i="12" s="1"/>
  <c r="AD31" i="12" s="1"/>
  <c r="X21" i="11"/>
  <c r="Y18" i="11" s="1"/>
  <c r="AD35" i="12" l="1"/>
  <c r="AD38" i="12" s="1"/>
  <c r="X38" i="11"/>
  <c r="AD21" i="12"/>
  <c r="AE18" i="12" s="1"/>
  <c r="Y20" i="11"/>
  <c r="Y25" i="11" l="1"/>
  <c r="Y27" i="11" s="1"/>
  <c r="Y31" i="11" s="1"/>
  <c r="Y35" i="11" s="1"/>
  <c r="AE20" i="12"/>
  <c r="AE25" i="12" s="1"/>
  <c r="AE27" i="12" s="1"/>
  <c r="AE31" i="12" s="1"/>
  <c r="Y21" i="11"/>
  <c r="Z18" i="11" s="1"/>
  <c r="AE35" i="12" l="1"/>
  <c r="AE38" i="12" s="1"/>
  <c r="Y38" i="11"/>
  <c r="AE21" i="12"/>
  <c r="AF18" i="12" s="1"/>
  <c r="Z20" i="11"/>
  <c r="Z25" i="11" l="1"/>
  <c r="Z27" i="11" s="1"/>
  <c r="Z31" i="11" s="1"/>
  <c r="Z35" i="11" s="1"/>
  <c r="AF20" i="12"/>
  <c r="AF25" i="12" s="1"/>
  <c r="AF27" i="12" s="1"/>
  <c r="AF31" i="12" s="1"/>
  <c r="Z21" i="11"/>
  <c r="AA18" i="11" s="1"/>
  <c r="AF35" i="12" l="1"/>
  <c r="AF38" i="12" s="1"/>
  <c r="Z38" i="11"/>
  <c r="AF21" i="12"/>
  <c r="AG18" i="12" s="1"/>
  <c r="AA20" i="11"/>
  <c r="AA25" i="11" l="1"/>
  <c r="AA27" i="11" s="1"/>
  <c r="AA31" i="11" s="1"/>
  <c r="AA35" i="11" s="1"/>
  <c r="AG20" i="12"/>
  <c r="AG25" i="12" s="1"/>
  <c r="AG27" i="12" s="1"/>
  <c r="AG31" i="12" s="1"/>
  <c r="AA21" i="11"/>
  <c r="AB18" i="11" s="1"/>
  <c r="AG35" i="12" l="1"/>
  <c r="AG38" i="12" s="1"/>
  <c r="AA38" i="11"/>
  <c r="AG21" i="12"/>
  <c r="AH18" i="12" s="1"/>
  <c r="AB20" i="11"/>
  <c r="AB25" i="11" l="1"/>
  <c r="AB27" i="11" s="1"/>
  <c r="AB31" i="11" s="1"/>
  <c r="AB35" i="11" s="1"/>
  <c r="AH20" i="12"/>
  <c r="AH25" i="12" s="1"/>
  <c r="AH27" i="12" s="1"/>
  <c r="AH31" i="12" s="1"/>
  <c r="AB21" i="11"/>
  <c r="AC18" i="11" s="1"/>
  <c r="AH35" i="12" l="1"/>
  <c r="AH38" i="12" s="1"/>
  <c r="AB38" i="11"/>
  <c r="AH21" i="12"/>
  <c r="AI18" i="12" s="1"/>
  <c r="AC20" i="11"/>
  <c r="AC25" i="11" l="1"/>
  <c r="AC27" i="11" s="1"/>
  <c r="AC31" i="11" s="1"/>
  <c r="AC35" i="11" s="1"/>
  <c r="AI20" i="12"/>
  <c r="AI25" i="12" s="1"/>
  <c r="AI27" i="12" s="1"/>
  <c r="AI31" i="12" s="1"/>
  <c r="AC21" i="11"/>
  <c r="AD18" i="11" s="1"/>
  <c r="AI35" i="12" l="1"/>
  <c r="AI38" i="12" s="1"/>
  <c r="AC38" i="11"/>
  <c r="AI21" i="12"/>
  <c r="AJ18" i="12" s="1"/>
  <c r="AJ20" i="12" s="1"/>
  <c r="AJ25" i="12" s="1"/>
  <c r="AJ27" i="12" s="1"/>
  <c r="AJ31" i="12" s="1"/>
  <c r="AD20" i="11"/>
  <c r="AJ35" i="12" l="1"/>
  <c r="AJ38" i="12" s="1"/>
  <c r="AD25" i="11"/>
  <c r="AD27" i="11" s="1"/>
  <c r="AD31" i="11" s="1"/>
  <c r="AD35" i="11" s="1"/>
  <c r="AJ21" i="12"/>
  <c r="AK18" i="12" s="1"/>
  <c r="AK20" i="12" s="1"/>
  <c r="AK25" i="12" s="1"/>
  <c r="AK27" i="12" s="1"/>
  <c r="AK31" i="12" s="1"/>
  <c r="AD21" i="11"/>
  <c r="AE18" i="11" s="1"/>
  <c r="AK35" i="12" l="1"/>
  <c r="AK38" i="12" s="1"/>
  <c r="AD38" i="11"/>
  <c r="AK21" i="12"/>
  <c r="AL18" i="12" s="1"/>
  <c r="AL20" i="12" s="1"/>
  <c r="AL25" i="12" s="1"/>
  <c r="AL27" i="12" s="1"/>
  <c r="AL31" i="12" s="1"/>
  <c r="AE20" i="11"/>
  <c r="AL35" i="12" l="1"/>
  <c r="AL38" i="12" s="1"/>
  <c r="AE25" i="11"/>
  <c r="AE27" i="11" s="1"/>
  <c r="AE31" i="11" s="1"/>
  <c r="AE35" i="11" s="1"/>
  <c r="AL21" i="12"/>
  <c r="AM18" i="12" s="1"/>
  <c r="AM20" i="12" s="1"/>
  <c r="AM25" i="12" s="1"/>
  <c r="AM27" i="12" s="1"/>
  <c r="AM31" i="12" s="1"/>
  <c r="AE21" i="11"/>
  <c r="AF18" i="11" s="1"/>
  <c r="AM35" i="12" l="1"/>
  <c r="AM38" i="12" s="1"/>
  <c r="AE38" i="11"/>
  <c r="AM21" i="12"/>
  <c r="AN18" i="12" s="1"/>
  <c r="AF20" i="11"/>
  <c r="AF25" i="11" l="1"/>
  <c r="AF27" i="11" s="1"/>
  <c r="AF31" i="11" s="1"/>
  <c r="AF35" i="11" s="1"/>
  <c r="AN20" i="12"/>
  <c r="AN25" i="12" s="1"/>
  <c r="AN27" i="12" s="1"/>
  <c r="AN31" i="12" s="1"/>
  <c r="AF21" i="11"/>
  <c r="AG18" i="11" s="1"/>
  <c r="AN35" i="12" l="1"/>
  <c r="AN38" i="12" s="1"/>
  <c r="AF38" i="11"/>
  <c r="AN21" i="12"/>
  <c r="AO18" i="12" s="1"/>
  <c r="AG20" i="11"/>
  <c r="AG25" i="11" l="1"/>
  <c r="AG27" i="11" s="1"/>
  <c r="AG31" i="11" s="1"/>
  <c r="AG35" i="11" s="1"/>
  <c r="AO20" i="12"/>
  <c r="AO25" i="12" s="1"/>
  <c r="AO27" i="12" s="1"/>
  <c r="AO31" i="12" s="1"/>
  <c r="AG21" i="11"/>
  <c r="AH18" i="11" s="1"/>
  <c r="AO35" i="12" l="1"/>
  <c r="AO38" i="12" s="1"/>
  <c r="AG38" i="11"/>
  <c r="AO21" i="12"/>
  <c r="AP18" i="12" s="1"/>
  <c r="AH20" i="11"/>
  <c r="AH25" i="11" l="1"/>
  <c r="AH27" i="11" s="1"/>
  <c r="AH31" i="11" s="1"/>
  <c r="AH35" i="11" s="1"/>
  <c r="AP20" i="12"/>
  <c r="AP25" i="12" s="1"/>
  <c r="AP27" i="12" s="1"/>
  <c r="AP31" i="12" s="1"/>
  <c r="AH21" i="11"/>
  <c r="AI18" i="11" s="1"/>
  <c r="AP35" i="12" l="1"/>
  <c r="AP38" i="12" s="1"/>
  <c r="AH38" i="11"/>
  <c r="AI20" i="11"/>
  <c r="AP21" i="12"/>
  <c r="AQ18" i="12" s="1"/>
  <c r="AQ20" i="12" s="1"/>
  <c r="AQ25" i="12" s="1"/>
  <c r="AQ27" i="12" s="1"/>
  <c r="AQ31" i="12" s="1"/>
  <c r="AQ35" i="12" l="1"/>
  <c r="AQ38" i="12" s="1"/>
  <c r="AI25" i="11"/>
  <c r="AI27" i="11" s="1"/>
  <c r="AI31" i="11" s="1"/>
  <c r="AI35" i="11" s="1"/>
  <c r="AI21" i="11"/>
  <c r="AJ18" i="11" s="1"/>
  <c r="AJ20" i="11" s="1"/>
  <c r="AQ21" i="12"/>
  <c r="AR18" i="12" s="1"/>
  <c r="AI38" i="11" l="1"/>
  <c r="AJ25" i="11"/>
  <c r="AJ27" i="11" s="1"/>
  <c r="AJ31" i="11" s="1"/>
  <c r="AJ21" i="11"/>
  <c r="AK18" i="11" s="1"/>
  <c r="AK20" i="11" s="1"/>
  <c r="AR20" i="12"/>
  <c r="AR25" i="12" s="1"/>
  <c r="AR27" i="12" s="1"/>
  <c r="AR31" i="12" s="1"/>
  <c r="AJ35" i="11" l="1"/>
  <c r="AJ38" i="11" s="1"/>
  <c r="AR35" i="12"/>
  <c r="AR38" i="12" s="1"/>
  <c r="AK25" i="11"/>
  <c r="AK27" i="11" s="1"/>
  <c r="AK31" i="11" s="1"/>
  <c r="AK35" i="11" s="1"/>
  <c r="AR21" i="12"/>
  <c r="AS18" i="12" s="1"/>
  <c r="AK21" i="11"/>
  <c r="AL18" i="11" s="1"/>
  <c r="AK38" i="11" l="1"/>
  <c r="AS20" i="12"/>
  <c r="AS25" i="12" s="1"/>
  <c r="AS27" i="12" s="1"/>
  <c r="AS31" i="12" s="1"/>
  <c r="AL20" i="11"/>
  <c r="AS35" i="12" l="1"/>
  <c r="AS38" i="12" s="1"/>
  <c r="AL25" i="11"/>
  <c r="AL27" i="11" s="1"/>
  <c r="AL31" i="11" s="1"/>
  <c r="AL35" i="11" s="1"/>
  <c r="AS21" i="12"/>
  <c r="AT18" i="12" s="1"/>
  <c r="AT20" i="12" s="1"/>
  <c r="AT25" i="12" s="1"/>
  <c r="AT27" i="12" s="1"/>
  <c r="AT31" i="12" s="1"/>
  <c r="AL21" i="11"/>
  <c r="AM18" i="11" s="1"/>
  <c r="AM20" i="11" s="1"/>
  <c r="AT35" i="12" l="1"/>
  <c r="AT38" i="12" s="1"/>
  <c r="AL38" i="11"/>
  <c r="AM25" i="11"/>
  <c r="AM27" i="11" s="1"/>
  <c r="AM31" i="11" s="1"/>
  <c r="AM35" i="11" s="1"/>
  <c r="AM21" i="11"/>
  <c r="AN18" i="11" s="1"/>
  <c r="AN20" i="11" s="1"/>
  <c r="AT21" i="12"/>
  <c r="AU18" i="12" s="1"/>
  <c r="AM38" i="11" l="1"/>
  <c r="AN25" i="11"/>
  <c r="AN27" i="11" s="1"/>
  <c r="AN31" i="11" s="1"/>
  <c r="AN35" i="11" s="1"/>
  <c r="AU20" i="12"/>
  <c r="AU25" i="12" s="1"/>
  <c r="AU27" i="12" s="1"/>
  <c r="AU31" i="12" s="1"/>
  <c r="AN21" i="11"/>
  <c r="AO18" i="11" s="1"/>
  <c r="AU35" i="12" l="1"/>
  <c r="AU38" i="12" s="1"/>
  <c r="AN38" i="11"/>
  <c r="AU21" i="12"/>
  <c r="AV18" i="12" s="1"/>
  <c r="AO20" i="11"/>
  <c r="AO25" i="11" l="1"/>
  <c r="AO27" i="11" s="1"/>
  <c r="AO31" i="11" s="1"/>
  <c r="AO35" i="11" s="1"/>
  <c r="AV20" i="12"/>
  <c r="AV25" i="12" s="1"/>
  <c r="AV27" i="12" s="1"/>
  <c r="AV31" i="12" s="1"/>
  <c r="AO21" i="11"/>
  <c r="AP18" i="11" s="1"/>
  <c r="AV35" i="12" l="1"/>
  <c r="AV38" i="12" s="1"/>
  <c r="AO38" i="11"/>
  <c r="AV21" i="12"/>
  <c r="AW18" i="12" s="1"/>
  <c r="AW20" i="12" s="1"/>
  <c r="AW25" i="12" s="1"/>
  <c r="AW27" i="12" s="1"/>
  <c r="AW31" i="12" s="1"/>
  <c r="AP20" i="11"/>
  <c r="AW35" i="12" l="1"/>
  <c r="AW38" i="12" s="1"/>
  <c r="AP25" i="11"/>
  <c r="AP27" i="11" s="1"/>
  <c r="AP31" i="11" s="1"/>
  <c r="AP35" i="11" s="1"/>
  <c r="AW21" i="12"/>
  <c r="AX18" i="12" s="1"/>
  <c r="AX20" i="12" s="1"/>
  <c r="AX25" i="12" s="1"/>
  <c r="AX27" i="12" s="1"/>
  <c r="AX31" i="12" s="1"/>
  <c r="AP21" i="11"/>
  <c r="AQ18" i="11" s="1"/>
  <c r="AX35" i="12" l="1"/>
  <c r="AX38" i="12" s="1"/>
  <c r="I39" i="12" s="1"/>
  <c r="I43" i="12" s="1"/>
  <c r="H16" i="13" s="1"/>
  <c r="H17" i="13" s="1"/>
  <c r="AP38" i="11"/>
  <c r="AX21" i="12"/>
  <c r="AQ20" i="11"/>
  <c r="AQ25" i="11" l="1"/>
  <c r="AQ27" i="11" s="1"/>
  <c r="AQ31" i="11" s="1"/>
  <c r="AQ35" i="11" s="1"/>
  <c r="AQ21" i="11"/>
  <c r="AR18" i="11" s="1"/>
  <c r="AR20" i="11" s="1"/>
  <c r="AQ38" i="11" l="1"/>
  <c r="AR25" i="11"/>
  <c r="AR27" i="11" s="1"/>
  <c r="AR31" i="11" s="1"/>
  <c r="AR35" i="11" s="1"/>
  <c r="AR21" i="11"/>
  <c r="AS18" i="11" s="1"/>
  <c r="AR38" i="11" l="1"/>
  <c r="AS20" i="11"/>
  <c r="AS25" i="11" l="1"/>
  <c r="AS27" i="11" s="1"/>
  <c r="AS31" i="11" s="1"/>
  <c r="AS35" i="11" s="1"/>
  <c r="AS21" i="11"/>
  <c r="AT18" i="11" s="1"/>
  <c r="AS38" i="11" l="1"/>
  <c r="AT20" i="11"/>
  <c r="AT25" i="11" l="1"/>
  <c r="AT27" i="11" s="1"/>
  <c r="AT31" i="11" s="1"/>
  <c r="AT35" i="11" s="1"/>
  <c r="AT21" i="11"/>
  <c r="AU18" i="11" s="1"/>
  <c r="AU20" i="11" s="1"/>
  <c r="AT38" i="11" l="1"/>
  <c r="AU25" i="11"/>
  <c r="AU27" i="11" s="1"/>
  <c r="AU31" i="11" s="1"/>
  <c r="AU35" i="11" s="1"/>
  <c r="AU21" i="11"/>
  <c r="AV18" i="11" s="1"/>
  <c r="AV20" i="11" s="1"/>
  <c r="AU38" i="11" l="1"/>
  <c r="AV25" i="11"/>
  <c r="AV27" i="11" s="1"/>
  <c r="AV31" i="11" s="1"/>
  <c r="AV35" i="11" s="1"/>
  <c r="AV21" i="11"/>
  <c r="AW18" i="11" s="1"/>
  <c r="AV38" i="11" l="1"/>
  <c r="AW20" i="11"/>
  <c r="AW25" i="11" l="1"/>
  <c r="AW27" i="11" s="1"/>
  <c r="AW31" i="11" s="1"/>
  <c r="AW35" i="11" s="1"/>
  <c r="AW21" i="11"/>
  <c r="AX18" i="11" s="1"/>
  <c r="AW38" i="11" l="1"/>
  <c r="AX20" i="11"/>
  <c r="AX25" i="11" l="1"/>
  <c r="AX27" i="11" s="1"/>
  <c r="AX31" i="11" s="1"/>
  <c r="AX35" i="11" s="1"/>
  <c r="AX21" i="11"/>
  <c r="AX38" i="11" l="1"/>
  <c r="I39" i="11" l="1"/>
  <c r="I43" i="11" s="1"/>
  <c r="H9" i="13" s="1"/>
  <c r="H10" i="13" s="1"/>
  <c r="AS108" i="6" l="1"/>
  <c r="AD65" i="6" l="1"/>
  <c r="AD144" i="6" s="1"/>
  <c r="AU108" i="6"/>
  <c r="AR64" i="6"/>
  <c r="M65" i="6"/>
  <c r="M144" i="6" s="1"/>
  <c r="Z65" i="6"/>
  <c r="Z144" i="6" s="1"/>
  <c r="X108" i="6"/>
  <c r="AX64" i="6"/>
  <c r="K108" i="6"/>
  <c r="AU64" i="6"/>
  <c r="AO65" i="6"/>
  <c r="AO144" i="6" s="1"/>
  <c r="R108" i="6"/>
  <c r="AQ64" i="6"/>
  <c r="AD108" i="6"/>
  <c r="L64" i="6"/>
  <c r="K64" i="6"/>
  <c r="K137" i="6" s="1"/>
  <c r="K140" i="6" s="1"/>
  <c r="AG64" i="6"/>
  <c r="U65" i="6"/>
  <c r="U144" i="6" s="1"/>
  <c r="AL65" i="6"/>
  <c r="AL144" i="6" s="1"/>
  <c r="AT64" i="6"/>
  <c r="Z64" i="6"/>
  <c r="AM108" i="6"/>
  <c r="AP64" i="6"/>
  <c r="W65" i="6"/>
  <c r="W144" i="6" s="1"/>
  <c r="AE64" i="6"/>
  <c r="AU65" i="6"/>
  <c r="AU144" i="6" s="1"/>
  <c r="O65" i="6"/>
  <c r="O144" i="6" s="1"/>
  <c r="AM64" i="6"/>
  <c r="AT65" i="6"/>
  <c r="AT144" i="6" s="1"/>
  <c r="AN108" i="6"/>
  <c r="T65" i="6"/>
  <c r="T144" i="6" s="1"/>
  <c r="AW64" i="6"/>
  <c r="AW108" i="6"/>
  <c r="AF64" i="6"/>
  <c r="AJ64" i="6"/>
  <c r="AN64" i="6"/>
  <c r="AP108" i="6"/>
  <c r="AI65" i="6"/>
  <c r="AI144" i="6" s="1"/>
  <c r="AV108" i="6"/>
  <c r="S65" i="6"/>
  <c r="S144" i="6" s="1"/>
  <c r="X64" i="6"/>
  <c r="M108" i="6"/>
  <c r="R64" i="6"/>
  <c r="AD64" i="6"/>
  <c r="AX65" i="6"/>
  <c r="AX144" i="6" s="1"/>
  <c r="AH65" i="6"/>
  <c r="AH144" i="6" s="1"/>
  <c r="Y64" i="6"/>
  <c r="V64" i="6"/>
  <c r="W64" i="6"/>
  <c r="AB65" i="6"/>
  <c r="AB144" i="6" s="1"/>
  <c r="AK64" i="6"/>
  <c r="AS64" i="6"/>
  <c r="T64" i="6"/>
  <c r="AH64" i="6"/>
  <c r="Z108" i="6"/>
  <c r="AM65" i="6"/>
  <c r="AM144" i="6" s="1"/>
  <c r="AW65" i="6"/>
  <c r="AW144" i="6" s="1"/>
  <c r="V108" i="6"/>
  <c r="AS65" i="6"/>
  <c r="AS144" i="6" s="1"/>
  <c r="AI108" i="6"/>
  <c r="AF65" i="6"/>
  <c r="AF144" i="6" s="1"/>
  <c r="AC108" i="6"/>
  <c r="T108" i="6"/>
  <c r="AG65" i="6"/>
  <c r="AG144" i="6" s="1"/>
  <c r="AJ65" i="6"/>
  <c r="AJ144" i="6" s="1"/>
  <c r="AR65" i="6"/>
  <c r="AR144" i="6" s="1"/>
  <c r="Y65" i="6"/>
  <c r="Y144" i="6" s="1"/>
  <c r="AT108" i="6"/>
  <c r="L65" i="6"/>
  <c r="L144" i="6" s="1"/>
  <c r="P65" i="6"/>
  <c r="P144" i="6" s="1"/>
  <c r="K65" i="6"/>
  <c r="K144" i="6" s="1"/>
  <c r="AX108" i="6"/>
  <c r="AN65" i="6"/>
  <c r="AN144" i="6" s="1"/>
  <c r="AB108" i="6"/>
  <c r="AL108" i="6"/>
  <c r="AO108" i="6"/>
  <c r="AP65" i="6"/>
  <c r="AP144" i="6" s="1"/>
  <c r="AJ108" i="6"/>
  <c r="AE108" i="6"/>
  <c r="V65" i="6"/>
  <c r="V144" i="6" s="1"/>
  <c r="U108" i="6"/>
  <c r="AA108" i="6"/>
  <c r="S108" i="6"/>
  <c r="W108" i="6"/>
  <c r="AF108" i="6"/>
  <c r="AQ65" i="6"/>
  <c r="AQ144" i="6" s="1"/>
  <c r="AE65" i="6"/>
  <c r="AE144" i="6" s="1"/>
  <c r="Y108" i="6"/>
  <c r="AK65" i="6"/>
  <c r="AK144" i="6" s="1"/>
  <c r="AG108" i="6"/>
  <c r="AV64" i="6"/>
  <c r="R65" i="6"/>
  <c r="R144" i="6" s="1"/>
  <c r="X65" i="6"/>
  <c r="X144" i="6" s="1"/>
  <c r="M64" i="6"/>
  <c r="AC65" i="6"/>
  <c r="AC144" i="6" s="1"/>
  <c r="L108" i="6"/>
  <c r="P108" i="6"/>
  <c r="O64" i="6"/>
  <c r="AB64" i="6"/>
  <c r="AI64" i="6"/>
  <c r="AC64" i="6"/>
  <c r="U64" i="6"/>
  <c r="Q64" i="6"/>
  <c r="S64" i="6"/>
  <c r="AO64" i="6"/>
  <c r="K112" i="6"/>
  <c r="N64" i="6"/>
  <c r="AA64" i="6"/>
  <c r="AA65" i="6"/>
  <c r="AA144" i="6" s="1"/>
  <c r="N65" i="6"/>
  <c r="N144" i="6" s="1"/>
  <c r="O108" i="6"/>
  <c r="N108" i="6"/>
  <c r="AH108" i="6"/>
  <c r="AR108" i="6"/>
  <c r="AV65" i="6"/>
  <c r="AV144" i="6" s="1"/>
  <c r="AK108" i="6"/>
  <c r="Q65" i="6"/>
  <c r="Q144" i="6" s="1"/>
  <c r="Q108" i="6"/>
  <c r="AL64" i="6"/>
  <c r="P64" i="6"/>
  <c r="AQ108" i="6"/>
  <c r="K110" i="6" l="1"/>
  <c r="K114" i="6" s="1"/>
  <c r="K45" i="5" s="1"/>
  <c r="K53" i="5" s="1"/>
  <c r="K56" i="5" s="1"/>
  <c r="K145" i="6"/>
  <c r="K146" i="6" s="1"/>
  <c r="K150" i="6" s="1"/>
  <c r="K30" i="10"/>
  <c r="K66" i="6"/>
  <c r="L63" i="6" s="1"/>
  <c r="K46" i="5" l="1"/>
  <c r="K47" i="5" s="1"/>
  <c r="K48" i="5" s="1"/>
  <c r="L40" i="5" s="1"/>
  <c r="K155" i="6"/>
  <c r="K156" i="6" s="1"/>
  <c r="K151" i="6"/>
  <c r="L137" i="6"/>
  <c r="L140" i="6" s="1"/>
  <c r="L110" i="6"/>
  <c r="L66" i="6"/>
  <c r="M63" i="6" s="1"/>
  <c r="L112" i="6"/>
  <c r="L114" i="6" l="1"/>
  <c r="L45" i="5" s="1"/>
  <c r="L53" i="5" s="1"/>
  <c r="L145" i="6"/>
  <c r="L146" i="6" s="1"/>
  <c r="L150" i="6" s="1"/>
  <c r="M110" i="6"/>
  <c r="M137" i="6"/>
  <c r="M140" i="6" s="1"/>
  <c r="M145" i="6" s="1"/>
  <c r="M146" i="6" s="1"/>
  <c r="M150" i="6" s="1"/>
  <c r="M66" i="6"/>
  <c r="N63" i="6" s="1"/>
  <c r="M112" i="6"/>
  <c r="L56" i="5" l="1"/>
  <c r="M114" i="6"/>
  <c r="M45" i="5" s="1"/>
  <c r="M53" i="5" s="1"/>
  <c r="L46" i="5"/>
  <c r="L47" i="5" s="1"/>
  <c r="L48" i="5" s="1"/>
  <c r="M40" i="5" s="1"/>
  <c r="N66" i="6"/>
  <c r="O63" i="6" s="1"/>
  <c r="N110" i="6"/>
  <c r="N137" i="6"/>
  <c r="N140" i="6" s="1"/>
  <c r="N112" i="6"/>
  <c r="M151" i="6"/>
  <c r="M155" i="6"/>
  <c r="M156" i="6" s="1"/>
  <c r="L151" i="6"/>
  <c r="L155" i="6"/>
  <c r="L156" i="6" s="1"/>
  <c r="M56" i="5" l="1"/>
  <c r="M46" i="5"/>
  <c r="M47" i="5" s="1"/>
  <c r="N114" i="6"/>
  <c r="N45" i="5" s="1"/>
  <c r="N53" i="5" s="1"/>
  <c r="N145" i="6"/>
  <c r="N146" i="6" s="1"/>
  <c r="N150" i="6" s="1"/>
  <c r="O110" i="6"/>
  <c r="O66" i="6"/>
  <c r="P63" i="6" s="1"/>
  <c r="O137" i="6"/>
  <c r="O140" i="6" s="1"/>
  <c r="O112" i="6"/>
  <c r="N56" i="5" l="1"/>
  <c r="M48" i="5"/>
  <c r="N40" i="5" s="1"/>
  <c r="N46" i="5" s="1"/>
  <c r="N47" i="5" s="1"/>
  <c r="K29" i="10"/>
  <c r="K31" i="10" s="1"/>
  <c r="K52" i="12" s="1"/>
  <c r="O145" i="6"/>
  <c r="O146" i="6" s="1"/>
  <c r="O150" i="6" s="1"/>
  <c r="P110" i="6"/>
  <c r="P112" i="6"/>
  <c r="P66" i="6"/>
  <c r="Q63" i="6" s="1"/>
  <c r="P137" i="6"/>
  <c r="P140" i="6" s="1"/>
  <c r="O114" i="6"/>
  <c r="O45" i="5" s="1"/>
  <c r="O53" i="5" s="1"/>
  <c r="N151" i="6"/>
  <c r="N155" i="6"/>
  <c r="N156" i="6" s="1"/>
  <c r="O56" i="5" l="1"/>
  <c r="N48" i="5"/>
  <c r="O40" i="5" s="1"/>
  <c r="P145" i="6"/>
  <c r="P146" i="6" s="1"/>
  <c r="P150" i="6" s="1"/>
  <c r="L29" i="10"/>
  <c r="L31" i="10" s="1"/>
  <c r="L52" i="12" s="1"/>
  <c r="Q137" i="6"/>
  <c r="Q140" i="6" s="1"/>
  <c r="Q110" i="6"/>
  <c r="Q66" i="6"/>
  <c r="R63" i="6" s="1"/>
  <c r="Q112" i="6"/>
  <c r="P114" i="6"/>
  <c r="P45" i="5" s="1"/>
  <c r="P53" i="5" s="1"/>
  <c r="O155" i="6"/>
  <c r="O156" i="6" s="1"/>
  <c r="O151" i="6"/>
  <c r="L72" i="9" s="1"/>
  <c r="L73" i="9" s="1"/>
  <c r="O46" i="5"/>
  <c r="P56" i="5" l="1"/>
  <c r="O47" i="5"/>
  <c r="O48" i="5" s="1"/>
  <c r="P40" i="5" s="1"/>
  <c r="P46" i="5" s="1"/>
  <c r="Q145" i="6"/>
  <c r="Q146" i="6" s="1"/>
  <c r="Q150" i="6" s="1"/>
  <c r="M29" i="10"/>
  <c r="M31" i="10" s="1"/>
  <c r="M52" i="12" s="1"/>
  <c r="R137" i="6"/>
  <c r="R140" i="6" s="1"/>
  <c r="R110" i="6"/>
  <c r="R66" i="6"/>
  <c r="S63" i="6" s="1"/>
  <c r="R112" i="6"/>
  <c r="Q114" i="6"/>
  <c r="Q45" i="5" s="1"/>
  <c r="Q53" i="5" s="1"/>
  <c r="P155" i="6"/>
  <c r="P156" i="6" s="1"/>
  <c r="P151" i="6"/>
  <c r="M72" i="9" s="1"/>
  <c r="M73" i="9" s="1"/>
  <c r="Q56" i="5" l="1"/>
  <c r="S110" i="6"/>
  <c r="S66" i="6"/>
  <c r="T63" i="6" s="1"/>
  <c r="S112" i="6"/>
  <c r="S137" i="6"/>
  <c r="S140" i="6" s="1"/>
  <c r="R114" i="6"/>
  <c r="R45" i="5" s="1"/>
  <c r="R53" i="5" s="1"/>
  <c r="N29" i="10"/>
  <c r="N31" i="10" s="1"/>
  <c r="N52" i="12" s="1"/>
  <c r="R145" i="6"/>
  <c r="R146" i="6" s="1"/>
  <c r="R150" i="6" s="1"/>
  <c r="P47" i="5"/>
  <c r="P48" i="5" s="1"/>
  <c r="Q40" i="5" s="1"/>
  <c r="Q46" i="5" s="1"/>
  <c r="Q151" i="6"/>
  <c r="N72" i="9" s="1"/>
  <c r="N73" i="9" s="1"/>
  <c r="Q155" i="6"/>
  <c r="Q156" i="6" s="1"/>
  <c r="R56" i="5" l="1"/>
  <c r="O29" i="10"/>
  <c r="O31" i="10" s="1"/>
  <c r="O52" i="12" s="1"/>
  <c r="S145" i="6"/>
  <c r="S146" i="6" s="1"/>
  <c r="S150" i="6" s="1"/>
  <c r="Q47" i="5"/>
  <c r="Q48" i="5" s="1"/>
  <c r="R40" i="5" s="1"/>
  <c r="R46" i="5" s="1"/>
  <c r="R155" i="6"/>
  <c r="R156" i="6" s="1"/>
  <c r="R151" i="6"/>
  <c r="O72" i="9" s="1"/>
  <c r="O73" i="9" s="1"/>
  <c r="T137" i="6"/>
  <c r="T140" i="6" s="1"/>
  <c r="T66" i="6"/>
  <c r="U63" i="6" s="1"/>
  <c r="T112" i="6"/>
  <c r="T110" i="6"/>
  <c r="S114" i="6"/>
  <c r="S45" i="5" s="1"/>
  <c r="S53" i="5" s="1"/>
  <c r="S56" i="5" l="1"/>
  <c r="T114" i="6"/>
  <c r="T45" i="5" s="1"/>
  <c r="T53" i="5" s="1"/>
  <c r="P29" i="10"/>
  <c r="P31" i="10" s="1"/>
  <c r="P52" i="12" s="1"/>
  <c r="T145" i="6"/>
  <c r="T146" i="6" s="1"/>
  <c r="T150" i="6" s="1"/>
  <c r="R47" i="5"/>
  <c r="R48" i="5" s="1"/>
  <c r="S40" i="5" s="1"/>
  <c r="S46" i="5" s="1"/>
  <c r="U110" i="6"/>
  <c r="U66" i="6"/>
  <c r="V63" i="6" s="1"/>
  <c r="U137" i="6"/>
  <c r="U140" i="6" s="1"/>
  <c r="U112" i="6"/>
  <c r="S151" i="6"/>
  <c r="P72" i="9" s="1"/>
  <c r="P73" i="9" s="1"/>
  <c r="S155" i="6"/>
  <c r="S156" i="6" s="1"/>
  <c r="T56" i="5" l="1"/>
  <c r="U145" i="6"/>
  <c r="U146" i="6" s="1"/>
  <c r="U150" i="6" s="1"/>
  <c r="Q29" i="10"/>
  <c r="Q31" i="10" s="1"/>
  <c r="Q52" i="12" s="1"/>
  <c r="V110" i="6"/>
  <c r="V137" i="6"/>
  <c r="V140" i="6" s="1"/>
  <c r="V66" i="6"/>
  <c r="W63" i="6" s="1"/>
  <c r="V112" i="6"/>
  <c r="U114" i="6"/>
  <c r="U45" i="5" s="1"/>
  <c r="U53" i="5" s="1"/>
  <c r="S47" i="5"/>
  <c r="S48" i="5" s="1"/>
  <c r="T40" i="5" s="1"/>
  <c r="T46" i="5" s="1"/>
  <c r="T155" i="6"/>
  <c r="T156" i="6" s="1"/>
  <c r="T151" i="6"/>
  <c r="Q72" i="9" s="1"/>
  <c r="Q73" i="9" s="1"/>
  <c r="U56" i="5" l="1"/>
  <c r="T47" i="5"/>
  <c r="T48" i="5" s="1"/>
  <c r="U40" i="5" s="1"/>
  <c r="U46" i="5" s="1"/>
  <c r="W110" i="6"/>
  <c r="W66" i="6"/>
  <c r="X63" i="6" s="1"/>
  <c r="W137" i="6"/>
  <c r="W140" i="6" s="1"/>
  <c r="W112" i="6"/>
  <c r="V114" i="6"/>
  <c r="V45" i="5" s="1"/>
  <c r="V53" i="5" s="1"/>
  <c r="R29" i="10"/>
  <c r="R31" i="10" s="1"/>
  <c r="R52" i="12" s="1"/>
  <c r="V145" i="6"/>
  <c r="V146" i="6" s="1"/>
  <c r="V150" i="6" s="1"/>
  <c r="U151" i="6"/>
  <c r="R72" i="9" s="1"/>
  <c r="R73" i="9" s="1"/>
  <c r="U155" i="6"/>
  <c r="U156" i="6" s="1"/>
  <c r="V56" i="5" l="1"/>
  <c r="V151" i="6"/>
  <c r="S72" i="9" s="1"/>
  <c r="S73" i="9" s="1"/>
  <c r="V155" i="6"/>
  <c r="V156" i="6" s="1"/>
  <c r="S29" i="10"/>
  <c r="S31" i="10" s="1"/>
  <c r="S52" i="12" s="1"/>
  <c r="W145" i="6"/>
  <c r="W146" i="6" s="1"/>
  <c r="W150" i="6" s="1"/>
  <c r="X66" i="6"/>
  <c r="Y63" i="6" s="1"/>
  <c r="X137" i="6"/>
  <c r="X140" i="6" s="1"/>
  <c r="X112" i="6"/>
  <c r="X110" i="6"/>
  <c r="W114" i="6"/>
  <c r="W45" i="5" s="1"/>
  <c r="W53" i="5" s="1"/>
  <c r="U47" i="5"/>
  <c r="U48" i="5" s="1"/>
  <c r="V40" i="5" s="1"/>
  <c r="V46" i="5" s="1"/>
  <c r="W56" i="5" l="1"/>
  <c r="X114" i="6"/>
  <c r="X45" i="5" s="1"/>
  <c r="X53" i="5" s="1"/>
  <c r="V47" i="5"/>
  <c r="V48" i="5" s="1"/>
  <c r="W40" i="5" s="1"/>
  <c r="W46" i="5" s="1"/>
  <c r="X145" i="6"/>
  <c r="X146" i="6" s="1"/>
  <c r="X150" i="6" s="1"/>
  <c r="T29" i="10"/>
  <c r="T31" i="10" s="1"/>
  <c r="T52" i="12" s="1"/>
  <c r="Y110" i="6"/>
  <c r="Y137" i="6"/>
  <c r="Y140" i="6" s="1"/>
  <c r="Y66" i="6"/>
  <c r="Z63" i="6" s="1"/>
  <c r="Y112" i="6"/>
  <c r="W155" i="6"/>
  <c r="W156" i="6" s="1"/>
  <c r="W151" i="6"/>
  <c r="T72" i="9" s="1"/>
  <c r="T73" i="9" s="1"/>
  <c r="X56" i="5" l="1"/>
  <c r="Y114" i="6"/>
  <c r="Y45" i="5" s="1"/>
  <c r="Y53" i="5" s="1"/>
  <c r="U29" i="10"/>
  <c r="U31" i="10" s="1"/>
  <c r="U52" i="12" s="1"/>
  <c r="Y145" i="6"/>
  <c r="Y146" i="6" s="1"/>
  <c r="Y150" i="6" s="1"/>
  <c r="X151" i="6"/>
  <c r="U72" i="9" s="1"/>
  <c r="U73" i="9" s="1"/>
  <c r="X155" i="6"/>
  <c r="X156" i="6" s="1"/>
  <c r="W47" i="5"/>
  <c r="W48" i="5" s="1"/>
  <c r="X40" i="5" s="1"/>
  <c r="X46" i="5" s="1"/>
  <c r="Z112" i="6"/>
  <c r="Z66" i="6"/>
  <c r="AA63" i="6" s="1"/>
  <c r="Z137" i="6"/>
  <c r="Z140" i="6" s="1"/>
  <c r="Z110" i="6"/>
  <c r="Y56" i="5" l="1"/>
  <c r="X47" i="5"/>
  <c r="X48" i="5" s="1"/>
  <c r="Y40" i="5" s="1"/>
  <c r="Y46" i="5" s="1"/>
  <c r="Z114" i="6"/>
  <c r="Z45" i="5" s="1"/>
  <c r="Z53" i="5" s="1"/>
  <c r="Z145" i="6"/>
  <c r="Z146" i="6" s="1"/>
  <c r="Z150" i="6" s="1"/>
  <c r="V29" i="10"/>
  <c r="V31" i="10" s="1"/>
  <c r="V52" i="12" s="1"/>
  <c r="AA137" i="6"/>
  <c r="AA140" i="6" s="1"/>
  <c r="AA110" i="6"/>
  <c r="AA66" i="6"/>
  <c r="AB63" i="6" s="1"/>
  <c r="AA112" i="6"/>
  <c r="Y151" i="6"/>
  <c r="V72" i="9" s="1"/>
  <c r="V73" i="9" s="1"/>
  <c r="Y155" i="6"/>
  <c r="Y156" i="6" s="1"/>
  <c r="Z56" i="5" l="1"/>
  <c r="AA114" i="6"/>
  <c r="AA45" i="5" s="1"/>
  <c r="AA53" i="5" s="1"/>
  <c r="Z155" i="6"/>
  <c r="Z156" i="6" s="1"/>
  <c r="Z151" i="6"/>
  <c r="W72" i="9" s="1"/>
  <c r="W73" i="9" s="1"/>
  <c r="Y47" i="5"/>
  <c r="Y48" i="5" s="1"/>
  <c r="Z40" i="5" s="1"/>
  <c r="Z46" i="5" s="1"/>
  <c r="AB137" i="6"/>
  <c r="AB140" i="6" s="1"/>
  <c r="AB110" i="6"/>
  <c r="AB66" i="6"/>
  <c r="AC63" i="6" s="1"/>
  <c r="AB112" i="6"/>
  <c r="W29" i="10"/>
  <c r="W31" i="10" s="1"/>
  <c r="W52" i="12" s="1"/>
  <c r="AA145" i="6"/>
  <c r="AA146" i="6" s="1"/>
  <c r="AA150" i="6" s="1"/>
  <c r="AA56" i="5" l="1"/>
  <c r="AC66" i="6"/>
  <c r="AD63" i="6" s="1"/>
  <c r="AC112" i="6"/>
  <c r="AC110" i="6"/>
  <c r="AC137" i="6"/>
  <c r="AC140" i="6" s="1"/>
  <c r="X29" i="10"/>
  <c r="X31" i="10" s="1"/>
  <c r="X52" i="12" s="1"/>
  <c r="AB145" i="6"/>
  <c r="AB146" i="6" s="1"/>
  <c r="AB150" i="6" s="1"/>
  <c r="Z47" i="5"/>
  <c r="Z48" i="5" s="1"/>
  <c r="AA40" i="5" s="1"/>
  <c r="AA46" i="5" s="1"/>
  <c r="AA151" i="6"/>
  <c r="X72" i="9" s="1"/>
  <c r="X73" i="9" s="1"/>
  <c r="AA155" i="6"/>
  <c r="AA156" i="6" s="1"/>
  <c r="AB114" i="6"/>
  <c r="AB45" i="5" s="1"/>
  <c r="AB53" i="5" s="1"/>
  <c r="AB56" i="5" l="1"/>
  <c r="AC114" i="6"/>
  <c r="AC45" i="5" s="1"/>
  <c r="AC53" i="5" s="1"/>
  <c r="AA47" i="5"/>
  <c r="AA48" i="5" s="1"/>
  <c r="AB40" i="5" s="1"/>
  <c r="AB46" i="5" s="1"/>
  <c r="AC145" i="6"/>
  <c r="AC146" i="6" s="1"/>
  <c r="AC150" i="6" s="1"/>
  <c r="Y29" i="10"/>
  <c r="Y31" i="10" s="1"/>
  <c r="Y52" i="12" s="1"/>
  <c r="AB155" i="6"/>
  <c r="AB156" i="6" s="1"/>
  <c r="AB151" i="6"/>
  <c r="Y72" i="9" s="1"/>
  <c r="Y73" i="9" s="1"/>
  <c r="AD110" i="6"/>
  <c r="AD66" i="6"/>
  <c r="AE63" i="6" s="1"/>
  <c r="AD112" i="6"/>
  <c r="AD137" i="6"/>
  <c r="AD140" i="6" s="1"/>
  <c r="AC56" i="5" l="1"/>
  <c r="AD145" i="6"/>
  <c r="AD146" i="6" s="1"/>
  <c r="AD150" i="6" s="1"/>
  <c r="Z29" i="10"/>
  <c r="Z31" i="10" s="1"/>
  <c r="Z52" i="12" s="1"/>
  <c r="AC155" i="6"/>
  <c r="AC156" i="6" s="1"/>
  <c r="AC151" i="6"/>
  <c r="Z72" i="9" s="1"/>
  <c r="Z73" i="9" s="1"/>
  <c r="AE110" i="6"/>
  <c r="AE66" i="6"/>
  <c r="AF63" i="6" s="1"/>
  <c r="AE112" i="6"/>
  <c r="AE137" i="6"/>
  <c r="AE140" i="6" s="1"/>
  <c r="AB47" i="5"/>
  <c r="AB48" i="5" s="1"/>
  <c r="AC40" i="5" s="1"/>
  <c r="AC46" i="5" s="1"/>
  <c r="AD114" i="6"/>
  <c r="AD45" i="5" s="1"/>
  <c r="AD53" i="5" s="1"/>
  <c r="AD56" i="5" l="1"/>
  <c r="AE145" i="6"/>
  <c r="AE146" i="6" s="1"/>
  <c r="AE150" i="6" s="1"/>
  <c r="AA29" i="10"/>
  <c r="AA31" i="10" s="1"/>
  <c r="AA52" i="12" s="1"/>
  <c r="AF137" i="6"/>
  <c r="AF140" i="6" s="1"/>
  <c r="AF110" i="6"/>
  <c r="AF66" i="6"/>
  <c r="AG63" i="6" s="1"/>
  <c r="AF112" i="6"/>
  <c r="AE114" i="6"/>
  <c r="AE45" i="5" s="1"/>
  <c r="AE53" i="5" s="1"/>
  <c r="AD155" i="6"/>
  <c r="AD156" i="6" s="1"/>
  <c r="AD151" i="6"/>
  <c r="AA72" i="9" s="1"/>
  <c r="AA73" i="9" s="1"/>
  <c r="AC47" i="5"/>
  <c r="AC48" i="5" s="1"/>
  <c r="AD40" i="5" s="1"/>
  <c r="AD46" i="5" s="1"/>
  <c r="AE56" i="5" l="1"/>
  <c r="AF114" i="6"/>
  <c r="AF45" i="5" s="1"/>
  <c r="AF53" i="5" s="1"/>
  <c r="AB29" i="10"/>
  <c r="AB31" i="10" s="1"/>
  <c r="AB52" i="12" s="1"/>
  <c r="AF145" i="6"/>
  <c r="AF146" i="6" s="1"/>
  <c r="AF150" i="6" s="1"/>
  <c r="AG137" i="6"/>
  <c r="AG140" i="6" s="1"/>
  <c r="AG66" i="6"/>
  <c r="AH63" i="6" s="1"/>
  <c r="AG110" i="6"/>
  <c r="AG112" i="6"/>
  <c r="AD47" i="5"/>
  <c r="AD48" i="5" s="1"/>
  <c r="AE40" i="5" s="1"/>
  <c r="AE46" i="5" s="1"/>
  <c r="AE151" i="6"/>
  <c r="AB72" i="9" s="1"/>
  <c r="AB73" i="9" s="1"/>
  <c r="AE155" i="6"/>
  <c r="AE156" i="6" s="1"/>
  <c r="AF56" i="5" l="1"/>
  <c r="AG114" i="6"/>
  <c r="AG45" i="5" s="1"/>
  <c r="AG53" i="5" s="1"/>
  <c r="AE47" i="5"/>
  <c r="AE48" i="5" s="1"/>
  <c r="AF40" i="5" s="1"/>
  <c r="AF46" i="5" s="1"/>
  <c r="AH137" i="6"/>
  <c r="AH140" i="6" s="1"/>
  <c r="AH66" i="6"/>
  <c r="AI63" i="6" s="1"/>
  <c r="AH110" i="6"/>
  <c r="AH112" i="6"/>
  <c r="AF151" i="6"/>
  <c r="AC72" i="9" s="1"/>
  <c r="AC73" i="9" s="1"/>
  <c r="AF155" i="6"/>
  <c r="AF156" i="6" s="1"/>
  <c r="AC29" i="10"/>
  <c r="AC31" i="10" s="1"/>
  <c r="AC52" i="12" s="1"/>
  <c r="AG145" i="6"/>
  <c r="AG146" i="6" s="1"/>
  <c r="AG150" i="6" s="1"/>
  <c r="AG56" i="5" l="1"/>
  <c r="AF47" i="5"/>
  <c r="AF48" i="5" s="1"/>
  <c r="AG40" i="5" s="1"/>
  <c r="AG46" i="5" s="1"/>
  <c r="AH114" i="6"/>
  <c r="AH45" i="5" s="1"/>
  <c r="AH53" i="5" s="1"/>
  <c r="AI110" i="6"/>
  <c r="AI66" i="6"/>
  <c r="AJ63" i="6" s="1"/>
  <c r="AI137" i="6"/>
  <c r="AI140" i="6" s="1"/>
  <c r="AI112" i="6"/>
  <c r="AH145" i="6"/>
  <c r="AH146" i="6" s="1"/>
  <c r="AH150" i="6" s="1"/>
  <c r="AD29" i="10"/>
  <c r="AD31" i="10" s="1"/>
  <c r="AD52" i="12" s="1"/>
  <c r="AG151" i="6"/>
  <c r="AD72" i="9" s="1"/>
  <c r="AD73" i="9" s="1"/>
  <c r="AG155" i="6"/>
  <c r="AG156" i="6" s="1"/>
  <c r="AH56" i="5" l="1"/>
  <c r="AI114" i="6"/>
  <c r="AI45" i="5" s="1"/>
  <c r="AI53" i="5" s="1"/>
  <c r="AH155" i="6"/>
  <c r="AH156" i="6" s="1"/>
  <c r="AH151" i="6"/>
  <c r="AE72" i="9" s="1"/>
  <c r="AE73" i="9" s="1"/>
  <c r="AG47" i="5"/>
  <c r="AG48" i="5" s="1"/>
  <c r="AH40" i="5" s="1"/>
  <c r="AH46" i="5" s="1"/>
  <c r="AE29" i="10"/>
  <c r="AE31" i="10" s="1"/>
  <c r="AE52" i="12" s="1"/>
  <c r="AI145" i="6"/>
  <c r="AI146" i="6" s="1"/>
  <c r="AI150" i="6" s="1"/>
  <c r="AJ110" i="6"/>
  <c r="AJ66" i="6"/>
  <c r="AK63" i="6" s="1"/>
  <c r="AJ112" i="6"/>
  <c r="AJ137" i="6"/>
  <c r="AJ140" i="6" s="1"/>
  <c r="AI56" i="5" l="1"/>
  <c r="AJ114" i="6"/>
  <c r="AJ45" i="5" s="1"/>
  <c r="AJ53" i="5" s="1"/>
  <c r="AI151" i="6"/>
  <c r="AF72" i="9" s="1"/>
  <c r="AF73" i="9" s="1"/>
  <c r="AI155" i="6"/>
  <c r="AI156" i="6" s="1"/>
  <c r="AH47" i="5"/>
  <c r="AH48" i="5" s="1"/>
  <c r="AI40" i="5" s="1"/>
  <c r="AI46" i="5" s="1"/>
  <c r="AF29" i="10"/>
  <c r="AF31" i="10" s="1"/>
  <c r="AF52" i="12" s="1"/>
  <c r="AJ145" i="6"/>
  <c r="AJ146" i="6" s="1"/>
  <c r="AJ150" i="6" s="1"/>
  <c r="AK110" i="6"/>
  <c r="AK66" i="6"/>
  <c r="AL63" i="6" s="1"/>
  <c r="AK137" i="6"/>
  <c r="AK140" i="6" s="1"/>
  <c r="AK112" i="6"/>
  <c r="AJ56" i="5" l="1"/>
  <c r="AK114" i="6"/>
  <c r="AK45" i="5" s="1"/>
  <c r="AK53" i="5" s="1"/>
  <c r="AI47" i="5"/>
  <c r="AI48" i="5" s="1"/>
  <c r="AJ40" i="5" s="1"/>
  <c r="AJ46" i="5" s="1"/>
  <c r="AJ155" i="6"/>
  <c r="AJ156" i="6" s="1"/>
  <c r="AJ151" i="6"/>
  <c r="AG72" i="9" s="1"/>
  <c r="AG73" i="9" s="1"/>
  <c r="AG29" i="10"/>
  <c r="AG31" i="10" s="1"/>
  <c r="AG52" i="12" s="1"/>
  <c r="AK145" i="6"/>
  <c r="AK146" i="6" s="1"/>
  <c r="AK150" i="6" s="1"/>
  <c r="AL137" i="6"/>
  <c r="AL140" i="6" s="1"/>
  <c r="AL110" i="6"/>
  <c r="AL66" i="6"/>
  <c r="AM63" i="6" s="1"/>
  <c r="AL112" i="6"/>
  <c r="AK56" i="5" l="1"/>
  <c r="AL114" i="6"/>
  <c r="AL45" i="5" s="1"/>
  <c r="AL53" i="5" s="1"/>
  <c r="AK151" i="6"/>
  <c r="AH72" i="9" s="1"/>
  <c r="AH73" i="9" s="1"/>
  <c r="AK155" i="6"/>
  <c r="AK156" i="6" s="1"/>
  <c r="AL145" i="6"/>
  <c r="AL146" i="6" s="1"/>
  <c r="AL150" i="6" s="1"/>
  <c r="AH29" i="10"/>
  <c r="AH31" i="10" s="1"/>
  <c r="AH52" i="12" s="1"/>
  <c r="AJ47" i="5"/>
  <c r="AJ48" i="5" s="1"/>
  <c r="AK40" i="5" s="1"/>
  <c r="AK46" i="5" s="1"/>
  <c r="AM110" i="6"/>
  <c r="AM66" i="6"/>
  <c r="AN63" i="6" s="1"/>
  <c r="AM137" i="6"/>
  <c r="AM140" i="6" s="1"/>
  <c r="AM112" i="6"/>
  <c r="AL56" i="5" l="1"/>
  <c r="AM114" i="6"/>
  <c r="AM45" i="5" s="1"/>
  <c r="AM53" i="5" s="1"/>
  <c r="AK47" i="5"/>
  <c r="AK48" i="5" s="1"/>
  <c r="AL40" i="5" s="1"/>
  <c r="AL46" i="5" s="1"/>
  <c r="AN110" i="6"/>
  <c r="AN137" i="6"/>
  <c r="AN140" i="6" s="1"/>
  <c r="AN66" i="6"/>
  <c r="AO63" i="6" s="1"/>
  <c r="AN112" i="6"/>
  <c r="AL155" i="6"/>
  <c r="AL156" i="6" s="1"/>
  <c r="AL151" i="6"/>
  <c r="AI72" i="9" s="1"/>
  <c r="AI73" i="9" s="1"/>
  <c r="AM145" i="6"/>
  <c r="AM146" i="6" s="1"/>
  <c r="AM150" i="6" s="1"/>
  <c r="AI29" i="10"/>
  <c r="AI31" i="10" s="1"/>
  <c r="AI52" i="12" s="1"/>
  <c r="AM56" i="5" l="1"/>
  <c r="AN114" i="6"/>
  <c r="AN45" i="5" s="1"/>
  <c r="AN53" i="5" s="1"/>
  <c r="AO110" i="6"/>
  <c r="AO137" i="6"/>
  <c r="AO140" i="6" s="1"/>
  <c r="AO66" i="6"/>
  <c r="AP63" i="6" s="1"/>
  <c r="AO112" i="6"/>
  <c r="AJ29" i="10"/>
  <c r="AJ31" i="10" s="1"/>
  <c r="AJ52" i="12" s="1"/>
  <c r="AN145" i="6"/>
  <c r="AN146" i="6" s="1"/>
  <c r="AN150" i="6" s="1"/>
  <c r="AM155" i="6"/>
  <c r="AM156" i="6" s="1"/>
  <c r="AM151" i="6"/>
  <c r="AJ72" i="9" s="1"/>
  <c r="AJ73" i="9" s="1"/>
  <c r="AL47" i="5"/>
  <c r="AL48" i="5" s="1"/>
  <c r="AM40" i="5" s="1"/>
  <c r="AM46" i="5" s="1"/>
  <c r="AN56" i="5" l="1"/>
  <c r="AO114" i="6"/>
  <c r="AO45" i="5" s="1"/>
  <c r="AO53" i="5" s="1"/>
  <c r="AM47" i="5"/>
  <c r="AM48" i="5" s="1"/>
  <c r="AN40" i="5" s="1"/>
  <c r="AN46" i="5" s="1"/>
  <c r="AN151" i="6"/>
  <c r="AK72" i="9" s="1"/>
  <c r="AK73" i="9" s="1"/>
  <c r="AN155" i="6"/>
  <c r="AN156" i="6" s="1"/>
  <c r="AP110" i="6"/>
  <c r="AP137" i="6"/>
  <c r="AP140" i="6" s="1"/>
  <c r="AP112" i="6"/>
  <c r="AP66" i="6"/>
  <c r="AQ63" i="6" s="1"/>
  <c r="AO145" i="6"/>
  <c r="AO146" i="6" s="1"/>
  <c r="AO150" i="6" s="1"/>
  <c r="AO56" i="5" l="1"/>
  <c r="AN47" i="5"/>
  <c r="AN48" i="5" s="1"/>
  <c r="AO40" i="5" s="1"/>
  <c r="AO46" i="5" s="1"/>
  <c r="AO155" i="6"/>
  <c r="AO156" i="6" s="1"/>
  <c r="AO151" i="6"/>
  <c r="AQ110" i="6"/>
  <c r="AQ137" i="6"/>
  <c r="AQ140" i="6" s="1"/>
  <c r="AQ112" i="6"/>
  <c r="AQ66" i="6"/>
  <c r="AR63" i="6" s="1"/>
  <c r="AP145" i="6"/>
  <c r="AP146" i="6" s="1"/>
  <c r="AP150" i="6" s="1"/>
  <c r="AP114" i="6"/>
  <c r="AP45" i="5" s="1"/>
  <c r="AP53" i="5" s="1"/>
  <c r="AP56" i="5" l="1"/>
  <c r="AP155" i="6"/>
  <c r="AP156" i="6" s="1"/>
  <c r="AP151" i="6"/>
  <c r="AR137" i="6"/>
  <c r="AR140" i="6" s="1"/>
  <c r="AR110" i="6"/>
  <c r="AR66" i="6"/>
  <c r="AS63" i="6" s="1"/>
  <c r="AR112" i="6"/>
  <c r="AQ114" i="6"/>
  <c r="AQ45" i="5" s="1"/>
  <c r="AQ53" i="5" s="1"/>
  <c r="AQ145" i="6"/>
  <c r="AQ146" i="6" s="1"/>
  <c r="AQ150" i="6" s="1"/>
  <c r="AO47" i="5"/>
  <c r="AO48" i="5" s="1"/>
  <c r="AP40" i="5" s="1"/>
  <c r="AP46" i="5" s="1"/>
  <c r="AQ56" i="5" l="1"/>
  <c r="AR114" i="6"/>
  <c r="AR45" i="5" s="1"/>
  <c r="AR53" i="5" s="1"/>
  <c r="AQ151" i="6"/>
  <c r="AQ155" i="6"/>
  <c r="AQ156" i="6" s="1"/>
  <c r="AS137" i="6"/>
  <c r="AS140" i="6" s="1"/>
  <c r="AS110" i="6"/>
  <c r="AS112" i="6"/>
  <c r="AS66" i="6"/>
  <c r="AT63" i="6" s="1"/>
  <c r="AR145" i="6"/>
  <c r="AR146" i="6" s="1"/>
  <c r="AR150" i="6" s="1"/>
  <c r="AP47" i="5"/>
  <c r="AP48" i="5" s="1"/>
  <c r="AQ40" i="5" s="1"/>
  <c r="AQ46" i="5" s="1"/>
  <c r="AR56" i="5" l="1"/>
  <c r="AQ47" i="5"/>
  <c r="AQ48" i="5" s="1"/>
  <c r="AR40" i="5" s="1"/>
  <c r="AR46" i="5" s="1"/>
  <c r="AR151" i="6"/>
  <c r="AR155" i="6"/>
  <c r="AR156" i="6" s="1"/>
  <c r="AT110" i="6"/>
  <c r="AT137" i="6"/>
  <c r="AT140" i="6" s="1"/>
  <c r="AT66" i="6"/>
  <c r="AU63" i="6" s="1"/>
  <c r="AT112" i="6"/>
  <c r="AS114" i="6"/>
  <c r="AS45" i="5" s="1"/>
  <c r="AS53" i="5" s="1"/>
  <c r="AS145" i="6"/>
  <c r="AS146" i="6" s="1"/>
  <c r="AS150" i="6" s="1"/>
  <c r="AS56" i="5" l="1"/>
  <c r="AR47" i="5"/>
  <c r="AR48" i="5" s="1"/>
  <c r="AS40" i="5" s="1"/>
  <c r="AS46" i="5" s="1"/>
  <c r="AS151" i="6"/>
  <c r="AS155" i="6"/>
  <c r="AS156" i="6" s="1"/>
  <c r="AU66" i="6"/>
  <c r="AV63" i="6" s="1"/>
  <c r="AU137" i="6"/>
  <c r="AU140" i="6" s="1"/>
  <c r="AU110" i="6"/>
  <c r="AU112" i="6"/>
  <c r="AT114" i="6"/>
  <c r="AT45" i="5" s="1"/>
  <c r="AT53" i="5" s="1"/>
  <c r="AT145" i="6"/>
  <c r="AT146" i="6" s="1"/>
  <c r="AT150" i="6" s="1"/>
  <c r="AT56" i="5" l="1"/>
  <c r="AU145" i="6"/>
  <c r="AU146" i="6" s="1"/>
  <c r="AU150" i="6" s="1"/>
  <c r="AU114" i="6"/>
  <c r="AU45" i="5" s="1"/>
  <c r="AU53" i="5" s="1"/>
  <c r="AT155" i="6"/>
  <c r="AT156" i="6" s="1"/>
  <c r="AT151" i="6"/>
  <c r="AV137" i="6"/>
  <c r="AV140" i="6" s="1"/>
  <c r="AV110" i="6"/>
  <c r="AV112" i="6"/>
  <c r="AV66" i="6"/>
  <c r="AW63" i="6" s="1"/>
  <c r="AS47" i="5"/>
  <c r="AS48" i="5" s="1"/>
  <c r="AT40" i="5" s="1"/>
  <c r="AT46" i="5" s="1"/>
  <c r="AU56" i="5" l="1"/>
  <c r="AT47" i="5"/>
  <c r="AT48" i="5" s="1"/>
  <c r="AU40" i="5" s="1"/>
  <c r="AU46" i="5" s="1"/>
  <c r="AW110" i="6"/>
  <c r="AW66" i="6"/>
  <c r="AX63" i="6" s="1"/>
  <c r="AW137" i="6"/>
  <c r="AW140" i="6" s="1"/>
  <c r="AW145" i="6" s="1"/>
  <c r="AW146" i="6" s="1"/>
  <c r="AW150" i="6" s="1"/>
  <c r="AW112" i="6"/>
  <c r="AV145" i="6"/>
  <c r="AV146" i="6" s="1"/>
  <c r="AV150" i="6" s="1"/>
  <c r="AV114" i="6"/>
  <c r="AV45" i="5" s="1"/>
  <c r="AV53" i="5" s="1"/>
  <c r="AU155" i="6"/>
  <c r="AU156" i="6" s="1"/>
  <c r="AU151" i="6"/>
  <c r="AV56" i="5" l="1"/>
  <c r="AX110" i="6"/>
  <c r="AX137" i="6"/>
  <c r="AX140" i="6" s="1"/>
  <c r="AX66" i="6"/>
  <c r="AX112" i="6"/>
  <c r="AV151" i="6"/>
  <c r="AV155" i="6"/>
  <c r="AV156" i="6" s="1"/>
  <c r="AU47" i="5"/>
  <c r="AU48" i="5" s="1"/>
  <c r="AV40" i="5" s="1"/>
  <c r="AV46" i="5" s="1"/>
  <c r="AW155" i="6"/>
  <c r="AW156" i="6" s="1"/>
  <c r="AW151" i="6"/>
  <c r="AW114" i="6"/>
  <c r="AW45" i="5" s="1"/>
  <c r="AW53" i="5" s="1"/>
  <c r="AW56" i="5" l="1"/>
  <c r="AV47" i="5"/>
  <c r="AV48" i="5" s="1"/>
  <c r="AW40" i="5" s="1"/>
  <c r="AW46" i="5" s="1"/>
  <c r="AX145" i="6"/>
  <c r="AX146" i="6" s="1"/>
  <c r="AX150" i="6" s="1"/>
  <c r="AS82" i="9"/>
  <c r="AR82" i="9"/>
  <c r="AW82" i="9"/>
  <c r="AO82" i="9"/>
  <c r="AM82" i="9"/>
  <c r="AP82" i="9"/>
  <c r="AU82" i="9"/>
  <c r="AT82" i="9"/>
  <c r="AY82" i="9"/>
  <c r="AX82" i="9"/>
  <c r="AQ82" i="9"/>
  <c r="AN82" i="9"/>
  <c r="AL82" i="9"/>
  <c r="AV82" i="9"/>
  <c r="L82" i="9"/>
  <c r="N82" i="9"/>
  <c r="M82" i="9"/>
  <c r="O82" i="9"/>
  <c r="P82" i="9"/>
  <c r="Q82" i="9"/>
  <c r="R82" i="9"/>
  <c r="S82" i="9"/>
  <c r="T82" i="9"/>
  <c r="V82" i="9"/>
  <c r="U82" i="9"/>
  <c r="W82" i="9"/>
  <c r="Z82" i="9"/>
  <c r="X82" i="9"/>
  <c r="Y82" i="9"/>
  <c r="AB82" i="9"/>
  <c r="AC82" i="9"/>
  <c r="AA82" i="9"/>
  <c r="AD82" i="9"/>
  <c r="AE82" i="9"/>
  <c r="AH82" i="9"/>
  <c r="AF82" i="9"/>
  <c r="AG82" i="9"/>
  <c r="AI82" i="9"/>
  <c r="AJ82" i="9"/>
  <c r="AK82" i="9"/>
  <c r="AX114" i="6"/>
  <c r="AX45" i="5" s="1"/>
  <c r="AX53" i="5" s="1"/>
  <c r="I59" i="6" l="1"/>
  <c r="AX56" i="5"/>
  <c r="I57" i="5" s="1"/>
  <c r="AW47" i="5"/>
  <c r="AW48" i="5" s="1"/>
  <c r="AX40" i="5" s="1"/>
  <c r="AX46" i="5" s="1"/>
  <c r="J84" i="9"/>
  <c r="AX155" i="6"/>
  <c r="AX156" i="6" s="1"/>
  <c r="AX151" i="6"/>
  <c r="AX47" i="5" l="1"/>
  <c r="AX48" i="5" s="1"/>
  <c r="U89" i="9"/>
  <c r="AE89" i="9"/>
  <c r="AG89" i="9"/>
  <c r="W89" i="9"/>
  <c r="AJ89" i="9"/>
  <c r="Q89" i="9"/>
  <c r="AI89" i="9"/>
  <c r="AF89" i="9"/>
  <c r="Y89" i="9"/>
  <c r="AP89" i="9"/>
  <c r="AW89" i="9"/>
  <c r="AN89" i="9"/>
  <c r="AL89" i="9"/>
  <c r="AO89" i="9"/>
  <c r="AB89" i="9"/>
  <c r="AD89" i="9"/>
  <c r="AQ89" i="9"/>
  <c r="M89" i="9"/>
  <c r="M93" i="9" s="1"/>
  <c r="S89" i="9"/>
  <c r="O89" i="9"/>
  <c r="AK89" i="9"/>
  <c r="AS89" i="9"/>
  <c r="X89" i="9"/>
  <c r="AA89" i="9"/>
  <c r="AX89" i="9"/>
  <c r="AC89" i="9"/>
  <c r="V89" i="9"/>
  <c r="AT89" i="9"/>
  <c r="P89" i="9"/>
  <c r="AU89" i="9"/>
  <c r="T89" i="9"/>
  <c r="J86" i="9"/>
  <c r="J96" i="9" s="1"/>
  <c r="I80" i="12" s="1"/>
  <c r="AR89" i="9"/>
  <c r="AV89" i="9"/>
  <c r="AY89" i="9"/>
  <c r="R89" i="9"/>
  <c r="Z89" i="9"/>
  <c r="N89" i="9"/>
  <c r="AH89" i="9"/>
  <c r="AM89" i="9"/>
  <c r="L89" i="9"/>
  <c r="AV93" i="9" l="1"/>
  <c r="AU75" i="12"/>
  <c r="AS93" i="9"/>
  <c r="AR75" i="12"/>
  <c r="X75" i="12"/>
  <c r="Y93" i="9"/>
  <c r="N75" i="12"/>
  <c r="O93" i="9"/>
  <c r="AH75" i="12"/>
  <c r="AI93" i="9"/>
  <c r="L75" i="12"/>
  <c r="O75" i="12"/>
  <c r="P93" i="9"/>
  <c r="AP75" i="12"/>
  <c r="AQ93" i="9"/>
  <c r="AI75" i="12"/>
  <c r="AJ93" i="9"/>
  <c r="AM93" i="9"/>
  <c r="AL75" i="12"/>
  <c r="AS75" i="12"/>
  <c r="AT93" i="9"/>
  <c r="AC75" i="12"/>
  <c r="AD93" i="9"/>
  <c r="V75" i="12"/>
  <c r="W93" i="9"/>
  <c r="AJ75" i="12"/>
  <c r="AK93" i="9"/>
  <c r="P75" i="12"/>
  <c r="Q93" i="9"/>
  <c r="AG75" i="12"/>
  <c r="AH93" i="9"/>
  <c r="U75" i="12"/>
  <c r="V93" i="9"/>
  <c r="AA75" i="12"/>
  <c r="AB93" i="9"/>
  <c r="AF75" i="12"/>
  <c r="AG93" i="9"/>
  <c r="AQ75" i="12"/>
  <c r="AR93" i="9"/>
  <c r="S75" i="12"/>
  <c r="T93" i="9"/>
  <c r="K75" i="12"/>
  <c r="L93" i="9"/>
  <c r="M75" i="12"/>
  <c r="N93" i="9"/>
  <c r="AB75" i="12"/>
  <c r="AC93" i="9"/>
  <c r="AO93" i="9"/>
  <c r="AN75" i="12"/>
  <c r="AD75" i="12"/>
  <c r="AE93" i="9"/>
  <c r="AO75" i="12"/>
  <c r="AP93" i="9"/>
  <c r="R75" i="12"/>
  <c r="S93" i="9"/>
  <c r="AW75" i="12"/>
  <c r="AX93" i="9"/>
  <c r="AL93" i="9"/>
  <c r="AK75" i="12"/>
  <c r="T75" i="12"/>
  <c r="U93" i="9"/>
  <c r="AU93" i="9"/>
  <c r="AT75" i="12"/>
  <c r="Y75" i="12"/>
  <c r="Z93" i="9"/>
  <c r="Q75" i="12"/>
  <c r="R93" i="9"/>
  <c r="Z75" i="12"/>
  <c r="AA93" i="9"/>
  <c r="AM75" i="12"/>
  <c r="AN93" i="9"/>
  <c r="AE75" i="12"/>
  <c r="AF93" i="9"/>
  <c r="AY93" i="9"/>
  <c r="AX75" i="12"/>
  <c r="W75" i="12"/>
  <c r="X93" i="9"/>
  <c r="AV75" i="12"/>
  <c r="AW93" i="9"/>
  <c r="J94" i="9" l="1"/>
  <c r="J98" i="9" s="1"/>
  <c r="AE99" i="9" l="1"/>
  <c r="AI99" i="9"/>
  <c r="AW99" i="9"/>
  <c r="V99" i="9"/>
  <c r="P99" i="9"/>
  <c r="AK108" i="9"/>
  <c r="V108" i="9"/>
  <c r="AR108" i="9"/>
  <c r="W108" i="9"/>
  <c r="AV99" i="9"/>
  <c r="AC99" i="9"/>
  <c r="AB51" i="12" s="1"/>
  <c r="AB53" i="12" s="1"/>
  <c r="H21" i="13"/>
  <c r="S99" i="9"/>
  <c r="AK99" i="9"/>
  <c r="AB99" i="9"/>
  <c r="AO99" i="9"/>
  <c r="AP99" i="9"/>
  <c r="AG99" i="9"/>
  <c r="AT108" i="9"/>
  <c r="AU108" i="9"/>
  <c r="R108" i="9"/>
  <c r="AA99" i="9"/>
  <c r="AR99" i="9"/>
  <c r="M99" i="9"/>
  <c r="AD99" i="9"/>
  <c r="AS99" i="9"/>
  <c r="AI108" i="9"/>
  <c r="S108" i="9"/>
  <c r="AM99" i="9"/>
  <c r="AT99" i="9"/>
  <c r="T99" i="9"/>
  <c r="AN99" i="9"/>
  <c r="AX99" i="9"/>
  <c r="P108" i="9"/>
  <c r="AV108" i="9"/>
  <c r="AA108" i="9"/>
  <c r="AH99" i="9"/>
  <c r="AL108" i="9"/>
  <c r="L108" i="9"/>
  <c r="AN108" i="9"/>
  <c r="Z108" i="9"/>
  <c r="AB108" i="9"/>
  <c r="AO108" i="9"/>
  <c r="W99" i="9"/>
  <c r="L99" i="9"/>
  <c r="AY99" i="9"/>
  <c r="U108" i="9"/>
  <c r="M108" i="9"/>
  <c r="AW108" i="9"/>
  <c r="AP108" i="9"/>
  <c r="Y108" i="9"/>
  <c r="AQ99" i="9"/>
  <c r="AS108" i="9"/>
  <c r="Y99" i="9"/>
  <c r="AF108" i="9"/>
  <c r="AJ99" i="9"/>
  <c r="AD108" i="9"/>
  <c r="AM108" i="9"/>
  <c r="U99" i="9"/>
  <c r="N108" i="9"/>
  <c r="O108" i="9"/>
  <c r="N99" i="9"/>
  <c r="O99" i="9"/>
  <c r="AH108" i="9"/>
  <c r="AJ108" i="9"/>
  <c r="AY108" i="9"/>
  <c r="AC108" i="9"/>
  <c r="T108" i="9"/>
  <c r="AF99" i="9"/>
  <c r="AE51" i="12" s="1"/>
  <c r="AE53" i="12" s="1"/>
  <c r="AG108" i="9"/>
  <c r="AE108" i="9"/>
  <c r="AU99" i="9"/>
  <c r="AT51" i="12" s="1"/>
  <c r="AT53" i="12" s="1"/>
  <c r="AX108" i="9"/>
  <c r="Q99" i="9"/>
  <c r="AQ108" i="9"/>
  <c r="AL99" i="9"/>
  <c r="Z99" i="9"/>
  <c r="Y51" i="12" s="1"/>
  <c r="Y53" i="12" s="1"/>
  <c r="Q108" i="9"/>
  <c r="R99" i="9"/>
  <c r="X108" i="9"/>
  <c r="X99" i="9"/>
  <c r="AX51" i="12" l="1"/>
  <c r="AX53" i="12" s="1"/>
  <c r="AQ51" i="12"/>
  <c r="AQ53" i="12" s="1"/>
  <c r="AQ58" i="12" s="1"/>
  <c r="K51" i="12"/>
  <c r="K53" i="12" s="1"/>
  <c r="K58" i="12" s="1"/>
  <c r="AW51" i="12"/>
  <c r="AW53" i="12" s="1"/>
  <c r="AW58" i="12" s="1"/>
  <c r="AK51" i="12"/>
  <c r="AK53" i="12" s="1"/>
  <c r="AK58" i="12" s="1"/>
  <c r="AI51" i="12"/>
  <c r="AI53" i="12" s="1"/>
  <c r="AI58" i="12" s="1"/>
  <c r="T51" i="12"/>
  <c r="T53" i="12" s="1"/>
  <c r="T58" i="12" s="1"/>
  <c r="AA51" i="12"/>
  <c r="AA53" i="12" s="1"/>
  <c r="AA58" i="12" s="1"/>
  <c r="P51" i="12"/>
  <c r="P53" i="12" s="1"/>
  <c r="P59" i="12" s="1"/>
  <c r="P64" i="12" s="1"/>
  <c r="P66" i="12" s="1"/>
  <c r="P70" i="12" s="1"/>
  <c r="P74" i="12" s="1"/>
  <c r="P77" i="12" s="1"/>
  <c r="AJ51" i="12"/>
  <c r="AJ53" i="12" s="1"/>
  <c r="AM51" i="12"/>
  <c r="AM53" i="12" s="1"/>
  <c r="AM58" i="12" s="1"/>
  <c r="W51" i="12"/>
  <c r="W53" i="12" s="1"/>
  <c r="W58" i="12" s="1"/>
  <c r="AG51" i="12"/>
  <c r="AG53" i="12" s="1"/>
  <c r="AG58" i="12" s="1"/>
  <c r="AT58" i="12"/>
  <c r="X51" i="12"/>
  <c r="X53" i="12" s="1"/>
  <c r="AS51" i="12"/>
  <c r="AS53" i="12" s="1"/>
  <c r="AF51" i="12"/>
  <c r="AF53" i="12" s="1"/>
  <c r="Z51" i="12"/>
  <c r="Z53" i="12" s="1"/>
  <c r="V51" i="12"/>
  <c r="V53" i="12" s="1"/>
  <c r="S51" i="12"/>
  <c r="S53" i="12" s="1"/>
  <c r="Y58" i="12"/>
  <c r="AL51" i="12"/>
  <c r="AL53" i="12" s="1"/>
  <c r="AO51" i="12"/>
  <c r="AO53" i="12" s="1"/>
  <c r="O51" i="12"/>
  <c r="O53" i="12" s="1"/>
  <c r="AX58" i="12"/>
  <c r="AU51" i="12"/>
  <c r="AU53" i="12" s="1"/>
  <c r="AP51" i="12"/>
  <c r="AP53" i="12" s="1"/>
  <c r="AN51" i="12"/>
  <c r="AN53" i="12" s="1"/>
  <c r="U51" i="12"/>
  <c r="U53" i="12" s="1"/>
  <c r="N51" i="12"/>
  <c r="N53" i="12" s="1"/>
  <c r="AV51" i="12"/>
  <c r="AV53" i="12" s="1"/>
  <c r="AB58" i="12"/>
  <c r="Q51" i="12"/>
  <c r="Q53" i="12" s="1"/>
  <c r="M51" i="12"/>
  <c r="M53" i="12" s="1"/>
  <c r="AR51" i="12"/>
  <c r="AR53" i="12" s="1"/>
  <c r="AH51" i="12"/>
  <c r="AH53" i="12" s="1"/>
  <c r="L51" i="12"/>
  <c r="L53" i="12" s="1"/>
  <c r="AE58" i="12"/>
  <c r="AC51" i="12"/>
  <c r="AC53" i="12" s="1"/>
  <c r="R51" i="12"/>
  <c r="R53" i="12" s="1"/>
  <c r="AD51" i="12"/>
  <c r="AD53" i="12" s="1"/>
  <c r="K59" i="12" l="1"/>
  <c r="K64" i="12" s="1"/>
  <c r="K66" i="12" s="1"/>
  <c r="K70" i="12" s="1"/>
  <c r="K74" i="12" s="1"/>
  <c r="K77" i="12" s="1"/>
  <c r="AJ58" i="12"/>
  <c r="P58" i="12"/>
  <c r="AS58" i="12"/>
  <c r="X58" i="12"/>
  <c r="AV58" i="12"/>
  <c r="Q58" i="12"/>
  <c r="AL58" i="12"/>
  <c r="K60" i="12"/>
  <c r="L57" i="12" s="1"/>
  <c r="L59" i="12" s="1"/>
  <c r="L64" i="12" s="1"/>
  <c r="L66" i="12" s="1"/>
  <c r="L70" i="12" s="1"/>
  <c r="L74" i="12" s="1"/>
  <c r="L77" i="12" s="1"/>
  <c r="L58" i="12"/>
  <c r="N59" i="12"/>
  <c r="N64" i="12" s="1"/>
  <c r="N66" i="12" s="1"/>
  <c r="N70" i="12" s="1"/>
  <c r="N74" i="12" s="1"/>
  <c r="N77" i="12" s="1"/>
  <c r="N58" i="12"/>
  <c r="M59" i="12"/>
  <c r="M64" i="12" s="1"/>
  <c r="M66" i="12" s="1"/>
  <c r="M70" i="12" s="1"/>
  <c r="M74" i="12" s="1"/>
  <c r="M77" i="12" s="1"/>
  <c r="M58" i="12"/>
  <c r="AH58" i="12"/>
  <c r="O58" i="12"/>
  <c r="O59" i="12"/>
  <c r="O64" i="12" s="1"/>
  <c r="O66" i="12" s="1"/>
  <c r="O70" i="12" s="1"/>
  <c r="O74" i="12" s="1"/>
  <c r="O77" i="12" s="1"/>
  <c r="S58" i="12"/>
  <c r="AO58" i="12"/>
  <c r="V58" i="12"/>
  <c r="AN58" i="12"/>
  <c r="AP58" i="12"/>
  <c r="R58" i="12"/>
  <c r="AU58" i="12"/>
  <c r="Z58" i="12"/>
  <c r="U58" i="12"/>
  <c r="AD58" i="12"/>
  <c r="AC58" i="12"/>
  <c r="AR58" i="12"/>
  <c r="AF58" i="12"/>
  <c r="L60" i="12" l="1"/>
  <c r="M57" i="12" s="1"/>
  <c r="M60" i="12" s="1"/>
  <c r="N57" i="12" s="1"/>
  <c r="N60" i="12" s="1"/>
  <c r="O57" i="12" s="1"/>
  <c r="O60" i="12" s="1"/>
  <c r="P57" i="12" s="1"/>
  <c r="P60" i="12" s="1"/>
  <c r="Q57" i="12" s="1"/>
  <c r="Q59" i="12" l="1"/>
  <c r="Q64" i="12" s="1"/>
  <c r="Q66" i="12" s="1"/>
  <c r="Q70" i="12" s="1"/>
  <c r="Q74" i="12" s="1"/>
  <c r="Q77" i="12" s="1"/>
  <c r="Q60" i="12" l="1"/>
  <c r="R57" i="12" s="1"/>
  <c r="R59" i="12" l="1"/>
  <c r="R64" i="12" s="1"/>
  <c r="R66" i="12" s="1"/>
  <c r="R70" i="12" s="1"/>
  <c r="R74" i="12" s="1"/>
  <c r="R77" i="12" s="1"/>
  <c r="R60" i="12" l="1"/>
  <c r="S57" i="12" s="1"/>
  <c r="S59" i="12" l="1"/>
  <c r="S64" i="12" s="1"/>
  <c r="S66" i="12" s="1"/>
  <c r="S70" i="12" s="1"/>
  <c r="S74" i="12" s="1"/>
  <c r="S77" i="12" s="1"/>
  <c r="S60" i="12" l="1"/>
  <c r="T57" i="12" s="1"/>
  <c r="T59" i="12" l="1"/>
  <c r="T64" i="12" s="1"/>
  <c r="T66" i="12" s="1"/>
  <c r="T70" i="12" s="1"/>
  <c r="T74" i="12" s="1"/>
  <c r="T77" i="12" s="1"/>
  <c r="T60" i="12" l="1"/>
  <c r="U57" i="12" s="1"/>
  <c r="U59" i="12" l="1"/>
  <c r="U64" i="12" s="1"/>
  <c r="U66" i="12" s="1"/>
  <c r="U70" i="12" s="1"/>
  <c r="U74" i="12" s="1"/>
  <c r="U77" i="12" s="1"/>
  <c r="U60" i="12" l="1"/>
  <c r="V57" i="12" s="1"/>
  <c r="V59" i="12" l="1"/>
  <c r="V64" i="12" s="1"/>
  <c r="V66" i="12" s="1"/>
  <c r="V70" i="12" s="1"/>
  <c r="V74" i="12" s="1"/>
  <c r="V77" i="12" s="1"/>
  <c r="V60" i="12" l="1"/>
  <c r="W57" i="12" s="1"/>
  <c r="W59" i="12" l="1"/>
  <c r="W64" i="12" s="1"/>
  <c r="W66" i="12" s="1"/>
  <c r="W70" i="12" s="1"/>
  <c r="W74" i="12" s="1"/>
  <c r="W77" i="12" s="1"/>
  <c r="W60" i="12" l="1"/>
  <c r="X57" i="12" s="1"/>
  <c r="X59" i="12" l="1"/>
  <c r="X64" i="12" s="1"/>
  <c r="X66" i="12" s="1"/>
  <c r="X70" i="12" s="1"/>
  <c r="X74" i="12" s="1"/>
  <c r="X77" i="12" s="1"/>
  <c r="X60" i="12" l="1"/>
  <c r="Y57" i="12" s="1"/>
  <c r="Y59" i="12" l="1"/>
  <c r="Y64" i="12" s="1"/>
  <c r="Y66" i="12" s="1"/>
  <c r="Y70" i="12" s="1"/>
  <c r="Y74" i="12" s="1"/>
  <c r="Y77" i="12" s="1"/>
  <c r="Y60" i="12" l="1"/>
  <c r="Z57" i="12" s="1"/>
  <c r="Z59" i="12" l="1"/>
  <c r="Z64" i="12" s="1"/>
  <c r="Z66" i="12" s="1"/>
  <c r="Z70" i="12" s="1"/>
  <c r="Z74" i="12" s="1"/>
  <c r="Z77" i="12" s="1"/>
  <c r="Z60" i="12" l="1"/>
  <c r="AA57" i="12" s="1"/>
  <c r="AA59" i="12" l="1"/>
  <c r="AA64" i="12" s="1"/>
  <c r="AA66" i="12" s="1"/>
  <c r="AA70" i="12" s="1"/>
  <c r="AA74" i="12" s="1"/>
  <c r="AA77" i="12" s="1"/>
  <c r="AA60" i="12" l="1"/>
  <c r="AB57" i="12" s="1"/>
  <c r="AB59" i="12" l="1"/>
  <c r="AB64" i="12" s="1"/>
  <c r="AB66" i="12" s="1"/>
  <c r="AB70" i="12" s="1"/>
  <c r="AB74" i="12" s="1"/>
  <c r="AB77" i="12" s="1"/>
  <c r="AB60" i="12" l="1"/>
  <c r="AC57" i="12" s="1"/>
  <c r="AC59" i="12" l="1"/>
  <c r="AC64" i="12" s="1"/>
  <c r="AC66" i="12" s="1"/>
  <c r="AC70" i="12" s="1"/>
  <c r="AC74" i="12" s="1"/>
  <c r="AC77" i="12" s="1"/>
  <c r="AC60" i="12" l="1"/>
  <c r="AD57" i="12" s="1"/>
  <c r="AD59" i="12" l="1"/>
  <c r="AD64" i="12" s="1"/>
  <c r="AD66" i="12" s="1"/>
  <c r="AD70" i="12" s="1"/>
  <c r="AD74" i="12" s="1"/>
  <c r="AD77" i="12" s="1"/>
  <c r="AD60" i="12" l="1"/>
  <c r="AE57" i="12" s="1"/>
  <c r="AE59" i="12" l="1"/>
  <c r="AE64" i="12" s="1"/>
  <c r="AE66" i="12" s="1"/>
  <c r="AE70" i="12" s="1"/>
  <c r="AE74" i="12" s="1"/>
  <c r="AE77" i="12" s="1"/>
  <c r="AE60" i="12" l="1"/>
  <c r="AF57" i="12" s="1"/>
  <c r="AF59" i="12" l="1"/>
  <c r="AF64" i="12" s="1"/>
  <c r="AF66" i="12" s="1"/>
  <c r="AF70" i="12" s="1"/>
  <c r="AF74" i="12" s="1"/>
  <c r="AF77" i="12" s="1"/>
  <c r="AF60" i="12" l="1"/>
  <c r="AG57" i="12" s="1"/>
  <c r="AG59" i="12" l="1"/>
  <c r="AG64" i="12" s="1"/>
  <c r="AG66" i="12" s="1"/>
  <c r="AG70" i="12" s="1"/>
  <c r="AG74" i="12" s="1"/>
  <c r="AG77" i="12" s="1"/>
  <c r="AG60" i="12" l="1"/>
  <c r="AH57" i="12" s="1"/>
  <c r="AH59" i="12" l="1"/>
  <c r="AH64" i="12" s="1"/>
  <c r="AH66" i="12" s="1"/>
  <c r="AH70" i="12" s="1"/>
  <c r="AH74" i="12" s="1"/>
  <c r="AH77" i="12" s="1"/>
  <c r="AH60" i="12" l="1"/>
  <c r="AI57" i="12" s="1"/>
  <c r="AI59" i="12" l="1"/>
  <c r="AI64" i="12" s="1"/>
  <c r="AI66" i="12" s="1"/>
  <c r="AI70" i="12" s="1"/>
  <c r="AI74" i="12" s="1"/>
  <c r="AI77" i="12" s="1"/>
  <c r="AI60" i="12" l="1"/>
  <c r="AJ57" i="12" s="1"/>
  <c r="AJ59" i="12" l="1"/>
  <c r="AJ64" i="12" s="1"/>
  <c r="AJ66" i="12" s="1"/>
  <c r="AJ70" i="12" s="1"/>
  <c r="AJ74" i="12" s="1"/>
  <c r="AJ77" i="12" s="1"/>
  <c r="AJ60" i="12" l="1"/>
  <c r="AK57" i="12" s="1"/>
  <c r="AK59" i="12" s="1"/>
  <c r="AK64" i="12" s="1"/>
  <c r="AK66" i="12" s="1"/>
  <c r="AK70" i="12" s="1"/>
  <c r="AK74" i="12" s="1"/>
  <c r="AK77" i="12" s="1"/>
  <c r="AK60" i="12" l="1"/>
  <c r="AL57" i="12" s="1"/>
  <c r="AL59" i="12" s="1"/>
  <c r="AL64" i="12" s="1"/>
  <c r="AL66" i="12" s="1"/>
  <c r="AL70" i="12" s="1"/>
  <c r="AL74" i="12" s="1"/>
  <c r="AL77" i="12" s="1"/>
  <c r="AL60" i="12" l="1"/>
  <c r="AM57" i="12" s="1"/>
  <c r="AM59" i="12" l="1"/>
  <c r="AM64" i="12" s="1"/>
  <c r="AM66" i="12" s="1"/>
  <c r="AM70" i="12" s="1"/>
  <c r="AM74" i="12" s="1"/>
  <c r="AM77" i="12" s="1"/>
  <c r="AM60" i="12" l="1"/>
  <c r="AN57" i="12" s="1"/>
  <c r="AN59" i="12" l="1"/>
  <c r="AN64" i="12" s="1"/>
  <c r="AN66" i="12" s="1"/>
  <c r="AN70" i="12" s="1"/>
  <c r="AN74" i="12" s="1"/>
  <c r="AN77" i="12" s="1"/>
  <c r="AN60" i="12" l="1"/>
  <c r="AO57" i="12" s="1"/>
  <c r="AO59" i="12" l="1"/>
  <c r="AO64" i="12" s="1"/>
  <c r="AO66" i="12" s="1"/>
  <c r="AO70" i="12" s="1"/>
  <c r="AO74" i="12" s="1"/>
  <c r="AO77" i="12" s="1"/>
  <c r="AO60" i="12" l="1"/>
  <c r="AP57" i="12" s="1"/>
  <c r="AP59" i="12" l="1"/>
  <c r="AP64" i="12" s="1"/>
  <c r="AP66" i="12" s="1"/>
  <c r="AP70" i="12" s="1"/>
  <c r="AP74" i="12" s="1"/>
  <c r="AP77" i="12" s="1"/>
  <c r="AP60" i="12" l="1"/>
  <c r="AQ57" i="12" s="1"/>
  <c r="AQ59" i="12" l="1"/>
  <c r="AQ64" i="12" s="1"/>
  <c r="AQ66" i="12" s="1"/>
  <c r="AQ70" i="12" s="1"/>
  <c r="AQ74" i="12" s="1"/>
  <c r="AQ77" i="12" s="1"/>
  <c r="AQ60" i="12" l="1"/>
  <c r="AR57" i="12" s="1"/>
  <c r="AR59" i="12" l="1"/>
  <c r="AR64" i="12" s="1"/>
  <c r="AR66" i="12" s="1"/>
  <c r="AR70" i="12" s="1"/>
  <c r="AR74" i="12" s="1"/>
  <c r="AR77" i="12" s="1"/>
  <c r="AR60" i="12" l="1"/>
  <c r="AS57" i="12" s="1"/>
  <c r="AS59" i="12" l="1"/>
  <c r="AS64" i="12" s="1"/>
  <c r="AS66" i="12" s="1"/>
  <c r="AS70" i="12" s="1"/>
  <c r="AS74" i="12" s="1"/>
  <c r="AS77" i="12" s="1"/>
  <c r="AS60" i="12" l="1"/>
  <c r="AT57" i="12" s="1"/>
  <c r="AT59" i="12" l="1"/>
  <c r="AT64" i="12" s="1"/>
  <c r="AT66" i="12" s="1"/>
  <c r="AT70" i="12" s="1"/>
  <c r="AT74" i="12" s="1"/>
  <c r="AT77" i="12" s="1"/>
  <c r="AT60" i="12" l="1"/>
  <c r="AU57" i="12" s="1"/>
  <c r="AU59" i="12" l="1"/>
  <c r="AU64" i="12" s="1"/>
  <c r="AU66" i="12" s="1"/>
  <c r="AU70" i="12" s="1"/>
  <c r="AU74" i="12" s="1"/>
  <c r="AU77" i="12" s="1"/>
  <c r="AU60" i="12" l="1"/>
  <c r="AV57" i="12" s="1"/>
  <c r="AV59" i="12" l="1"/>
  <c r="AV64" i="12" s="1"/>
  <c r="AV66" i="12" s="1"/>
  <c r="AV70" i="12" s="1"/>
  <c r="AV74" i="12" s="1"/>
  <c r="AV77" i="12" s="1"/>
  <c r="AV60" i="12" l="1"/>
  <c r="AW57" i="12" s="1"/>
  <c r="AW59" i="12" l="1"/>
  <c r="AW64" i="12" s="1"/>
  <c r="AW66" i="12" s="1"/>
  <c r="AW70" i="12" s="1"/>
  <c r="AW74" i="12" s="1"/>
  <c r="AW77" i="12" s="1"/>
  <c r="AW60" i="12" l="1"/>
  <c r="AX57" i="12" s="1"/>
  <c r="AX59" i="12" l="1"/>
  <c r="AX64" i="12" s="1"/>
  <c r="AX66" i="12" s="1"/>
  <c r="AX70" i="12" s="1"/>
  <c r="AX74" i="12" s="1"/>
  <c r="AX77" i="12" s="1"/>
  <c r="I78" i="12" s="1"/>
  <c r="I82" i="12" s="1"/>
  <c r="H22" i="13" s="1"/>
  <c r="H23" i="13" s="1"/>
  <c r="AX60" i="1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<sst xmlns="http://schemas.openxmlformats.org/spreadsheetml/2006/main" count="1433" uniqueCount="512">
  <si>
    <t>Long Duration Electricity Storage Cap and Floor Financial Model (LDES CFFM)</t>
  </si>
  <si>
    <t>Regime design model</t>
  </si>
  <si>
    <r>
      <t>DISCLAIMER:</t>
    </r>
    <r>
      <rPr>
        <sz val="10"/>
        <color rgb="FF000000"/>
        <rFont val="Calibri"/>
        <family val="2"/>
      </rPr>
      <t xml:space="preserve"> In the event of any inconsistency between this model and a project's licence, the licence conditions take precedence.</t>
    </r>
  </si>
  <si>
    <t>For guidance on the use of the LDES CFFM, please refer to the LDES CFFM Handbook (LDES CFFMH).</t>
  </si>
  <si>
    <t>Model key</t>
  </si>
  <si>
    <t>Sample</t>
  </si>
  <si>
    <t>Calculated value</t>
  </si>
  <si>
    <t>Formula changes in cells to the right</t>
  </si>
  <si>
    <t>Import from other sheet</t>
  </si>
  <si>
    <t>Export to other sheet</t>
  </si>
  <si>
    <t>Import from &amp; export to other sheet</t>
  </si>
  <si>
    <t>Initial input</t>
  </si>
  <si>
    <t>Initial input for non-GB indexed portion (to be left empty if GB-indexed only)</t>
  </si>
  <si>
    <t>Updated input</t>
  </si>
  <si>
    <t>Notes and instructions</t>
  </si>
  <si>
    <t>Cell intentionally blank</t>
  </si>
  <si>
    <t>Rows added to accommodate project-finance related inputs and calculations</t>
  </si>
  <si>
    <t>Contents</t>
  </si>
  <si>
    <t>Cover</t>
  </si>
  <si>
    <t>Model key and content directory</t>
  </si>
  <si>
    <t>Version Control</t>
  </si>
  <si>
    <t>Version control and log of changes</t>
  </si>
  <si>
    <t>Inputs</t>
  </si>
  <si>
    <t>Input data</t>
  </si>
  <si>
    <t>Data Sources</t>
  </si>
  <si>
    <t>Sources of input data</t>
  </si>
  <si>
    <t>Pre Op RAV</t>
  </si>
  <si>
    <t>Pre-operational RAV balances and project-finance eligible costs</t>
  </si>
  <si>
    <t>Finance</t>
  </si>
  <si>
    <t>Interest during construction, transaction costs, project-finance debt service</t>
  </si>
  <si>
    <t>Op RAV</t>
  </si>
  <si>
    <t>Operational RAV balances, return on RAV and RAV depreciation</t>
  </si>
  <si>
    <t>Allowances Cap</t>
  </si>
  <si>
    <t>Cap allowances (excluding tax) and annuitisation</t>
  </si>
  <si>
    <t>Allowances Floor</t>
  </si>
  <si>
    <t>Floor allowances (excluding tax) and annuitisation</t>
  </si>
  <si>
    <t>Tax Deductions</t>
  </si>
  <si>
    <t>Tax calculations</t>
  </si>
  <si>
    <t>Tax Cap</t>
  </si>
  <si>
    <t>Tax allowances at cap and annuitisation</t>
  </si>
  <si>
    <t>Tax Floor</t>
  </si>
  <si>
    <t>Tax allowances at floor and annuitisation</t>
  </si>
  <si>
    <t>Cap Floor Levels</t>
  </si>
  <si>
    <t>Cap and Floor values</t>
  </si>
  <si>
    <t>Future Cashflows</t>
  </si>
  <si>
    <t>Future cashflows for residual value</t>
  </si>
  <si>
    <t>Checks</t>
  </si>
  <si>
    <t>Depreciation</t>
  </si>
  <si>
    <t>Debt tenor</t>
  </si>
  <si>
    <t>End of sheet</t>
  </si>
  <si>
    <t>Version control</t>
  </si>
  <si>
    <t>Version number</t>
  </si>
  <si>
    <t>File pathname</t>
  </si>
  <si>
    <t>Based on version</t>
  </si>
  <si>
    <t>Author or editor</t>
  </si>
  <si>
    <t>Date</t>
  </si>
  <si>
    <t>Description of changes</t>
  </si>
  <si>
    <t>Rationale for changes</t>
  </si>
  <si>
    <t>Location of changes</t>
  </si>
  <si>
    <t>Impact of changes on outputs</t>
  </si>
  <si>
    <t>Quality assurance performed? By?</t>
  </si>
  <si>
    <t>Comments on QA performed</t>
  </si>
  <si>
    <t>N/a</t>
  </si>
  <si>
    <t>CEPA</t>
  </si>
  <si>
    <t>Licence</t>
  </si>
  <si>
    <t>Parameter</t>
  </si>
  <si>
    <t>Units</t>
  </si>
  <si>
    <t>Terminology</t>
  </si>
  <si>
    <t>Constant</t>
  </si>
  <si>
    <t>Annual values</t>
  </si>
  <si>
    <t>Base year price term</t>
  </si>
  <si>
    <t>£m 2024 prices</t>
  </si>
  <si>
    <t>Variables set after financial close</t>
  </si>
  <si>
    <t>Actual values</t>
  </si>
  <si>
    <t>Year commencing</t>
  </si>
  <si>
    <t>Year ending</t>
  </si>
  <si>
    <t>Development costs</t>
  </si>
  <si>
    <t>£m nominal prices</t>
  </si>
  <si>
    <t>Capex</t>
  </si>
  <si>
    <t>Spares</t>
  </si>
  <si>
    <t>Base year UK CPIH inflation index value (L522)</t>
  </si>
  <si>
    <t>Jan 2015 = 100</t>
  </si>
  <si>
    <t>UK CPIH index 2024</t>
  </si>
  <si>
    <t>Expected UK CPIH Inflation</t>
  </si>
  <si>
    <t>12 month average UK CPIH inflation index value</t>
  </si>
  <si>
    <t xml:space="preserve">UK CPIH index </t>
  </si>
  <si>
    <t>Indexation factor</t>
  </si>
  <si>
    <t>CPIt</t>
  </si>
  <si>
    <t>Residual value at end of regime</t>
  </si>
  <si>
    <t>Ex-ante allowances for the operational period</t>
  </si>
  <si>
    <t>Operational Year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</si>
  <si>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</si>
  <si>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</si>
  <si>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</si>
  <si>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</si>
  <si>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</si>
  <si>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</si>
  <si>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</si>
  <si>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</si>
  <si>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</si>
  <si>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</si>
  <si>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</si>
  <si>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</si>
  <si>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</si>
  <si>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</si>
  <si>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</si>
  <si>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</si>
  <si>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</si>
  <si>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</si>
  <si>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</si>
  <si>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</si>
  <si>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</si>
  <si>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Year 22</t>
  </si>
  <si>
    <t>Year 23</t>
  </si>
  <si>
    <t>Year 24</t>
  </si>
  <si>
    <t>Year 25</t>
  </si>
  <si>
    <t>Year 26</t>
  </si>
  <si>
    <t>Year 27</t>
  </si>
  <si>
    <t>Year 28</t>
  </si>
  <si>
    <t>Year 29</t>
  </si>
  <si>
    <t>Year 30</t>
  </si>
  <si>
    <t>Year 31</t>
  </si>
  <si>
    <t>Year 32</t>
  </si>
  <si>
    <t>Year 33</t>
  </si>
  <si>
    <t>Year 34</t>
  </si>
  <si>
    <t>Year 35</t>
  </si>
  <si>
    <t>Year 36</t>
  </si>
  <si>
    <t>Year 37</t>
  </si>
  <si>
    <t>Year 38</t>
  </si>
  <si>
    <t>Year 39</t>
  </si>
  <si>
    <t>Year 40</t>
  </si>
  <si>
    <t>Replacement Capex</t>
  </si>
  <si>
    <t>Decommissioning baseline</t>
  </si>
  <si>
    <t>Controllable Opex</t>
  </si>
  <si>
    <t>Non-controllable Opex baseline</t>
  </si>
  <si>
    <t>Variables set at financial close</t>
  </si>
  <si>
    <t>Cap return rate</t>
  </si>
  <si>
    <t>real annual %</t>
  </si>
  <si>
    <t>Floor return rate</t>
  </si>
  <si>
    <t>Cost of debt (for tax)</t>
  </si>
  <si>
    <t>Administrative interest during construction (IDC) rate</t>
  </si>
  <si>
    <t xml:space="preserve">IDC incentive amount </t>
  </si>
  <si>
    <t>%</t>
  </si>
  <si>
    <t>IDC rate applied</t>
  </si>
  <si>
    <t>Pre-operational notional gearing</t>
  </si>
  <si>
    <t>Operational notional gearing</t>
  </si>
  <si>
    <t>Equity transaction costs</t>
  </si>
  <si>
    <t>Debt transaction costs</t>
  </si>
  <si>
    <t>Actual cost of debt (inputs are not the exact project values, selected to generate the exact actual floor level determined in the project finance financial model)</t>
  </si>
  <si>
    <t>Project finance key input: senior debt amount or gearing</t>
  </si>
  <si>
    <t>1: Amount (£m)
2: Gearing (%)</t>
  </si>
  <si>
    <t>Project finance senior debt amount (input if 1; empty if 2)</t>
  </si>
  <si>
    <t>Project finance actual gearing (input if 2; empty if 1)</t>
  </si>
  <si>
    <t>Proportion of debt fixed-rate</t>
  </si>
  <si>
    <t>Senior Debt tenor</t>
  </si>
  <si>
    <t>full years</t>
  </si>
  <si>
    <t>Senior Debt tail requirement</t>
  </si>
  <si>
    <t>DSCR sizing</t>
  </si>
  <si>
    <t>DSCRx</t>
  </si>
  <si>
    <t>Fixed rate - Construction</t>
  </si>
  <si>
    <t>nominal %</t>
  </si>
  <si>
    <t>Fixed rate - Operation</t>
  </si>
  <si>
    <t>Senior Debt construction margin</t>
  </si>
  <si>
    <t>of which: swap margin</t>
  </si>
  <si>
    <t>Senior Debt upfront fee</t>
  </si>
  <si>
    <t>Senior Debt commitment fee</t>
  </si>
  <si>
    <t>% of applicable margin</t>
  </si>
  <si>
    <t>Senior Debt drawdown year</t>
  </si>
  <si>
    <t>Year</t>
  </si>
  <si>
    <t>Senior Debt drawdown profile</t>
  </si>
  <si>
    <t>Debt Service Reserve Facility/Account amount</t>
  </si>
  <si>
    <t>Debt Service Reserve Facility upfront fee</t>
  </si>
  <si>
    <t>Debt Service Reserve Facility construction margin</t>
  </si>
  <si>
    <t>Debt Service Reserve Facility commitment fee</t>
  </si>
  <si>
    <t>Cap and Floor Liquidity Facility amount</t>
  </si>
  <si>
    <t>Cap and Floor Liquidity Facility average outstanding loan</t>
  </si>
  <si>
    <t>Cap and Floor Liquidity Facility upfront fee</t>
  </si>
  <si>
    <t>Cap and Floor Liquidity Facility construction margin</t>
  </si>
  <si>
    <t>Cap and Floor Liquidity Facility commitment fee</t>
  </si>
  <si>
    <t>Standby Debt Facility amount</t>
  </si>
  <si>
    <t>Standby Debt Facility upfront fee</t>
  </si>
  <si>
    <t>Standby Debt Facility construction margin</t>
  </si>
  <si>
    <t>Standby Debt Facility commitment fee</t>
  </si>
  <si>
    <t>VAT Facility amount</t>
  </si>
  <si>
    <t>VAT Facility average outstanding loan</t>
  </si>
  <si>
    <t>VAT Facility upfront fee</t>
  </si>
  <si>
    <t>VAT Facility construction margin</t>
  </si>
  <si>
    <t>VAT Facility commitment fee</t>
  </si>
  <si>
    <t>Other Facilities amount</t>
  </si>
  <si>
    <t>Other Facilities upfront fee</t>
  </si>
  <si>
    <t>Other Facilities construction margin</t>
  </si>
  <si>
    <t>Other Facilities commitment fee</t>
  </si>
  <si>
    <t>Debt Service Reserve: Facility or Account</t>
  </si>
  <si>
    <t>1: DSRF
2: DSRA</t>
  </si>
  <si>
    <t>Switch for transaction costs in taxes</t>
  </si>
  <si>
    <t>1: notional costs
2: actual costs</t>
  </si>
  <si>
    <t>Senior Debt repayment year</t>
  </si>
  <si>
    <t>Senior Debt repayment profile</t>
  </si>
  <si>
    <t>Senior Debt operation margin (including swap margin)</t>
  </si>
  <si>
    <t>Debt Service Reserve Facility operation margin</t>
  </si>
  <si>
    <t>Cap and Floor Liquidity Facility operation margin</t>
  </si>
  <si>
    <t>Standby Debt Facility operation margin</t>
  </si>
  <si>
    <t>VAT Facility operation margin</t>
  </si>
  <si>
    <t>Other facilities operation margin</t>
  </si>
  <si>
    <t>Model operation</t>
  </si>
  <si>
    <t>Partial inflation indexation switch</t>
  </si>
  <si>
    <t>Yes</t>
  </si>
  <si>
    <t>IDC delivery incentive switch</t>
  </si>
  <si>
    <t>No</t>
  </si>
  <si>
    <t>Model start date</t>
  </si>
  <si>
    <t>date</t>
  </si>
  <si>
    <t>Regime start date</t>
  </si>
  <si>
    <t>End date for IDC</t>
  </si>
  <si>
    <t>Planned start of operations</t>
  </si>
  <si>
    <t>Actual start of operations</t>
  </si>
  <si>
    <t>Delivery years behind or ahead of schedule</t>
  </si>
  <si>
    <t>Regime end date</t>
  </si>
  <si>
    <t>Debt end date</t>
  </si>
  <si>
    <t>Debt tail end date</t>
  </si>
  <si>
    <t>Regime duration</t>
  </si>
  <si>
    <t>Debt tenor &lt;= (Regime end date - Start of operations)</t>
  </si>
  <si>
    <t>check</t>
  </si>
  <si>
    <t>Days in year</t>
  </si>
  <si>
    <t>days</t>
  </si>
  <si>
    <t>IDC flag</t>
  </si>
  <si>
    <t>flag</t>
  </si>
  <si>
    <t>Post-IDC and pre-operations flag</t>
  </si>
  <si>
    <t>Operations flag</t>
  </si>
  <si>
    <t>Regime flag</t>
  </si>
  <si>
    <t>Regime years</t>
  </si>
  <si>
    <t>count</t>
  </si>
  <si>
    <t>Transfer construction to operations flag - Notional</t>
  </si>
  <si>
    <t>Transfer construction to operations flag - ACOD</t>
  </si>
  <si>
    <t>`</t>
  </si>
  <si>
    <t>Initial transaction costs flag</t>
  </si>
  <si>
    <t>Financial close flag</t>
  </si>
  <si>
    <t>Debt drawdown flag</t>
  </si>
  <si>
    <t>Debt repayment flag</t>
  </si>
  <si>
    <t>Debt repayment years</t>
  </si>
  <si>
    <t>Debt tail flag</t>
  </si>
  <si>
    <t>Tax - operational years</t>
  </si>
  <si>
    <t>Corporation tax rate</t>
  </si>
  <si>
    <t>Capital allowance rate (declining balance)</t>
  </si>
  <si>
    <t>Tax - inflation</t>
  </si>
  <si>
    <t>Regime year</t>
  </si>
  <si>
    <t>Long-term expected UK CPIH inflation</t>
  </si>
  <si>
    <t>Start of price base year</t>
  </si>
  <si>
    <t>End of price base year</t>
  </si>
  <si>
    <t>UK CPIH uplift from 2024 term to start of regime</t>
  </si>
  <si>
    <t>scalar</t>
  </si>
  <si>
    <t>Reference row in</t>
  </si>
  <si>
    <t>Inputs sheet</t>
  </si>
  <si>
    <t>Source</t>
  </si>
  <si>
    <t>Link</t>
  </si>
  <si>
    <t>Indexation, currency and base year price term</t>
  </si>
  <si>
    <t>Assumption</t>
  </si>
  <si>
    <t>Office for National Statistics</t>
  </si>
  <si>
    <t>CPIH Index 00: All Items 2015=100</t>
  </si>
  <si>
    <t>Residual value</t>
  </si>
  <si>
    <t>IDC incentive amount</t>
  </si>
  <si>
    <t>Actual cost of debt</t>
  </si>
  <si>
    <t>Yes/No</t>
  </si>
  <si>
    <t xml:space="preserve">Tax </t>
  </si>
  <si>
    <t>HM Revenue and Customs</t>
  </si>
  <si>
    <t>Flags</t>
  </si>
  <si>
    <t>RAV</t>
  </si>
  <si>
    <t>Pre-operational</t>
  </si>
  <si>
    <t>Opening pre-operational RAV (before transfers)</t>
  </si>
  <si>
    <t>Closing pre-operational RAV (after IDC)</t>
  </si>
  <si>
    <t>Pre-operational RAV transfers</t>
  </si>
  <si>
    <t>Closing pre-operational RAV (after IDC) - adjusted for RAV transfers</t>
  </si>
  <si>
    <t>Opening development costs (before transfers)</t>
  </si>
  <si>
    <t>Closing development costs (before transfers)</t>
  </si>
  <si>
    <t>Development costs transfers</t>
  </si>
  <si>
    <t>Closing development costs (after transfers)</t>
  </si>
  <si>
    <t>Pre-operational costs</t>
  </si>
  <si>
    <t>Opening eligible costs</t>
  </si>
  <si>
    <t>DSRA funding</t>
  </si>
  <si>
    <t>Financial expenses during construction</t>
  </si>
  <si>
    <t>Closing eligible costs</t>
  </si>
  <si>
    <t>Eligible costs transfer</t>
  </si>
  <si>
    <t>Closing eligible costs - adjusted for transfer</t>
  </si>
  <si>
    <t>Eligible costs</t>
  </si>
  <si>
    <t>Note: Due to the circularity of the interest calculation, "Copy-PasteValues" must be performed from Row 52 to Row 53 until the circularity check shows 'OK'</t>
  </si>
  <si>
    <t>Eligible costs - copy</t>
  </si>
  <si>
    <t>Eligible costs - paste</t>
  </si>
  <si>
    <t>Delta</t>
  </si>
  <si>
    <t>Circularity check</t>
  </si>
  <si>
    <t>Debt repayment year</t>
  </si>
  <si>
    <t>Pre-operational interest during construction</t>
  </si>
  <si>
    <t>Interest during construction rate</t>
  </si>
  <si>
    <t>Capitalised interest during construction</t>
  </si>
  <si>
    <t>Transaction costs</t>
  </si>
  <si>
    <t>Parameters</t>
  </si>
  <si>
    <t>Allowance</t>
  </si>
  <si>
    <t>Transaction costs - opening</t>
  </si>
  <si>
    <t>Initial debt transaction costs</t>
  </si>
  <si>
    <t>Initial equity transaction costs</t>
  </si>
  <si>
    <t>Final debt transaction costs</t>
  </si>
  <si>
    <t>Final equity transaction costs</t>
  </si>
  <si>
    <t>Transaction costs - annual movement</t>
  </si>
  <si>
    <t>Capitalised IDC on transaction costs</t>
  </si>
  <si>
    <t>Transfer to operational RAV</t>
  </si>
  <si>
    <t>Transaction costs - closing</t>
  </si>
  <si>
    <t>Debt balance and reserves</t>
  </si>
  <si>
    <t>Project finance senior debt amount</t>
  </si>
  <si>
    <t>Project finance actual gearing on eligible costs</t>
  </si>
  <si>
    <t>Senior debt drawdown profile</t>
  </si>
  <si>
    <t>Senior debt repayment profile</t>
  </si>
  <si>
    <t>Opening senior debt balance</t>
  </si>
  <si>
    <t>Senior debt drawdowns</t>
  </si>
  <si>
    <t>Senior debt repayments</t>
  </si>
  <si>
    <t>Closing senior debt balance</t>
  </si>
  <si>
    <t>Debt Service Reserve Facility amount</t>
  </si>
  <si>
    <t>Other facilities amount</t>
  </si>
  <si>
    <t>Upfront fee - Senior Debt</t>
  </si>
  <si>
    <t>Upfront fee - Debt Service Reserve Facility</t>
  </si>
  <si>
    <t>Upfront fee - Cap and Floor Liquidity Facility</t>
  </si>
  <si>
    <t>Upfront fee - Standby Debt Facility</t>
  </si>
  <si>
    <t>Upfront fee - VAT Facility</t>
  </si>
  <si>
    <t>Upfront fee - Other facilities</t>
  </si>
  <si>
    <t>Construction margin - Senior Debt</t>
  </si>
  <si>
    <t>Construction margin - Debt Service Reserve Facility</t>
  </si>
  <si>
    <t>Construction margin - Cap and Floor Liquidity Facility</t>
  </si>
  <si>
    <t>Construction margin - Standby Debt Facility</t>
  </si>
  <si>
    <t>Construction margin - VAT Facility</t>
  </si>
  <si>
    <t>Construction margin - Other facilities</t>
  </si>
  <si>
    <t>Total interest rate - Senior Debt</t>
  </si>
  <si>
    <t xml:space="preserve">Total interest rate - Debt Service Reserve Facility </t>
  </si>
  <si>
    <t>Total interest rate - Cap and Floor Liquidity Facility</t>
  </si>
  <si>
    <t>Total interest rate - Standby Debt Facility</t>
  </si>
  <si>
    <t>Total interest rate - VAT Facility</t>
  </si>
  <si>
    <t>Total interest rate - Other facilities</t>
  </si>
  <si>
    <t>Commitment fee - Senior Debt</t>
  </si>
  <si>
    <t>Commitment fee - Debt Service Reserve Facility</t>
  </si>
  <si>
    <t>Commitment fee - Cap and Floor Liquidity Facility</t>
  </si>
  <si>
    <t>Commitment fee - Standby Debt Facility</t>
  </si>
  <si>
    <t>Commitment fee - VAT Facility</t>
  </si>
  <si>
    <t>Commitment fee - Other facilities</t>
  </si>
  <si>
    <t>Upfront fee payable - Senior Debt</t>
  </si>
  <si>
    <t>Upfront fee payable - Ancillary Facilities</t>
  </si>
  <si>
    <t>Interest payable - Senior Debt</t>
  </si>
  <si>
    <t>Interest payable - Ancillary Facilities</t>
  </si>
  <si>
    <t>Commitment fee payable - Senior Debt</t>
  </si>
  <si>
    <t>Commitment fee payable - Ancillary Facilities</t>
  </si>
  <si>
    <t>Financial expenses during operation</t>
  </si>
  <si>
    <t>Operation margin (including swap margin) - Senior Debt</t>
  </si>
  <si>
    <t>Operation margin - Debt Service Reserve Facility</t>
  </si>
  <si>
    <t>Operation margin - Cap and Floor Liquidity Facility</t>
  </si>
  <si>
    <t>Operation margin - Standby Debt Facility</t>
  </si>
  <si>
    <t>Operation margin - Other facilities</t>
  </si>
  <si>
    <t>Debt service</t>
  </si>
  <si>
    <t>Principal repayment</t>
  </si>
  <si>
    <t>Total debt service</t>
  </si>
  <si>
    <t>Total debt service including buffer</t>
  </si>
  <si>
    <t>Total fixed-rate debt service including buffer</t>
  </si>
  <si>
    <t>DSRA calculation</t>
  </si>
  <si>
    <t xml:space="preserve">DSRA pre-funding </t>
  </si>
  <si>
    <t>Project year</t>
  </si>
  <si>
    <t>Operational</t>
  </si>
  <si>
    <t>Opening operational RAV (before transfers)</t>
  </si>
  <si>
    <t>Transfers of transaction costs</t>
  </si>
  <si>
    <t>Transfers of pre-operational RAV</t>
  </si>
  <si>
    <t>Opening operational RAV (after transfers)</t>
  </si>
  <si>
    <t>Depreciation (negative)</t>
  </si>
  <si>
    <t>Closing operational RAV</t>
  </si>
  <si>
    <t>Average operational RAV</t>
  </si>
  <si>
    <t>Operational RAV depreciation</t>
  </si>
  <si>
    <t>Number of operational years</t>
  </si>
  <si>
    <t>Years remaining until end of operational period</t>
  </si>
  <si>
    <t>Year is before end of operational period</t>
  </si>
  <si>
    <t>RAV depreciation</t>
  </si>
  <si>
    <t>Depreciation equal to additions</t>
  </si>
  <si>
    <t>Operational RAV return</t>
  </si>
  <si>
    <t>NPV neutral return base  (cap)</t>
  </si>
  <si>
    <t>NPV neutral return base (floor)</t>
  </si>
  <si>
    <t>Return (cap)</t>
  </si>
  <si>
    <t>Return (floor)</t>
  </si>
  <si>
    <t xml:space="preserve"> </t>
  </si>
  <si>
    <t>Unprofiled allowances except tax (cap)</t>
  </si>
  <si>
    <t>Total allowamces</t>
  </si>
  <si>
    <t>Non-controllable Opex (baseline)</t>
  </si>
  <si>
    <t>Fixed-rate debt</t>
  </si>
  <si>
    <t>Gearing</t>
  </si>
  <si>
    <t>Unprofiled fixed-rate debt allowances except tax (cap)</t>
  </si>
  <si>
    <t>Allowances excluding fixed-rate debt</t>
  </si>
  <si>
    <t>Unprofiled allowances except tax and fixed-rate debt (cap)</t>
  </si>
  <si>
    <t>Profiled allowances except tax (cap)</t>
  </si>
  <si>
    <t>Annuity parameters</t>
  </si>
  <si>
    <t>Annuity factor (cap)</t>
  </si>
  <si>
    <t>Year is within operational period</t>
  </si>
  <si>
    <t>Discount factor to start of operational period (cap)</t>
  </si>
  <si>
    <t>Fixed-rate debt allowances</t>
  </si>
  <si>
    <t>Discounted unprofiled fixed-rate debt service allowances except tax (cap)</t>
  </si>
  <si>
    <t>NPV of fixed-rate debt allowances except tax (cap)</t>
  </si>
  <si>
    <t>Annuity factor fixed-rate debt (cap)</t>
  </si>
  <si>
    <t>Annuity of fixed-rate debt except tax (cap)</t>
  </si>
  <si>
    <t>Annuitised fixed-rate debt allowances except tax (cap)</t>
  </si>
  <si>
    <t>Remaining RAV allowances</t>
  </si>
  <si>
    <t>Discounted unprofiled remaining RAV allowances except tax (cap)</t>
  </si>
  <si>
    <t>NPV of remaining RAV allowances except tax (cap)</t>
  </si>
  <si>
    <t>Annuity factor remaining RAV (cap)</t>
  </si>
  <si>
    <t>Annuity of remaining RAV allowances except tax (cap)</t>
  </si>
  <si>
    <t>Annuitised remaining RAV allowances except tax (cap)</t>
  </si>
  <si>
    <t>Total allowances except tax</t>
  </si>
  <si>
    <t>Annuity of total allowances except tax (cap)</t>
  </si>
  <si>
    <t>Annuitised total allowances except tax (cap)</t>
  </si>
  <si>
    <t>Notional floor</t>
  </si>
  <si>
    <t>Unprofiled allowances except tax (notional floor)</t>
  </si>
  <si>
    <t>Unprofiled allowances except tax (floor)</t>
  </si>
  <si>
    <t>Unprofiled fixed-rate debt allowances except tax (floor)</t>
  </si>
  <si>
    <t>Profiled allowances except tax (notional floor)</t>
  </si>
  <si>
    <t>Annuity factor (floor)</t>
  </si>
  <si>
    <t>Discount factor to start of operational period (floor)</t>
  </si>
  <si>
    <t>Discounted unprofiled fixed-rate debt service allowances except tax (floor)</t>
  </si>
  <si>
    <t>NPV of fixed-rate debt allowances except tax (floor)</t>
  </si>
  <si>
    <t>Annuity factor fixed-rate debt (floor)</t>
  </si>
  <si>
    <t>Annuity of fixed-rate debt except tax (floor)</t>
  </si>
  <si>
    <t>Annuitised fixed-rate debt allowances except tax (floor)</t>
  </si>
  <si>
    <t>Discounted unprofiled remaining RAV allowances except tax (floor)</t>
  </si>
  <si>
    <t>NPV of remaining RAV allowances except tax (floor)</t>
  </si>
  <si>
    <t>Annuity factor remaining RAV (floor)</t>
  </si>
  <si>
    <t>Annuity of remaining RAV allowances except tax (floor)</t>
  </si>
  <si>
    <t>Annuitised remaining RAV allowances except tax (floor)</t>
  </si>
  <si>
    <t>Annuity of total allowances except tax (floor)</t>
  </si>
  <si>
    <t>Annuitised total allowances except tax (floor)</t>
  </si>
  <si>
    <t>ACOD floor</t>
  </si>
  <si>
    <t>Unprofiled allowances except tax (ACOD floor)</t>
  </si>
  <si>
    <t>Profiled allowances except tax (ACOD floor)</t>
  </si>
  <si>
    <t>Annuity parameters during debt tenor</t>
  </si>
  <si>
    <t>real %</t>
  </si>
  <si>
    <t>Cost of debt weighting</t>
  </si>
  <si>
    <t>Annuity factor over debt tenor</t>
  </si>
  <si>
    <t>Year within debt tenor</t>
  </si>
  <si>
    <t>Discount factor to start of debt period (floor)</t>
  </si>
  <si>
    <t>Allowances except tax during debt tenor</t>
  </si>
  <si>
    <t>Discounted unprofiled allowances except tax (floor) during debt period</t>
  </si>
  <si>
    <t>NPV of allowances except tax (floor) during debt period</t>
  </si>
  <si>
    <t>Annuity of allowances except tax (floor) during debt tenor</t>
  </si>
  <si>
    <t>Annuitised allowances except tax (floor) during debt tenor</t>
  </si>
  <si>
    <t>Allowances except tax during debt tail period</t>
  </si>
  <si>
    <t>Debt tail requirement</t>
  </si>
  <si>
    <t>Year within tail requirement period</t>
  </si>
  <si>
    <t>Annuitised allowances except tax (floor) during tail period</t>
  </si>
  <si>
    <t>Tax deductions</t>
  </si>
  <si>
    <t>Inflation</t>
  </si>
  <si>
    <t>Forecast UK inflation uplift</t>
  </si>
  <si>
    <t>Total tax deductions - Notional cost of debt</t>
  </si>
  <si>
    <t>Revenue pool additions</t>
  </si>
  <si>
    <t>£m nominal</t>
  </si>
  <si>
    <t>Capital allowances</t>
  </si>
  <si>
    <t>Interest payable</t>
  </si>
  <si>
    <t>Total tax deductions</t>
  </si>
  <si>
    <t>Total tax deductions - Actual cost of debt</t>
  </si>
  <si>
    <t>Year within debt tenor or tail period</t>
  </si>
  <si>
    <t>Tax pools</t>
  </si>
  <si>
    <t>Revenue pool</t>
  </si>
  <si>
    <t>Capital allowance pool</t>
  </si>
  <si>
    <t>Opening balance brought forward</t>
  </si>
  <si>
    <t>Tax book value pre-depreciation</t>
  </si>
  <si>
    <t>Capital allowance (reducing balance)</t>
  </si>
  <si>
    <t>Write-back allowance</t>
  </si>
  <si>
    <t>Closing balance carried forward</t>
  </si>
  <si>
    <t>Interest - Notional cost of debt</t>
  </si>
  <si>
    <t>Cost of debt</t>
  </si>
  <si>
    <t>nominal annual %</t>
  </si>
  <si>
    <t>Net debt</t>
  </si>
  <si>
    <t>Principal repayments</t>
  </si>
  <si>
    <t>Net interest paid</t>
  </si>
  <si>
    <t>Total</t>
  </si>
  <si>
    <t>Opening net debt</t>
  </si>
  <si>
    <t>Less principal repayment</t>
  </si>
  <si>
    <t>Closing net debt</t>
  </si>
  <si>
    <t>Unprofiled tax allowance (cap)</t>
  </si>
  <si>
    <t>Profits attributable to corporation tax</t>
  </si>
  <si>
    <t>Annuitised allowances except tax (cap)</t>
  </si>
  <si>
    <t>Less tax deductions</t>
  </si>
  <si>
    <t>Tax losses</t>
  </si>
  <si>
    <t>Taxable losses brought forward</t>
  </si>
  <si>
    <t>In-year taxable loss</t>
  </si>
  <si>
    <t>Profits used to offset losses</t>
  </si>
  <si>
    <t>Taxable losses carried forward</t>
  </si>
  <si>
    <t>Tax allowance</t>
  </si>
  <si>
    <t>Profits attributable to corporation tax (after taxable losses)</t>
  </si>
  <si>
    <t>Corporation tax charge after losses</t>
  </si>
  <si>
    <t>Grossing-up factor for tax on tax charge after losses</t>
  </si>
  <si>
    <t>Profiled tax allowance (cap)</t>
  </si>
  <si>
    <t>Discounted unprofiled tax allowance (cap)</t>
  </si>
  <si>
    <t>NPV of tax allowance (cap)</t>
  </si>
  <si>
    <t>Annuity of tax allowance (cap)</t>
  </si>
  <si>
    <t>Unprofiled tax allowance (notional floor)</t>
  </si>
  <si>
    <t>Annuitised allowances except tax (floor)</t>
  </si>
  <si>
    <t>Unprofiled tax allowance (floor)</t>
  </si>
  <si>
    <t>Profiled tax allowance (notional floor)</t>
  </si>
  <si>
    <t>Discounted unprofiled tax allowance (floor)</t>
  </si>
  <si>
    <t>NPV of tax allowance (floor)</t>
  </si>
  <si>
    <t>Annuity of tax allowance (floor)</t>
  </si>
  <si>
    <t>Unprofiled tax allowance (ACOD floor)</t>
  </si>
  <si>
    <t>Profiled tax allowance (ACOD floor)</t>
  </si>
  <si>
    <t>Notes</t>
  </si>
  <si>
    <t>Cap and floor levels</t>
  </si>
  <si>
    <t>Cap level</t>
  </si>
  <si>
    <t>Fixed debt annuity excluding tax</t>
  </si>
  <si>
    <t>To be indexed to forecast inflation</t>
  </si>
  <si>
    <t xml:space="preserve">Real RAV annuity excluding tax </t>
  </si>
  <si>
    <t>Tax element</t>
  </si>
  <si>
    <t xml:space="preserve">Total cap </t>
  </si>
  <si>
    <t>Notional floor level</t>
  </si>
  <si>
    <t>Total notional floor</t>
  </si>
  <si>
    <t>ACOD floor level</t>
  </si>
  <si>
    <t>ACOD floor  excluding tax</t>
  </si>
  <si>
    <t>Total ACOD floor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</si>
</sst>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164" formatCode="#,##0&quot; &quot;;&quot;(&quot;#,##0&quot;)&quot;;&quot;-&quot;"/>
    <numFmt numFmtId="165" formatCode="#,##0.0&quot; &quot;;&quot;(&quot;#,##0.0&quot;)&quot;;&quot;- &quot;"/>
    <numFmt numFmtId="166" formatCode="0.0%"/>
    <numFmt numFmtId="167" formatCode="dd&quot; &quot;mmm&quot; &quot;yyyy"/>
    <numFmt numFmtId="168" formatCode="0.0000%"/>
    <numFmt numFmtId="169" formatCode="yyyy"/>
    <numFmt numFmtId="170" formatCode="#,##0&quot; &quot;;&quot;(&quot;#,##0&quot;)&quot;;&quot;- &quot;"/>
    <numFmt numFmtId="171" formatCode="0.00%&quot; &quot;;&quot;-&quot;0.00%&quot; &quot;;&quot;-  &quot;;&quot; &quot;@"/>
    <numFmt numFmtId="172" formatCode="#,##0.000&quot; &quot;;&quot;(&quot;#,##0.000&quot;)&quot;;&quot;- &quot;"/>
    <numFmt numFmtId="173" formatCode="&quot; &quot;* #,##0.00&quot; &quot;;&quot; &quot;* &quot;(&quot;#,##0.00&quot;)&quot;;&quot; &quot;* &quot;-&quot;#&quot; &quot;;&quot; &quot;@&quot; &quot;"/>
    <numFmt numFmtId="174" formatCode="0.000%"/>
    <numFmt numFmtId="175" formatCode="&quot; &quot;* #,##0&quot; &quot;;&quot; &quot;* &quot;(&quot;#,##0&quot;)&quot;;&quot; &quot;* &quot;-&quot;#&quot; &quot;;&quot; &quot;@&quot; &quot;"/>
    <numFmt numFmtId="176" formatCode="0.0"/>
    <numFmt numFmtId="177" formatCode="#,##0.000"/>
    <numFmt numFmtId="178" formatCode="0.000"/>
    <numFmt numFmtId="179" formatCode="&quot; &quot;* #,##0.000&quot; &quot;;&quot; &quot;* &quot;(&quot;#,##0.000&quot;)&quot;;&quot; &quot;* &quot;-&quot;#&quot; &quot;;&quot; &quot;@&quot; &quot;"/>
    <numFmt numFmtId="180" formatCode="#,##0.0"/>
    <numFmt numFmtId="181" formatCode="&quot; &quot;* #,##0.0000&quot; &quot;;&quot; &quot;* &quot;(&quot;#,##0.0000&quot;)&quot;;&quot; &quot;* &quot;-&quot;#&quot; &quot;;&quot; &quot;@&quot; &quot;"/>
    <numFmt numFmtId="182" formatCode="#,##0.0&quot; &quot;;[Red]&quot;-&quot;#,##0.0&quot; &quot;"/>
    <numFmt numFmtId="183" formatCode="[$£]#,##0.00&quot; &quot;;[Red]&quot;(&quot;[$£]#,##0.00&quot;)&quot;"/>
    <numFmt numFmtId="184" formatCode="#,##0.00&quot; &quot;;&quot;(&quot;#,##0.00&quot;)&quot;;&quot;- &quot;"/>
    <numFmt numFmtId="185" formatCode="#,##0.0000&quot; &quot;;&quot;(&quot;#,##0.0000&quot;)&quot;;&quot;- &quot;"/>
    <numFmt numFmtId="186" formatCode="#,##0;&quot;-&quot;#,##0"/>
    <numFmt numFmtId="187" formatCode="#,##0&quot; &quot;;&quot;(&quot;#,##0&quot;)&quot;;&quot;-  &quot;;@"/>
    <numFmt numFmtId="188" formatCode="dd\-mmm\-yy&quot; &quot;;;&quot;-  &quot;;@"/>
    <numFmt numFmtId="189" formatCode="&quot; &quot;[$€-809]* #,##0.00&quot; &quot;;&quot;-&quot;[$€-809]* #,##0.00&quot; &quot;;&quot; &quot;[$€-809]* &quot;-&quot;#&quot; &quot;"/>
    <numFmt numFmtId="190" formatCode="[Magenta]&quot;Err&quot;;[Magenta]&quot;Err&quot;;[Blue]&quot;OK&quot;"/>
    <numFmt numFmtId="191" formatCode="&quot; .&quot;General"/>
    <numFmt numFmtId="192" formatCode="#,##0&quot; &quot;;[Red]&quot;(&quot;#,##0&quot;)&quot;;&quot;- &quot;"/>
    <numFmt numFmtId="193" formatCode="0.0&quot; &quot;%;[Red]&quot;(&quot;0.0%&quot;)&quot;;0.0&quot; &quot;%"/>
    <numFmt numFmtId="194" formatCode="[Red][&gt;1]&quot;&gt;100 %&quot;;[Red][&lt;0]&quot;(&quot;0.0%&quot;)&quot;;0.0&quot; &quot;%"/>
    <numFmt numFmtId="195" formatCode="#,##0.0000&quot; &quot;;&quot;(&quot;#,##0.0000&quot;)&quot;;&quot;-  &quot;;@"/>
    <numFmt numFmtId="196" formatCode="0.00%&quot; &quot;;&quot;-&quot;0.00%&quot; &quot;;&quot;-  &quot;;@"/>
  </numFmts>
  <fonts count="70"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rgb="FF000000"/>
      <name val="CG Omega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</font>
    <font>
      <b/>
      <sz val="11"/>
      <color rgb="FFFF9900"/>
      <name val="Calibri"/>
      <family val="2"/>
    </font>
    <font>
      <sz val="10"/>
      <color rgb="FF0000FF"/>
      <name val="Arial"/>
      <family val="2"/>
    </font>
    <font>
      <sz val="11"/>
      <color rgb="FF008000"/>
      <name val="Calibri"/>
      <family val="2"/>
    </font>
    <font>
      <sz val="10"/>
      <color rgb="FFC00000"/>
      <name val="Calibri"/>
      <family val="2"/>
    </font>
    <font>
      <sz val="10"/>
      <color rgb="FFBFBFBF"/>
      <name val="Calibri"/>
      <family val="2"/>
    </font>
    <font>
      <b/>
      <sz val="10"/>
      <color rgb="FF000000"/>
      <name val="Arial"/>
      <family val="2"/>
    </font>
    <font>
      <sz val="11"/>
      <color rgb="FF800080"/>
      <name val="Calibri"/>
      <family val="2"/>
    </font>
    <font>
      <b/>
      <sz val="11"/>
      <color rgb="FF000000"/>
      <name val="Calibri"/>
      <family val="2"/>
    </font>
    <font>
      <sz val="9"/>
      <color rgb="FF0000FF"/>
      <name val="Arial"/>
      <family val="2"/>
    </font>
    <font>
      <b/>
      <sz val="8"/>
      <color rgb="FF0000FF"/>
      <name val="Arial"/>
      <family val="2"/>
    </font>
    <font>
      <b/>
      <sz val="12"/>
      <color rgb="FF000000"/>
      <name val="Arial"/>
      <family val="2"/>
    </font>
    <font>
      <i/>
      <sz val="10"/>
      <color rgb="FF000000"/>
      <name val="Arial"/>
      <family val="2"/>
    </font>
    <font>
      <i/>
      <sz val="11"/>
      <color rgb="FF808080"/>
      <name val="Calibri"/>
      <family val="2"/>
    </font>
    <font>
      <b/>
      <sz val="11"/>
      <color rgb="FF1F497D"/>
      <name val="Verdana"/>
      <family val="2"/>
    </font>
    <font>
      <u/>
      <sz val="10"/>
      <color rgb="FF0000FF"/>
      <name val="Calibri"/>
      <family val="2"/>
    </font>
    <font>
      <u/>
      <sz val="8"/>
      <color rgb="FF0000FF"/>
      <name val="Arial"/>
      <family val="2"/>
    </font>
    <font>
      <sz val="11"/>
      <color rgb="FF333399"/>
      <name val="Calibri"/>
      <family val="2"/>
    </font>
    <font>
      <u/>
      <sz val="11"/>
      <color rgb="FF3366FF"/>
      <name val="CG Omega"/>
    </font>
    <font>
      <b/>
      <sz val="11"/>
      <color rgb="FFFFFFFF"/>
      <name val="Calibri"/>
      <family val="2"/>
    </font>
    <font>
      <sz val="11"/>
      <color rgb="FFFF9900"/>
      <name val="Calibri"/>
      <family val="2"/>
    </font>
    <font>
      <b/>
      <sz val="14"/>
      <color rgb="FF000000"/>
      <name val="Arial"/>
      <family val="2"/>
    </font>
    <font>
      <sz val="10"/>
      <color rgb="FF000000"/>
      <name val="Verdana"/>
      <family val="2"/>
    </font>
    <font>
      <sz val="10"/>
      <color rgb="FF000000"/>
      <name val="Times New Roman"/>
      <family val="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i/>
      <sz val="10"/>
      <color rgb="FFFF0000"/>
      <name val="Arial"/>
      <family val="2"/>
    </font>
    <font>
      <b/>
      <sz val="18"/>
      <color rgb="FF003366"/>
      <name val="Cambria"/>
      <family val="1"/>
    </font>
    <font>
      <b/>
      <i/>
      <sz val="12"/>
      <color rgb="FF000000"/>
      <name val="Arial"/>
      <family val="2"/>
    </font>
    <font>
      <sz val="12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i/>
      <sz val="12"/>
      <color rgb="FF000000"/>
      <name val="Arial"/>
      <family val="2"/>
    </font>
    <font>
      <sz val="19"/>
      <color rgb="FF3366FF"/>
      <name val="Arial"/>
      <family val="2"/>
    </font>
    <font>
      <sz val="12"/>
      <color rgb="FFFF00FF"/>
      <name val="Arial"/>
      <family val="2"/>
    </font>
    <font>
      <b/>
      <sz val="18"/>
      <color rgb="FF333399"/>
      <name val="Cambria"/>
      <family val="1"/>
    </font>
    <font>
      <sz val="10"/>
      <color rgb="FF000000"/>
      <name val="Geneva"/>
    </font>
    <font>
      <b/>
      <sz val="11"/>
      <color rgb="FF333333"/>
      <name val="Calibri"/>
      <family val="2"/>
    </font>
    <font>
      <sz val="16"/>
      <color rgb="FF000000"/>
      <name val="Calibri"/>
      <family val="2"/>
    </font>
    <font>
      <sz val="12"/>
      <color rgb="FF000000"/>
      <name val="Calibri"/>
      <family val="2"/>
    </font>
    <font>
      <b/>
      <sz val="10"/>
      <color rgb="FF000000"/>
      <name val="Calibri"/>
      <family val="2"/>
    </font>
    <font>
      <b/>
      <sz val="10"/>
      <color rgb="FFFFFFFF"/>
      <name val="Calibri"/>
      <family val="2"/>
    </font>
    <font>
      <sz val="10"/>
      <color rgb="FFFFFFFF"/>
      <name val="Calibri"/>
      <family val="2"/>
    </font>
    <font>
      <sz val="10"/>
      <color rgb="FFF2F2F2"/>
      <name val="Calibri"/>
      <family val="2"/>
    </font>
    <font>
      <sz val="10"/>
      <color rgb="FF366092"/>
      <name val="Calibri"/>
      <family val="2"/>
    </font>
    <font>
      <sz val="10"/>
      <color rgb="FF7030A0"/>
      <name val="Calibri"/>
      <family val="2"/>
    </font>
    <font>
      <i/>
      <sz val="10"/>
      <color rgb="FF000000"/>
      <name val="Calibri"/>
      <family val="2"/>
    </font>
    <font>
      <sz val="10"/>
      <color rgb="FFE6B8B7"/>
      <name val="Calibri"/>
      <family val="2"/>
    </font>
    <font>
      <u/>
      <sz val="10"/>
      <color rgb="FF000000"/>
      <name val="Calibri"/>
      <family val="2"/>
    </font>
    <font>
      <sz val="10"/>
      <color rgb="FF00B050"/>
      <name val="Calibri"/>
      <family val="2"/>
    </font>
    <font>
      <sz val="10"/>
      <color rgb="FFFF0000"/>
      <name val="Calibri"/>
      <family val="2"/>
    </font>
    <font>
      <b/>
      <u/>
      <sz val="10"/>
      <color rgb="FF000000"/>
      <name val="Calibri"/>
      <family val="2"/>
    </font>
    <font>
      <b/>
      <sz val="10"/>
      <color rgb="FF4F81BD"/>
      <name val="Calibri"/>
      <family val="2"/>
    </font>
    <font>
      <b/>
      <i/>
      <sz val="10"/>
      <color rgb="FF000000"/>
      <name val="Calibri"/>
      <family val="2"/>
    </font>
    <font>
      <i/>
      <sz val="10"/>
      <color rgb="FFC00000"/>
      <name val="Calibri"/>
      <family val="2"/>
    </font>
    <font>
      <i/>
      <sz val="10"/>
      <color rgb="FF366092"/>
      <name val="Calibri"/>
      <family val="2"/>
    </font>
    <font>
      <sz val="10"/>
      <color rgb="FF4F81BD"/>
      <name val="Calibri"/>
      <family val="2"/>
    </font>
    <font>
      <i/>
      <sz val="10"/>
      <color rgb="FFDA9694"/>
      <name val="Calibri"/>
      <family val="2"/>
    </font>
    <font>
      <sz val="8"/>
      <name val="Calibri"/>
      <family val="2"/>
    </font>
    <font>
      <sz val="10"/>
      <color theme="0" tint="-0.34998626667073579"/>
      <name val="Calibri"/>
      <family val="2"/>
    </font>
    <font>
      <b/>
      <sz val="11"/>
      <color theme="0"/>
      <name val="Calibri"/>
      <family val="2"/>
    </font>
    <font>
      <sz val="10"/>
      <name val="Calibri"/>
      <family val="2"/>
    </font>
    <font>
      <b/>
      <sz val="10"/>
      <color rgb="FF747474"/>
      <name val="Calibri"/>
      <family val="2"/>
    </font>
  </fonts>
  <fills count="45">
    <fill>
      <patternFill patternType="none"/>
    </fill>
    <fill>
      <patternFill patternType="gray125"/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993366"/>
        <bgColor rgb="FF993366"/>
      </patternFill>
    </fill>
    <fill>
      <patternFill patternType="solid">
        <fgColor rgb="FFC0C0C0"/>
        <bgColor rgb="FFC0C0C0"/>
      </patternFill>
    </fill>
    <fill>
      <patternFill patternType="solid">
        <fgColor rgb="FF003300"/>
        <bgColor rgb="FF003300"/>
      </patternFill>
    </fill>
    <fill>
      <patternFill patternType="solid">
        <fgColor rgb="FF00CCFF"/>
        <bgColor rgb="FF00CCFF"/>
      </patternFill>
    </fill>
    <fill>
      <patternFill patternType="solid">
        <fgColor rgb="FF993300"/>
        <bgColor rgb="FF993300"/>
      </patternFill>
    </fill>
    <fill>
      <patternFill patternType="solid">
        <fgColor rgb="FF99CC00"/>
        <bgColor rgb="FF99CC00"/>
      </patternFill>
    </fill>
    <fill>
      <patternFill patternType="solid">
        <fgColor rgb="FF969696"/>
        <bgColor rgb="FF969696"/>
      </patternFill>
    </fill>
    <fill>
      <patternFill patternType="solid">
        <fgColor rgb="FF666699"/>
        <bgColor rgb="FF666699"/>
      </patternFill>
    </fill>
    <fill>
      <patternFill patternType="solid">
        <fgColor rgb="FFFFFFCC"/>
        <bgColor rgb="FFFFFFCC"/>
      </patternFill>
    </fill>
    <fill>
      <patternFill patternType="solid">
        <fgColor rgb="FFFFFF99"/>
        <bgColor rgb="FFFFFF99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008080"/>
        <bgColor rgb="FF008080"/>
      </patternFill>
    </fill>
    <fill>
      <patternFill patternType="solid">
        <fgColor rgb="FF808080"/>
        <bgColor rgb="FF808080"/>
      </patternFill>
    </fill>
    <fill>
      <patternFill patternType="solid">
        <fgColor rgb="FFFFFFFF"/>
        <bgColor rgb="FFFFFFFF"/>
      </patternFill>
    </fill>
    <fill>
      <patternFill patternType="solid">
        <fgColor rgb="FF595959"/>
        <bgColor rgb="FF595959"/>
      </patternFill>
    </fill>
    <fill>
      <patternFill patternType="solid">
        <fgColor rgb="FFF2DCDB"/>
        <bgColor rgb="FFF2DCDB"/>
      </patternFill>
    </fill>
    <fill>
      <patternFill patternType="solid">
        <fgColor rgb="FF95B3D7"/>
        <bgColor rgb="FF95B3D7"/>
      </patternFill>
    </fill>
    <fill>
      <patternFill patternType="solid">
        <fgColor rgb="FFCCECFF"/>
        <bgColor rgb="FFCCECFF"/>
      </patternFill>
    </fill>
    <fill>
      <patternFill patternType="solid">
        <fgColor rgb="FFC4D79B"/>
        <bgColor rgb="FFC4D79B"/>
      </patternFill>
    </fill>
    <fill>
      <patternFill patternType="solid">
        <fgColor rgb="FFE6B8B7"/>
        <bgColor rgb="FFE6B8B7"/>
      </patternFill>
    </fill>
    <fill>
      <patternFill patternType="solid">
        <fgColor rgb="FFCCC0DA"/>
        <bgColor rgb="FFCCC0DA"/>
      </patternFill>
    </fill>
    <fill>
      <patternFill patternType="solid">
        <fgColor rgb="FFD8E4BC"/>
        <bgColor rgb="FFD8E4BC"/>
      </patternFill>
    </fill>
    <fill>
      <patternFill patternType="solid">
        <fgColor rgb="FFBFBFBF"/>
        <bgColor rgb="FFBFBFBF"/>
      </patternFill>
    </fill>
    <fill>
      <patternFill patternType="solid">
        <fgColor rgb="FFF79646"/>
        <bgColor rgb="FFF79646"/>
      </patternFill>
    </fill>
    <fill>
      <patternFill patternType="solid">
        <fgColor rgb="FFD9D9D9"/>
        <bgColor rgb="FFD9D9D9"/>
      </patternFill>
    </fill>
    <fill>
      <patternFill patternType="solid">
        <fgColor theme="4"/>
        <bgColor indexed="64"/>
      </patternFill>
    </fill>
  </fills>
  <borders count="29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66FF"/>
      </left>
      <right style="thin">
        <color rgb="FF3366FF"/>
      </right>
      <top style="thin">
        <color rgb="FF3366FF"/>
      </top>
      <bottom style="thin">
        <color rgb="FF3366FF"/>
      </bottom>
      <diagonal/>
    </border>
    <border>
      <left style="thin">
        <color rgb="FFCCFFFF"/>
      </left>
      <right style="thin">
        <color rgb="FF3366FF"/>
      </right>
      <top style="medium">
        <color rgb="FFCCFFFF"/>
      </top>
      <bottom style="thin">
        <color rgb="FF3366FF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3300"/>
      </left>
      <right style="medium">
        <color rgb="FF003300"/>
      </right>
      <top style="medium">
        <color rgb="FF003300"/>
      </top>
      <bottom style="thin">
        <color rgb="FF003300"/>
      </bottom>
      <diagonal/>
    </border>
    <border>
      <left/>
      <right/>
      <top style="thin">
        <color rgb="FF3366FF"/>
      </top>
      <bottom style="thin">
        <color rgb="FF3366FF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86">
    <xf numFmtId="0" fontId="0" fillId="0" borderId="0"/>
    <xf numFmtId="17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5" fillId="0" borderId="0" applyNumberFormat="0" applyBorder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4" fillId="18" borderId="0" applyNumberFormat="0" applyBorder="0" applyAlignment="0" applyProtection="0"/>
    <xf numFmtId="0" fontId="3" fillId="2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3" fillId="20" borderId="0" applyNumberFormat="0" applyBorder="0" applyAlignment="0" applyProtection="0"/>
    <xf numFmtId="0" fontId="3" fillId="10" borderId="0" applyNumberFormat="0" applyBorder="0" applyAlignment="0" applyProtection="0"/>
    <xf numFmtId="0" fontId="4" fillId="21" borderId="0" applyNumberFormat="0" applyBorder="0" applyAlignment="0" applyProtection="0"/>
    <xf numFmtId="0" fontId="3" fillId="2" borderId="0" applyNumberFormat="0" applyBorder="0" applyAlignment="0" applyProtection="0"/>
    <xf numFmtId="0" fontId="3" fillId="22" borderId="0" applyNumberFormat="0" applyBorder="0" applyAlignment="0" applyProtection="0"/>
    <xf numFmtId="0" fontId="4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23" borderId="0" applyNumberFormat="0" applyBorder="0" applyAlignment="0" applyProtection="0"/>
    <xf numFmtId="0" fontId="4" fillId="18" borderId="0" applyNumberFormat="0" applyBorder="0" applyAlignment="0" applyProtection="0"/>
    <xf numFmtId="0" fontId="3" fillId="24" borderId="0" applyNumberFormat="0" applyBorder="0" applyAlignment="0" applyProtection="0"/>
    <xf numFmtId="0" fontId="3" fillId="7" borderId="0" applyNumberFormat="0" applyBorder="0" applyAlignment="0" applyProtection="0"/>
    <xf numFmtId="0" fontId="4" fillId="11" borderId="0" applyNumberFormat="0" applyBorder="0" applyAlignment="0" applyProtection="0"/>
    <xf numFmtId="0" fontId="6" fillId="0" borderId="0" applyNumberFormat="0" applyFill="0" applyBorder="0" applyAlignment="0" applyProtection="0"/>
    <xf numFmtId="0" fontId="1" fillId="24" borderId="1" applyNumberFormat="0" applyFont="0" applyAlignment="0" applyProtection="0"/>
    <xf numFmtId="0" fontId="1" fillId="24" borderId="1" applyNumberFormat="0" applyFont="0" applyAlignment="0" applyProtection="0"/>
    <xf numFmtId="0" fontId="1" fillId="24" borderId="1" applyNumberFormat="0" applyFont="0" applyAlignment="0" applyProtection="0"/>
    <xf numFmtId="0" fontId="1" fillId="24" borderId="1" applyNumberFormat="0" applyFont="0" applyAlignment="0" applyProtection="0"/>
    <xf numFmtId="0" fontId="1" fillId="24" borderId="1" applyNumberFormat="0" applyFont="0" applyAlignment="0" applyProtection="0"/>
    <xf numFmtId="0" fontId="1" fillId="24" borderId="1" applyNumberFormat="0" applyFont="0" applyAlignment="0" applyProtection="0"/>
    <xf numFmtId="0" fontId="1" fillId="24" borderId="1" applyNumberFormat="0" applyFont="0" applyAlignment="0" applyProtection="0"/>
    <xf numFmtId="0" fontId="1" fillId="24" borderId="1" applyNumberFormat="0" applyFont="0" applyAlignment="0" applyProtection="0"/>
    <xf numFmtId="0" fontId="7" fillId="17" borderId="2" applyNumberFormat="0" applyAlignment="0" applyProtection="0"/>
    <xf numFmtId="0" fontId="7" fillId="17" borderId="2" applyNumberFormat="0" applyAlignment="0" applyProtection="0"/>
    <xf numFmtId="0" fontId="7" fillId="17" borderId="2" applyNumberFormat="0" applyAlignment="0" applyProtection="0"/>
    <xf numFmtId="0" fontId="7" fillId="17" borderId="2" applyNumberFormat="0" applyAlignment="0" applyProtection="0"/>
    <xf numFmtId="0" fontId="7" fillId="17" borderId="2" applyNumberFormat="0" applyAlignment="0" applyProtection="0"/>
    <xf numFmtId="0" fontId="7" fillId="17" borderId="2" applyNumberFormat="0" applyAlignment="0" applyProtection="0"/>
    <xf numFmtId="0" fontId="7" fillId="17" borderId="2" applyNumberFormat="0" applyAlignment="0" applyProtection="0"/>
    <xf numFmtId="0" fontId="7" fillId="17" borderId="2" applyNumberFormat="0" applyAlignment="0" applyProtection="0"/>
    <xf numFmtId="164" fontId="8" fillId="25" borderId="3" applyAlignment="0">
      <protection locked="0"/>
    </xf>
    <xf numFmtId="0" fontId="9" fillId="4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86" fontId="12" fillId="0" borderId="4" applyProtection="0">
      <alignment horizontal="center"/>
    </xf>
    <xf numFmtId="186" fontId="12" fillId="0" borderId="0" applyBorder="0" applyProtection="0">
      <alignment horizontal="center" vertical="center" wrapText="1"/>
    </xf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87" fontId="5" fillId="0" borderId="0" applyBorder="0" applyProtection="0"/>
    <xf numFmtId="187" fontId="5" fillId="0" borderId="0" applyBorder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13" fillId="3" borderId="0" applyNumberFormat="0" applyBorder="0" applyAlignment="0" applyProtection="0"/>
    <xf numFmtId="188" fontId="5" fillId="0" borderId="0" applyBorder="0" applyProtection="0"/>
    <xf numFmtId="188" fontId="5" fillId="0" borderId="0" applyBorder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0" fontId="1" fillId="22" borderId="0" applyNumberFormat="0" applyFont="0" applyBorder="0" applyAlignment="0" applyProtection="0"/>
    <xf numFmtId="0" fontId="15" fillId="0" borderId="0" applyNumberFormat="0" applyFill="0" applyBorder="0" applyAlignment="0" applyProtection="0"/>
    <xf numFmtId="190" fontId="16" fillId="0" borderId="0" applyFill="0" applyBorder="0" applyProtection="0"/>
    <xf numFmtId="15" fontId="5" fillId="0" borderId="0" applyFill="0" applyBorder="0" applyProtection="0">
      <alignment horizontal="center"/>
    </xf>
    <xf numFmtId="0" fontId="1" fillId="3" borderId="0" applyNumberFormat="0" applyFont="0" applyBorder="0" applyAlignment="0" applyProtection="0"/>
    <xf numFmtId="191" fontId="17" fillId="17" borderId="5" applyAlignment="0" applyProtection="0"/>
    <xf numFmtId="191" fontId="17" fillId="17" borderId="5" applyAlignment="0" applyProtection="0"/>
    <xf numFmtId="191" fontId="17" fillId="17" borderId="5" applyAlignment="0" applyProtection="0"/>
    <xf numFmtId="191" fontId="17" fillId="17" borderId="5" applyAlignment="0" applyProtection="0"/>
    <xf numFmtId="192" fontId="12" fillId="0" borderId="0" applyFill="0" applyBorder="0" applyAlignment="0" applyProtection="0"/>
    <xf numFmtId="192" fontId="18" fillId="0" borderId="0" applyFill="0" applyBorder="0" applyAlignment="0" applyProtection="0"/>
    <xf numFmtId="15" fontId="8" fillId="25" borderId="3">
      <alignment horizontal="center"/>
      <protection locked="0"/>
    </xf>
    <xf numFmtId="15" fontId="8" fillId="25" borderId="3">
      <alignment horizontal="center"/>
      <protection locked="0"/>
    </xf>
    <xf numFmtId="193" fontId="8" fillId="25" borderId="3" applyAlignment="0">
      <protection locked="0"/>
    </xf>
    <xf numFmtId="193" fontId="8" fillId="25" borderId="3" applyAlignment="0">
      <protection locked="0"/>
    </xf>
    <xf numFmtId="192" fontId="8" fillId="25" borderId="3" applyAlignment="0">
      <protection locked="0"/>
    </xf>
    <xf numFmtId="192" fontId="8" fillId="25" borderId="3" applyAlignment="0">
      <protection locked="0"/>
    </xf>
    <xf numFmtId="0" fontId="5" fillId="0" borderId="0" applyNumberFormat="0" applyFill="0" applyBorder="0" applyAlignment="0" applyProtection="0"/>
    <xf numFmtId="192" fontId="5" fillId="0" borderId="0" applyFill="0" applyBorder="0" applyAlignment="0" applyProtection="0"/>
    <xf numFmtId="193" fontId="5" fillId="0" borderId="0" applyFill="0" applyBorder="0" applyAlignment="0" applyProtection="0"/>
    <xf numFmtId="194" fontId="5" fillId="0" borderId="0" applyFill="0" applyBorder="0" applyAlignment="0" applyProtection="0"/>
    <xf numFmtId="0" fontId="1" fillId="0" borderId="5" applyNumberFormat="0" applyFont="0" applyAlignment="0" applyProtection="0"/>
    <xf numFmtId="0" fontId="1" fillId="0" borderId="5" applyNumberFormat="0" applyFont="0" applyAlignment="0" applyProtection="0"/>
    <xf numFmtId="0" fontId="1" fillId="0" borderId="5" applyNumberFormat="0" applyFont="0" applyAlignment="0" applyProtection="0"/>
    <xf numFmtId="0" fontId="1" fillId="0" borderId="5" applyNumberFormat="0" applyFont="0" applyAlignment="0" applyProtection="0"/>
    <xf numFmtId="0" fontId="1" fillId="0" borderId="6" applyNumberFormat="0" applyFont="0" applyAlignment="0" applyProtection="0"/>
    <xf numFmtId="0" fontId="1" fillId="0" borderId="6" applyNumberFormat="0" applyFont="0" applyAlignment="0" applyProtection="0"/>
    <xf numFmtId="0" fontId="1" fillId="0" borderId="6" applyNumberFormat="0" applyFont="0" applyAlignment="0" applyProtection="0"/>
    <xf numFmtId="0" fontId="1" fillId="0" borderId="6" applyNumberFormat="0" applyFont="0" applyAlignment="0" applyProtection="0"/>
    <xf numFmtId="0" fontId="1" fillId="10" borderId="0" applyNumberFormat="0" applyFon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9" borderId="0" applyNumberFormat="0" applyBorder="0" applyAlignment="0" applyProtection="0"/>
    <xf numFmtId="0" fontId="19" fillId="0" borderId="0" applyNumberFormat="0" applyFill="0" applyBorder="0" applyAlignment="0" applyProtection="0"/>
    <xf numFmtId="195" fontId="5" fillId="0" borderId="0" applyBorder="0" applyProtection="0"/>
    <xf numFmtId="195" fontId="5" fillId="0" borderId="0" applyBorder="0" applyProtection="0"/>
    <xf numFmtId="0" fontId="1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4" fillId="24" borderId="0" applyNumberFormat="0" applyBorder="0" applyProtection="0"/>
    <xf numFmtId="0" fontId="25" fillId="22" borderId="7" applyNumberFormat="0" applyAlignment="0" applyProtection="0"/>
    <xf numFmtId="0" fontId="25" fillId="22" borderId="7" applyNumberFormat="0" applyAlignment="0" applyProtection="0"/>
    <xf numFmtId="0" fontId="26" fillId="0" borderId="8" applyNumberFormat="0" applyFill="0" applyAlignment="0" applyProtection="0"/>
    <xf numFmtId="186" fontId="27" fillId="0" borderId="0" applyBorder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9" borderId="0" applyNumberFormat="0" applyBorder="0" applyAlignment="0" applyProtection="0"/>
    <xf numFmtId="192" fontId="5" fillId="22" borderId="0" applyBorder="0" applyProtection="0"/>
    <xf numFmtId="192" fontId="15" fillId="0" borderId="0" applyBorder="0" applyProtection="0"/>
    <xf numFmtId="190" fontId="16" fillId="0" borderId="0" applyBorder="0" applyProtection="0"/>
    <xf numFmtId="15" fontId="5" fillId="0" borderId="0" applyBorder="0" applyProtection="0">
      <alignment horizontal="center"/>
    </xf>
    <xf numFmtId="192" fontId="5" fillId="3" borderId="0" applyBorder="0" applyProtection="0"/>
    <xf numFmtId="191" fontId="17" fillId="17" borderId="5" applyProtection="0"/>
    <xf numFmtId="191" fontId="17" fillId="17" borderId="5" applyProtection="0"/>
    <xf numFmtId="191" fontId="17" fillId="17" borderId="5" applyProtection="0"/>
    <xf numFmtId="191" fontId="17" fillId="17" borderId="5" applyProtection="0"/>
    <xf numFmtId="192" fontId="12" fillId="0" borderId="0" applyBorder="0" applyProtection="0"/>
    <xf numFmtId="192" fontId="18" fillId="0" borderId="0" applyBorder="0" applyProtection="0"/>
    <xf numFmtId="15" fontId="8" fillId="25" borderId="3">
      <alignment horizontal="center"/>
      <protection locked="0"/>
    </xf>
    <xf numFmtId="15" fontId="8" fillId="25" borderId="3">
      <alignment horizontal="center"/>
      <protection locked="0"/>
    </xf>
    <xf numFmtId="15" fontId="8" fillId="25" borderId="3">
      <alignment horizontal="center"/>
      <protection locked="0"/>
    </xf>
    <xf numFmtId="15" fontId="8" fillId="25" borderId="3">
      <alignment horizontal="center"/>
      <protection locked="0"/>
    </xf>
    <xf numFmtId="193" fontId="8" fillId="25" borderId="3">
      <protection locked="0"/>
    </xf>
    <xf numFmtId="193" fontId="8" fillId="25" borderId="3">
      <protection locked="0"/>
    </xf>
    <xf numFmtId="192" fontId="8" fillId="25" borderId="3">
      <protection locked="0"/>
    </xf>
    <xf numFmtId="192" fontId="8" fillId="25" borderId="3">
      <protection locked="0"/>
    </xf>
    <xf numFmtId="192" fontId="5" fillId="0" borderId="0" applyBorder="0" applyProtection="0"/>
    <xf numFmtId="193" fontId="5" fillId="0" borderId="0" applyBorder="0" applyProtection="0"/>
    <xf numFmtId="194" fontId="5" fillId="0" borderId="0" applyBorder="0" applyProtection="0"/>
    <xf numFmtId="192" fontId="5" fillId="0" borderId="5" applyProtection="0"/>
    <xf numFmtId="192" fontId="5" fillId="0" borderId="5" applyProtection="0"/>
    <xf numFmtId="192" fontId="5" fillId="0" borderId="5" applyProtection="0"/>
    <xf numFmtId="192" fontId="5" fillId="0" borderId="5" applyProtection="0"/>
    <xf numFmtId="192" fontId="5" fillId="0" borderId="6" applyProtection="0"/>
    <xf numFmtId="192" fontId="5" fillId="0" borderId="6" applyProtection="0"/>
    <xf numFmtId="192" fontId="5" fillId="0" borderId="6" applyProtection="0"/>
    <xf numFmtId="192" fontId="5" fillId="0" borderId="6" applyProtection="0"/>
    <xf numFmtId="192" fontId="5" fillId="10" borderId="0" applyBorder="0" applyProtection="0"/>
    <xf numFmtId="0" fontId="28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8" fillId="0" borderId="0" applyNumberFormat="0" applyBorder="0" applyProtection="0"/>
    <xf numFmtId="0" fontId="29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9" fillId="0" borderId="0" applyNumberFormat="0" applyBorder="0" applyProtection="0"/>
    <xf numFmtId="192" fontId="5" fillId="0" borderId="0" applyFill="0" applyBorder="0" applyAlignment="0" applyProtection="0"/>
    <xf numFmtId="0" fontId="3" fillId="0" borderId="0" applyNumberFormat="0" applyBorder="0" applyProtection="0"/>
    <xf numFmtId="0" fontId="28" fillId="0" borderId="0" applyNumberFormat="0" applyBorder="0" applyProtection="0"/>
    <xf numFmtId="0" fontId="5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192" fontId="5" fillId="0" borderId="0" applyFill="0" applyBorder="0" applyAlignment="0" applyProtection="0"/>
    <xf numFmtId="192" fontId="5" fillId="0" borderId="0" applyFill="0" applyBorder="0" applyAlignment="0" applyProtection="0"/>
    <xf numFmtId="192" fontId="5" fillId="0" borderId="0" applyFill="0" applyBorder="0" applyAlignment="0" applyProtection="0"/>
    <xf numFmtId="192" fontId="5" fillId="0" borderId="0" applyFill="0" applyBorder="0" applyAlignment="0" applyProtection="0"/>
    <xf numFmtId="192" fontId="5" fillId="0" borderId="0" applyFill="0" applyBorder="0" applyAlignment="0" applyProtection="0"/>
    <xf numFmtId="192" fontId="5" fillId="0" borderId="0" applyFill="0" applyBorder="0" applyAlignment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5" fillId="0" borderId="0" applyNumberFormat="0" applyBorder="0" applyProtection="0"/>
    <xf numFmtId="0" fontId="28" fillId="0" borderId="0" applyNumberFormat="0" applyBorder="0" applyProtection="0"/>
    <xf numFmtId="192" fontId="5" fillId="0" borderId="0" applyFill="0" applyBorder="0" applyAlignment="0" applyProtection="0"/>
    <xf numFmtId="192" fontId="5" fillId="0" borderId="0" applyFill="0" applyBorder="0" applyAlignment="0" applyProtection="0"/>
    <xf numFmtId="192" fontId="5" fillId="0" borderId="0" applyFill="0" applyBorder="0" applyAlignment="0" applyProtection="0"/>
    <xf numFmtId="192" fontId="5" fillId="0" borderId="0" applyFill="0" applyBorder="0" applyAlignment="0" applyProtection="0"/>
    <xf numFmtId="192" fontId="5" fillId="0" borderId="0" applyFill="0" applyBorder="0" applyAlignment="0" applyProtection="0"/>
    <xf numFmtId="192" fontId="5" fillId="0" borderId="0" applyFill="0" applyBorder="0" applyAlignment="0" applyProtection="0"/>
    <xf numFmtId="192" fontId="5" fillId="0" borderId="0" applyFill="0" applyBorder="0" applyAlignment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5" fillId="0" borderId="0" applyNumberFormat="0" applyBorder="0" applyProtection="0"/>
    <xf numFmtId="0" fontId="28" fillId="0" borderId="0" applyNumberFormat="0" applyBorder="0" applyProtection="0"/>
    <xf numFmtId="0" fontId="2" fillId="0" borderId="0" applyNumberFormat="0" applyBorder="0" applyProtection="0"/>
    <xf numFmtId="0" fontId="28" fillId="0" borderId="0" applyNumberFormat="0" applyBorder="0" applyProtection="0"/>
    <xf numFmtId="0" fontId="5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1" fillId="24" borderId="1" applyNumberFormat="0" applyFont="0" applyAlignment="0" applyProtection="0"/>
    <xf numFmtId="0" fontId="1" fillId="24" borderId="1" applyNumberFormat="0" applyFont="0" applyAlignment="0" applyProtection="0"/>
    <xf numFmtId="0" fontId="1" fillId="24" borderId="1" applyNumberFormat="0" applyFont="0" applyAlignment="0" applyProtection="0"/>
    <xf numFmtId="0" fontId="1" fillId="24" borderId="1" applyNumberFormat="0" applyFont="0" applyAlignment="0" applyProtection="0"/>
    <xf numFmtId="0" fontId="1" fillId="24" borderId="1" applyNumberFormat="0" applyFont="0" applyAlignment="0" applyProtection="0"/>
    <xf numFmtId="0" fontId="1" fillId="24" borderId="1" applyNumberFormat="0" applyFont="0" applyAlignment="0" applyProtection="0"/>
    <xf numFmtId="0" fontId="1" fillId="24" borderId="1" applyNumberFormat="0" applyFont="0" applyAlignment="0" applyProtection="0"/>
    <xf numFmtId="0" fontId="1" fillId="24" borderId="1" applyNumberFormat="0" applyFont="0" applyAlignment="0" applyProtection="0"/>
    <xf numFmtId="0" fontId="30" fillId="0" borderId="9" applyNumberFormat="0" applyFill="0" applyAlignment="0" applyProtection="0"/>
    <xf numFmtId="0" fontId="31" fillId="0" borderId="10" applyNumberFormat="0" applyFill="0" applyAlignment="0" applyProtection="0"/>
    <xf numFmtId="0" fontId="32" fillId="0" borderId="11" applyNumberFormat="0" applyFill="0" applyAlignment="0" applyProtection="0"/>
    <xf numFmtId="0" fontId="32" fillId="0" borderId="0" applyNumberForma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96" fontId="5" fillId="0" borderId="0" applyBorder="0" applyProtection="0"/>
    <xf numFmtId="196" fontId="5" fillId="0" borderId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3" fillId="0" borderId="0" applyNumberFormat="0" applyBorder="0" applyProtection="0"/>
    <xf numFmtId="0" fontId="34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1" fillId="0" borderId="10" applyNumberFormat="0" applyFill="0" applyAlignment="0" applyProtection="0"/>
    <xf numFmtId="0" fontId="32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26" fillId="0" borderId="8" applyNumberFormat="0" applyFill="0" applyAlignment="0" applyProtection="0"/>
    <xf numFmtId="4" fontId="17" fillId="25" borderId="12" applyProtection="0">
      <alignment vertical="center"/>
    </xf>
    <xf numFmtId="4" fontId="17" fillId="25" borderId="12" applyProtection="0">
      <alignment vertical="center"/>
    </xf>
    <xf numFmtId="4" fontId="17" fillId="25" borderId="12" applyProtection="0">
      <alignment vertical="center"/>
    </xf>
    <xf numFmtId="4" fontId="17" fillId="25" borderId="12" applyProtection="0">
      <alignment vertical="center"/>
    </xf>
    <xf numFmtId="4" fontId="35" fillId="25" borderId="12" applyProtection="0">
      <alignment vertical="center"/>
    </xf>
    <xf numFmtId="4" fontId="35" fillId="25" borderId="12" applyProtection="0">
      <alignment vertical="center"/>
    </xf>
    <xf numFmtId="4" fontId="35" fillId="25" borderId="12" applyProtection="0">
      <alignment vertical="center"/>
    </xf>
    <xf numFmtId="4" fontId="35" fillId="25" borderId="12" applyProtection="0">
      <alignment vertical="center"/>
    </xf>
    <xf numFmtId="4" fontId="36" fillId="25" borderId="12" applyProtection="0">
      <alignment horizontal="left" vertical="center" indent="1"/>
    </xf>
    <xf numFmtId="4" fontId="36" fillId="25" borderId="12" applyProtection="0">
      <alignment horizontal="left" vertical="center" indent="1"/>
    </xf>
    <xf numFmtId="4" fontId="36" fillId="25" borderId="12" applyProtection="0">
      <alignment horizontal="left" vertical="center" indent="1"/>
    </xf>
    <xf numFmtId="4" fontId="36" fillId="25" borderId="12" applyProtection="0">
      <alignment horizontal="left" vertical="center" indent="1"/>
    </xf>
    <xf numFmtId="0" fontId="37" fillId="25" borderId="12" applyNumberFormat="0" applyProtection="0">
      <alignment horizontal="left" vertical="top" indent="1"/>
    </xf>
    <xf numFmtId="0" fontId="37" fillId="25" borderId="12" applyNumberFormat="0" applyProtection="0">
      <alignment horizontal="left" vertical="top" indent="1"/>
    </xf>
    <xf numFmtId="0" fontId="37" fillId="25" borderId="12" applyNumberFormat="0" applyProtection="0">
      <alignment horizontal="left" vertical="top" indent="1"/>
    </xf>
    <xf numFmtId="0" fontId="37" fillId="25" borderId="12" applyNumberFormat="0" applyProtection="0">
      <alignment horizontal="left" vertical="top" indent="1"/>
    </xf>
    <xf numFmtId="4" fontId="36" fillId="23" borderId="0" applyBorder="0" applyProtection="0">
      <alignment horizontal="left" vertical="center" indent="1"/>
    </xf>
    <xf numFmtId="4" fontId="36" fillId="27" borderId="12" applyProtection="0">
      <alignment horizontal="right" vertical="center"/>
    </xf>
    <xf numFmtId="4" fontId="36" fillId="27" borderId="12" applyProtection="0">
      <alignment horizontal="right" vertical="center"/>
    </xf>
    <xf numFmtId="4" fontId="36" fillId="27" borderId="12" applyProtection="0">
      <alignment horizontal="right" vertical="center"/>
    </xf>
    <xf numFmtId="4" fontId="36" fillId="27" borderId="12" applyProtection="0">
      <alignment horizontal="right" vertical="center"/>
    </xf>
    <xf numFmtId="4" fontId="36" fillId="3" borderId="12" applyProtection="0">
      <alignment horizontal="right" vertical="center"/>
    </xf>
    <xf numFmtId="4" fontId="36" fillId="3" borderId="12" applyProtection="0">
      <alignment horizontal="right" vertical="center"/>
    </xf>
    <xf numFmtId="4" fontId="36" fillId="3" borderId="12" applyProtection="0">
      <alignment horizontal="right" vertical="center"/>
    </xf>
    <xf numFmtId="4" fontId="36" fillId="3" borderId="12" applyProtection="0">
      <alignment horizontal="right" vertical="center"/>
    </xf>
    <xf numFmtId="4" fontId="36" fillId="9" borderId="12" applyProtection="0">
      <alignment horizontal="right" vertical="center"/>
    </xf>
    <xf numFmtId="4" fontId="36" fillId="9" borderId="12" applyProtection="0">
      <alignment horizontal="right" vertical="center"/>
    </xf>
    <xf numFmtId="4" fontId="36" fillId="9" borderId="12" applyProtection="0">
      <alignment horizontal="right" vertical="center"/>
    </xf>
    <xf numFmtId="4" fontId="36" fillId="9" borderId="12" applyProtection="0">
      <alignment horizontal="right" vertical="center"/>
    </xf>
    <xf numFmtId="4" fontId="36" fillId="4" borderId="12" applyProtection="0">
      <alignment horizontal="right" vertical="center"/>
    </xf>
    <xf numFmtId="4" fontId="36" fillId="4" borderId="12" applyProtection="0">
      <alignment horizontal="right" vertical="center"/>
    </xf>
    <xf numFmtId="4" fontId="36" fillId="4" borderId="12" applyProtection="0">
      <alignment horizontal="right" vertical="center"/>
    </xf>
    <xf numFmtId="4" fontId="36" fillId="4" borderId="12" applyProtection="0">
      <alignment horizontal="right" vertical="center"/>
    </xf>
    <xf numFmtId="4" fontId="36" fillId="11" borderId="12" applyProtection="0">
      <alignment horizontal="right" vertical="center"/>
    </xf>
    <xf numFmtId="4" fontId="36" fillId="11" borderId="12" applyProtection="0">
      <alignment horizontal="right" vertical="center"/>
    </xf>
    <xf numFmtId="4" fontId="36" fillId="11" borderId="12" applyProtection="0">
      <alignment horizontal="right" vertical="center"/>
    </xf>
    <xf numFmtId="4" fontId="36" fillId="11" borderId="12" applyProtection="0">
      <alignment horizontal="right" vertical="center"/>
    </xf>
    <xf numFmtId="4" fontId="36" fillId="7" borderId="12" applyProtection="0">
      <alignment horizontal="right" vertical="center"/>
    </xf>
    <xf numFmtId="4" fontId="36" fillId="7" borderId="12" applyProtection="0">
      <alignment horizontal="right" vertical="center"/>
    </xf>
    <xf numFmtId="4" fontId="36" fillId="7" borderId="12" applyProtection="0">
      <alignment horizontal="right" vertical="center"/>
    </xf>
    <xf numFmtId="4" fontId="36" fillId="7" borderId="12" applyProtection="0">
      <alignment horizontal="right" vertical="center"/>
    </xf>
    <xf numFmtId="4" fontId="36" fillId="21" borderId="12" applyProtection="0">
      <alignment horizontal="right" vertical="center"/>
    </xf>
    <xf numFmtId="4" fontId="36" fillId="21" borderId="12" applyProtection="0">
      <alignment horizontal="right" vertical="center"/>
    </xf>
    <xf numFmtId="4" fontId="36" fillId="21" borderId="12" applyProtection="0">
      <alignment horizontal="right" vertical="center"/>
    </xf>
    <xf numFmtId="4" fontId="36" fillId="21" borderId="12" applyProtection="0">
      <alignment horizontal="right" vertical="center"/>
    </xf>
    <xf numFmtId="4" fontId="36" fillId="28" borderId="12" applyProtection="0">
      <alignment horizontal="right" vertical="center"/>
    </xf>
    <xf numFmtId="4" fontId="36" fillId="28" borderId="12" applyProtection="0">
      <alignment horizontal="right" vertical="center"/>
    </xf>
    <xf numFmtId="4" fontId="36" fillId="28" borderId="12" applyProtection="0">
      <alignment horizontal="right" vertical="center"/>
    </xf>
    <xf numFmtId="4" fontId="36" fillId="28" borderId="12" applyProtection="0">
      <alignment horizontal="right" vertical="center"/>
    </xf>
    <xf numFmtId="4" fontId="36" fillId="30" borderId="12" applyProtection="0">
      <alignment horizontal="right" vertical="center"/>
    </xf>
    <xf numFmtId="4" fontId="36" fillId="30" borderId="12" applyProtection="0">
      <alignment horizontal="right" vertical="center"/>
    </xf>
    <xf numFmtId="4" fontId="36" fillId="30" borderId="12" applyProtection="0">
      <alignment horizontal="right" vertical="center"/>
    </xf>
    <xf numFmtId="4" fontId="36" fillId="30" borderId="12" applyProtection="0">
      <alignment horizontal="right" vertical="center"/>
    </xf>
    <xf numFmtId="4" fontId="17" fillId="0" borderId="13" applyFill="0" applyProtection="0">
      <alignment horizontal="left" vertical="center" indent="1"/>
    </xf>
    <xf numFmtId="4" fontId="17" fillId="8" borderId="0" applyBorder="0" applyProtection="0">
      <alignment horizontal="left" vertical="center" indent="1"/>
    </xf>
    <xf numFmtId="4" fontId="17" fillId="23" borderId="0" applyBorder="0" applyProtection="0">
      <alignment horizontal="left" vertical="center" indent="1"/>
    </xf>
    <xf numFmtId="4" fontId="36" fillId="8" borderId="12" applyProtection="0">
      <alignment horizontal="right" vertical="center"/>
    </xf>
    <xf numFmtId="4" fontId="36" fillId="8" borderId="12" applyProtection="0">
      <alignment horizontal="right" vertical="center"/>
    </xf>
    <xf numFmtId="4" fontId="36" fillId="8" borderId="12" applyProtection="0">
      <alignment horizontal="right" vertical="center"/>
    </xf>
    <xf numFmtId="4" fontId="36" fillId="8" borderId="12" applyProtection="0">
      <alignment horizontal="right" vertical="center"/>
    </xf>
    <xf numFmtId="4" fontId="5" fillId="8" borderId="0" applyBorder="0" applyProtection="0">
      <alignment horizontal="left" vertical="center" indent="1"/>
    </xf>
    <xf numFmtId="4" fontId="5" fillId="23" borderId="0" applyBorder="0" applyProtection="0">
      <alignment horizontal="left" vertical="center" indent="1"/>
    </xf>
    <xf numFmtId="0" fontId="38" fillId="17" borderId="14" applyNumberFormat="0" applyProtection="0">
      <alignment horizontal="left" vertical="center" indent="1"/>
    </xf>
    <xf numFmtId="0" fontId="38" fillId="17" borderId="14" applyNumberFormat="0" applyProtection="0">
      <alignment horizontal="left" vertical="center" indent="1"/>
    </xf>
    <xf numFmtId="0" fontId="38" fillId="17" borderId="14" applyNumberFormat="0" applyProtection="0">
      <alignment horizontal="left" vertical="center" indent="1"/>
    </xf>
    <xf numFmtId="0" fontId="38" fillId="17" borderId="14" applyNumberFormat="0" applyProtection="0">
      <alignment horizontal="left" vertical="center" indent="1"/>
    </xf>
    <xf numFmtId="0" fontId="38" fillId="23" borderId="12" applyNumberFormat="0" applyProtection="0">
      <alignment horizontal="left" vertical="top" indent="1"/>
    </xf>
    <xf numFmtId="0" fontId="38" fillId="23" borderId="12" applyNumberFormat="0" applyProtection="0">
      <alignment horizontal="left" vertical="top" indent="1"/>
    </xf>
    <xf numFmtId="0" fontId="38" fillId="23" borderId="12" applyNumberFormat="0" applyProtection="0">
      <alignment horizontal="left" vertical="top" indent="1"/>
    </xf>
    <xf numFmtId="0" fontId="38" fillId="23" borderId="12" applyNumberFormat="0" applyProtection="0">
      <alignment horizontal="left" vertical="top" indent="1"/>
    </xf>
    <xf numFmtId="0" fontId="38" fillId="31" borderId="14" applyNumberFormat="0" applyProtection="0">
      <alignment horizontal="left" vertical="center" indent="1"/>
    </xf>
    <xf numFmtId="0" fontId="38" fillId="31" borderId="14" applyNumberFormat="0" applyProtection="0">
      <alignment horizontal="left" vertical="center" indent="1"/>
    </xf>
    <xf numFmtId="0" fontId="38" fillId="31" borderId="14" applyNumberFormat="0" applyProtection="0">
      <alignment horizontal="left" vertical="center" indent="1"/>
    </xf>
    <xf numFmtId="0" fontId="38" fillId="31" borderId="14" applyNumberFormat="0" applyProtection="0">
      <alignment horizontal="left" vertical="center" indent="1"/>
    </xf>
    <xf numFmtId="0" fontId="38" fillId="19" borderId="12" applyNumberFormat="0" applyProtection="0">
      <alignment horizontal="left" vertical="top" indent="1"/>
    </xf>
    <xf numFmtId="0" fontId="38" fillId="19" borderId="12" applyNumberFormat="0" applyProtection="0">
      <alignment horizontal="left" vertical="top" indent="1"/>
    </xf>
    <xf numFmtId="0" fontId="38" fillId="19" borderId="12" applyNumberFormat="0" applyProtection="0">
      <alignment horizontal="left" vertical="top" indent="1"/>
    </xf>
    <xf numFmtId="0" fontId="38" fillId="19" borderId="12" applyNumberFormat="0" applyProtection="0">
      <alignment horizontal="left" vertical="top" indent="1"/>
    </xf>
    <xf numFmtId="0" fontId="38" fillId="8" borderId="14" applyNumberFormat="0" applyProtection="0">
      <alignment horizontal="left" vertical="center" indent="1"/>
    </xf>
    <xf numFmtId="0" fontId="38" fillId="8" borderId="14" applyNumberFormat="0" applyProtection="0">
      <alignment horizontal="left" vertical="center" indent="1"/>
    </xf>
    <xf numFmtId="0" fontId="38" fillId="8" borderId="14" applyNumberFormat="0" applyProtection="0">
      <alignment horizontal="left" vertical="center" indent="1"/>
    </xf>
    <xf numFmtId="0" fontId="38" fillId="8" borderId="14" applyNumberFormat="0" applyProtection="0">
      <alignment horizontal="left" vertical="center" indent="1"/>
    </xf>
    <xf numFmtId="0" fontId="38" fillId="8" borderId="12" applyNumberFormat="0" applyProtection="0">
      <alignment horizontal="left" vertical="top" indent="1"/>
    </xf>
    <xf numFmtId="0" fontId="38" fillId="8" borderId="12" applyNumberFormat="0" applyProtection="0">
      <alignment horizontal="left" vertical="top" indent="1"/>
    </xf>
    <xf numFmtId="0" fontId="38" fillId="8" borderId="12" applyNumberFormat="0" applyProtection="0">
      <alignment horizontal="left" vertical="top" indent="1"/>
    </xf>
    <xf numFmtId="0" fontId="38" fillId="8" borderId="12" applyNumberFormat="0" applyProtection="0">
      <alignment horizontal="left" vertical="top" indent="1"/>
    </xf>
    <xf numFmtId="0" fontId="38" fillId="6" borderId="14" applyNumberFormat="0" applyProtection="0">
      <alignment horizontal="left" vertical="center" indent="1"/>
    </xf>
    <xf numFmtId="0" fontId="38" fillId="6" borderId="14" applyNumberFormat="0" applyProtection="0">
      <alignment horizontal="left" vertical="center" indent="1"/>
    </xf>
    <xf numFmtId="0" fontId="38" fillId="6" borderId="14" applyNumberFormat="0" applyProtection="0">
      <alignment horizontal="left" vertical="center" indent="1"/>
    </xf>
    <xf numFmtId="0" fontId="38" fillId="6" borderId="14" applyNumberFormat="0" applyProtection="0">
      <alignment horizontal="left" vertical="center" indent="1"/>
    </xf>
    <xf numFmtId="0" fontId="38" fillId="6" borderId="12" applyNumberFormat="0" applyProtection="0">
      <alignment horizontal="left" vertical="top" indent="1"/>
    </xf>
    <xf numFmtId="0" fontId="38" fillId="6" borderId="12" applyNumberFormat="0" applyProtection="0">
      <alignment horizontal="left" vertical="top" indent="1"/>
    </xf>
    <xf numFmtId="0" fontId="38" fillId="6" borderId="12" applyNumberFormat="0" applyProtection="0">
      <alignment horizontal="left" vertical="top" indent="1"/>
    </xf>
    <xf numFmtId="0" fontId="38" fillId="6" borderId="12" applyNumberFormat="0" applyProtection="0">
      <alignment horizontal="left" vertical="top" indent="1"/>
    </xf>
    <xf numFmtId="0" fontId="38" fillId="32" borderId="15" applyNumberFormat="0">
      <protection locked="0"/>
    </xf>
    <xf numFmtId="0" fontId="37" fillId="23" borderId="0" applyNumberFormat="0" applyBorder="0" applyProtection="0"/>
    <xf numFmtId="0" fontId="37" fillId="23" borderId="0" applyNumberFormat="0" applyBorder="0" applyProtection="0"/>
    <xf numFmtId="0" fontId="37" fillId="23" borderId="0" applyNumberFormat="0" applyBorder="0" applyProtection="0"/>
    <xf numFmtId="0" fontId="37" fillId="23" borderId="0" applyNumberFormat="0" applyBorder="0" applyProtection="0"/>
    <xf numFmtId="4" fontId="36" fillId="6" borderId="12" applyProtection="0">
      <alignment vertical="center"/>
    </xf>
    <xf numFmtId="4" fontId="36" fillId="6" borderId="12" applyProtection="0">
      <alignment vertical="center"/>
    </xf>
    <xf numFmtId="4" fontId="36" fillId="6" borderId="12" applyProtection="0">
      <alignment vertical="center"/>
    </xf>
    <xf numFmtId="4" fontId="36" fillId="6" borderId="12" applyProtection="0">
      <alignment vertical="center"/>
    </xf>
    <xf numFmtId="4" fontId="39" fillId="6" borderId="12" applyProtection="0">
      <alignment vertical="center"/>
    </xf>
    <xf numFmtId="4" fontId="39" fillId="6" borderId="12" applyProtection="0">
      <alignment vertical="center"/>
    </xf>
    <xf numFmtId="4" fontId="39" fillId="6" borderId="12" applyProtection="0">
      <alignment vertical="center"/>
    </xf>
    <xf numFmtId="4" fontId="39" fillId="6" borderId="12" applyProtection="0">
      <alignment vertical="center"/>
    </xf>
    <xf numFmtId="4" fontId="17" fillId="8" borderId="16" applyProtection="0">
      <alignment horizontal="left" vertical="center" indent="1"/>
    </xf>
    <xf numFmtId="4" fontId="17" fillId="8" borderId="16" applyProtection="0">
      <alignment horizontal="left" vertical="center" indent="1"/>
    </xf>
    <xf numFmtId="4" fontId="17" fillId="8" borderId="16" applyProtection="0">
      <alignment horizontal="left" vertical="center" indent="1"/>
    </xf>
    <xf numFmtId="4" fontId="17" fillId="8" borderId="16" applyProtection="0">
      <alignment horizontal="left" vertical="center" indent="1"/>
    </xf>
    <xf numFmtId="0" fontId="38" fillId="24" borderId="12" applyNumberFormat="0" applyProtection="0">
      <alignment horizontal="left" vertical="top" indent="1"/>
    </xf>
    <xf numFmtId="0" fontId="38" fillId="24" borderId="12" applyNumberFormat="0" applyProtection="0">
      <alignment horizontal="left" vertical="top" indent="1"/>
    </xf>
    <xf numFmtId="0" fontId="38" fillId="24" borderId="12" applyNumberFormat="0" applyProtection="0">
      <alignment horizontal="left" vertical="top" indent="1"/>
    </xf>
    <xf numFmtId="0" fontId="38" fillId="24" borderId="12" applyNumberFormat="0" applyProtection="0">
      <alignment horizontal="left" vertical="top" indent="1"/>
    </xf>
    <xf numFmtId="4" fontId="36" fillId="6" borderId="12" applyProtection="0">
      <alignment horizontal="right" vertical="center"/>
    </xf>
    <xf numFmtId="4" fontId="36" fillId="6" borderId="12" applyProtection="0">
      <alignment horizontal="right" vertical="center"/>
    </xf>
    <xf numFmtId="4" fontId="36" fillId="6" borderId="12" applyProtection="0">
      <alignment horizontal="right" vertical="center"/>
    </xf>
    <xf numFmtId="4" fontId="36" fillId="6" borderId="12" applyProtection="0">
      <alignment horizontal="right" vertical="center"/>
    </xf>
    <xf numFmtId="4" fontId="39" fillId="6" borderId="12" applyProtection="0">
      <alignment horizontal="right" vertical="center"/>
    </xf>
    <xf numFmtId="4" fontId="39" fillId="6" borderId="12" applyProtection="0">
      <alignment horizontal="right" vertical="center"/>
    </xf>
    <xf numFmtId="4" fontId="39" fillId="6" borderId="12" applyProtection="0">
      <alignment horizontal="right" vertical="center"/>
    </xf>
    <xf numFmtId="4" fontId="39" fillId="6" borderId="12" applyProtection="0">
      <alignment horizontal="right" vertical="center"/>
    </xf>
    <xf numFmtId="4" fontId="17" fillId="8" borderId="12" applyProtection="0">
      <alignment horizontal="left" vertical="center" indent="1"/>
    </xf>
    <xf numFmtId="4" fontId="17" fillId="8" borderId="12" applyProtection="0">
      <alignment horizontal="left" vertical="center" indent="1"/>
    </xf>
    <xf numFmtId="4" fontId="17" fillId="8" borderId="12" applyProtection="0">
      <alignment horizontal="left" vertical="center" indent="1"/>
    </xf>
    <xf numFmtId="4" fontId="17" fillId="8" borderId="12" applyProtection="0">
      <alignment horizontal="left" vertical="center" indent="1"/>
    </xf>
    <xf numFmtId="0" fontId="38" fillId="19" borderId="12" applyNumberFormat="0" applyProtection="0">
      <alignment horizontal="left" vertical="top" indent="1"/>
    </xf>
    <xf numFmtId="0" fontId="38" fillId="19" borderId="12" applyNumberFormat="0" applyProtection="0">
      <alignment horizontal="left" vertical="top" indent="1"/>
    </xf>
    <xf numFmtId="0" fontId="38" fillId="19" borderId="12" applyNumberFormat="0" applyProtection="0">
      <alignment horizontal="left" vertical="top" indent="1"/>
    </xf>
    <xf numFmtId="0" fontId="38" fillId="19" borderId="12" applyNumberFormat="0" applyProtection="0">
      <alignment horizontal="left" vertical="top" indent="1"/>
    </xf>
    <xf numFmtId="4" fontId="40" fillId="19" borderId="16" applyProtection="0">
      <alignment horizontal="left" vertical="center" indent="1"/>
    </xf>
    <xf numFmtId="4" fontId="40" fillId="19" borderId="16" applyProtection="0">
      <alignment horizontal="left" vertical="center" indent="1"/>
    </xf>
    <xf numFmtId="4" fontId="40" fillId="19" borderId="16" applyProtection="0">
      <alignment horizontal="left" vertical="center" indent="1"/>
    </xf>
    <xf numFmtId="4" fontId="40" fillId="19" borderId="16" applyProtection="0">
      <alignment horizontal="left" vertical="center" indent="1"/>
    </xf>
    <xf numFmtId="0" fontId="38" fillId="13" borderId="3" applyNumberFormat="0" applyProtection="0"/>
    <xf numFmtId="4" fontId="41" fillId="6" borderId="12" applyProtection="0">
      <alignment horizontal="right" vertical="center"/>
    </xf>
    <xf numFmtId="4" fontId="41" fillId="6" borderId="12" applyProtection="0">
      <alignment horizontal="right" vertical="center"/>
    </xf>
    <xf numFmtId="4" fontId="41" fillId="6" borderId="12" applyProtection="0">
      <alignment horizontal="right" vertical="center"/>
    </xf>
    <xf numFmtId="4" fontId="41" fillId="6" borderId="12" applyProtection="0">
      <alignment horizontal="right" vertical="center"/>
    </xf>
    <xf numFmtId="0" fontId="42" fillId="0" borderId="0" applyNumberFormat="0" applyFill="0" applyBorder="0" applyAlignment="0" applyProtection="0"/>
    <xf numFmtId="0" fontId="43" fillId="0" borderId="0" applyNumberFormat="0" applyBorder="0" applyProtection="0"/>
    <xf numFmtId="0" fontId="5" fillId="0" borderId="0" applyNumberFormat="0" applyBorder="0" applyProtection="0"/>
    <xf numFmtId="186" fontId="12" fillId="0" borderId="17" applyProtection="0"/>
    <xf numFmtId="186" fontId="12" fillId="0" borderId="17" applyProtection="0"/>
    <xf numFmtId="186" fontId="12" fillId="0" borderId="17" applyProtection="0"/>
    <xf numFmtId="186" fontId="12" fillId="0" borderId="17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49" fontId="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186" fontId="12" fillId="0" borderId="6" applyFill="0" applyProtection="0"/>
    <xf numFmtId="0" fontId="13" fillId="3" borderId="0" applyNumberFormat="0" applyBorder="0" applyAlignment="0" applyProtection="0"/>
    <xf numFmtId="0" fontId="44" fillId="17" borderId="19" applyNumberFormat="0" applyAlignment="0" applyProtection="0"/>
    <xf numFmtId="0" fontId="44" fillId="17" borderId="19" applyNumberFormat="0" applyAlignment="0" applyProtection="0"/>
    <xf numFmtId="0" fontId="44" fillId="17" borderId="19" applyNumberFormat="0" applyAlignment="0" applyProtection="0"/>
    <xf numFmtId="0" fontId="44" fillId="17" borderId="19" applyNumberFormat="0" applyAlignment="0" applyProtection="0"/>
    <xf numFmtId="0" fontId="6" fillId="0" borderId="0" applyNumberFormat="0" applyFill="0" applyBorder="0" applyAlignment="0" applyProtection="0"/>
  </cellStyleXfs>
  <cellXfs count="235">
    <xf numFmtId="0" fontId="0" fillId="0" borderId="0" xfId="0"/>
    <xf numFmtId="165" fontId="0" fillId="0" borderId="0" xfId="0" applyNumberFormat="1" applyAlignment="1">
      <alignment vertical="center"/>
    </xf>
    <xf numFmtId="0" fontId="45" fillId="15" borderId="0" xfId="0" applyFont="1" applyFill="1" applyAlignment="1">
      <alignment horizontal="left" vertical="center"/>
    </xf>
    <xf numFmtId="0" fontId="0" fillId="15" borderId="0" xfId="0" applyFill="1" applyAlignment="1">
      <alignment vertical="center"/>
    </xf>
    <xf numFmtId="0" fontId="46" fillId="15" borderId="0" xfId="0" applyFont="1" applyFill="1" applyAlignment="1">
      <alignment horizontal="left" vertical="center"/>
    </xf>
    <xf numFmtId="0" fontId="47" fillId="15" borderId="0" xfId="0" applyFont="1" applyFill="1" applyAlignment="1">
      <alignment horizontal="left" vertical="center"/>
    </xf>
    <xf numFmtId="0" fontId="48" fillId="15" borderId="0" xfId="0" applyFont="1" applyFill="1" applyAlignment="1">
      <alignment vertical="center"/>
    </xf>
    <xf numFmtId="0" fontId="47" fillId="15" borderId="0" xfId="0" applyFont="1" applyFill="1" applyAlignment="1">
      <alignment horizontal="left" vertical="top"/>
    </xf>
    <xf numFmtId="0" fontId="0" fillId="15" borderId="0" xfId="0" applyFill="1" applyAlignment="1">
      <alignment horizontal="left" vertical="top"/>
    </xf>
    <xf numFmtId="0" fontId="47" fillId="15" borderId="0" xfId="0" applyFont="1" applyFill="1" applyAlignment="1">
      <alignment horizontal="left" vertical="top" wrapText="1"/>
    </xf>
    <xf numFmtId="165" fontId="47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65" fontId="49" fillId="33" borderId="0" xfId="0" applyNumberFormat="1" applyFont="1" applyFill="1" applyAlignment="1">
      <alignment vertical="center"/>
    </xf>
    <xf numFmtId="165" fontId="50" fillId="33" borderId="0" xfId="0" applyNumberFormat="1" applyFont="1" applyFill="1" applyAlignment="1">
      <alignment vertical="center"/>
    </xf>
    <xf numFmtId="169" fontId="0" fillId="0" borderId="0" xfId="0" applyNumberFormat="1" applyAlignment="1">
      <alignment vertical="center"/>
    </xf>
    <xf numFmtId="0" fontId="0" fillId="0" borderId="20" xfId="0" applyBorder="1" applyAlignment="1">
      <alignment vertical="center"/>
    </xf>
    <xf numFmtId="165" fontId="51" fillId="0" borderId="0" xfId="0" applyNumberFormat="1" applyFont="1" applyAlignment="1">
      <alignment vertical="center"/>
    </xf>
    <xf numFmtId="165" fontId="10" fillId="0" borderId="0" xfId="0" applyNumberFormat="1" applyFont="1" applyAlignment="1">
      <alignment vertical="center"/>
    </xf>
    <xf numFmtId="165" fontId="52" fillId="0" borderId="0" xfId="0" applyNumberFormat="1" applyFont="1" applyAlignment="1">
      <alignment vertical="center"/>
    </xf>
    <xf numFmtId="166" fontId="0" fillId="24" borderId="0" xfId="0" applyNumberFormat="1" applyFill="1" applyAlignment="1">
      <alignment vertical="center"/>
    </xf>
    <xf numFmtId="166" fontId="0" fillId="34" borderId="0" xfId="0" applyNumberFormat="1" applyFill="1" applyAlignment="1">
      <alignment vertical="center"/>
    </xf>
    <xf numFmtId="166" fontId="0" fillId="35" borderId="0" xfId="0" applyNumberFormat="1" applyFill="1" applyAlignment="1">
      <alignment vertical="center"/>
    </xf>
    <xf numFmtId="0" fontId="53" fillId="36" borderId="0" xfId="0" applyFont="1" applyFill="1" applyAlignment="1">
      <alignment vertical="center"/>
    </xf>
    <xf numFmtId="165" fontId="0" fillId="37" borderId="0" xfId="0" applyNumberFormat="1" applyFill="1" applyAlignment="1">
      <alignment vertical="center"/>
    </xf>
    <xf numFmtId="169" fontId="21" fillId="0" borderId="0" xfId="2125" applyNumberFormat="1" applyAlignment="1">
      <alignment vertical="center"/>
    </xf>
    <xf numFmtId="0" fontId="54" fillId="38" borderId="21" xfId="0" applyFont="1" applyFill="1" applyBorder="1" applyAlignment="1">
      <alignment vertical="center"/>
    </xf>
    <xf numFmtId="169" fontId="0" fillId="0" borderId="0" xfId="0" applyNumberFormat="1" applyAlignment="1">
      <alignment horizontal="left" vertical="center"/>
    </xf>
    <xf numFmtId="0" fontId="54" fillId="38" borderId="0" xfId="0" applyFont="1" applyFill="1" applyAlignment="1">
      <alignment vertical="center"/>
    </xf>
    <xf numFmtId="0" fontId="0" fillId="24" borderId="22" xfId="0" applyFill="1" applyBorder="1" applyAlignment="1">
      <alignment vertical="center"/>
    </xf>
    <xf numFmtId="0" fontId="0" fillId="39" borderId="21" xfId="0" applyFill="1" applyBorder="1" applyAlignment="1">
      <alignment vertical="center"/>
    </xf>
    <xf numFmtId="0" fontId="0" fillId="40" borderId="21" xfId="0" applyFill="1" applyBorder="1" applyAlignment="1">
      <alignment vertical="center"/>
    </xf>
    <xf numFmtId="165" fontId="53" fillId="0" borderId="0" xfId="0" applyNumberFormat="1" applyFont="1" applyAlignment="1">
      <alignment horizontal="left" vertical="center"/>
    </xf>
    <xf numFmtId="169" fontId="55" fillId="0" borderId="0" xfId="0" applyNumberFormat="1" applyFont="1" applyAlignment="1">
      <alignment vertical="center"/>
    </xf>
    <xf numFmtId="0" fontId="14" fillId="15" borderId="0" xfId="0" applyFont="1" applyFill="1" applyAlignment="1">
      <alignment horizontal="left" vertical="center"/>
    </xf>
    <xf numFmtId="0" fontId="0" fillId="15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2181" applyFont="1" applyAlignment="1" applyProtection="1">
      <alignment horizontal="center" vertical="center" wrapText="1"/>
    </xf>
    <xf numFmtId="0" fontId="0" fillId="0" borderId="0" xfId="2181" applyFont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2181" applyFont="1" applyBorder="1" applyAlignment="1" applyProtection="1">
      <alignment horizontal="center" vertical="center" wrapText="1"/>
    </xf>
    <xf numFmtId="0" fontId="21" fillId="0" borderId="3" xfId="2125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4" fontId="0" fillId="0" borderId="3" xfId="2181" applyNumberFormat="1" applyFont="1" applyBorder="1" applyAlignment="1" applyProtection="1">
      <alignment horizontal="center" vertical="center" wrapText="1"/>
    </xf>
    <xf numFmtId="0" fontId="0" fillId="0" borderId="3" xfId="2181" applyFont="1" applyBorder="1" applyAlignment="1" applyProtection="1">
      <alignment horizontal="left" vertical="center" wrapText="1"/>
    </xf>
    <xf numFmtId="0" fontId="0" fillId="0" borderId="3" xfId="2181" applyFont="1" applyBorder="1" applyAlignment="1" applyProtection="1">
      <alignment horizontal="center" vertical="center"/>
    </xf>
    <xf numFmtId="165" fontId="14" fillId="15" borderId="0" xfId="0" applyNumberFormat="1" applyFont="1" applyFill="1" applyAlignment="1">
      <alignment vertical="center"/>
    </xf>
    <xf numFmtId="165" fontId="0" fillId="15" borderId="0" xfId="0" applyNumberFormat="1" applyFill="1" applyAlignment="1">
      <alignment vertical="center"/>
    </xf>
    <xf numFmtId="165" fontId="0" fillId="15" borderId="0" xfId="0" applyNumberFormat="1" applyFill="1" applyAlignment="1">
      <alignment horizontal="center" vertical="center"/>
    </xf>
    <xf numFmtId="165" fontId="55" fillId="15" borderId="0" xfId="0" applyNumberFormat="1" applyFont="1" applyFill="1" applyAlignment="1">
      <alignment vertical="center"/>
    </xf>
    <xf numFmtId="165" fontId="55" fillId="15" borderId="0" xfId="0" applyNumberFormat="1" applyFont="1" applyFill="1" applyAlignment="1">
      <alignment horizontal="right" vertical="center"/>
    </xf>
    <xf numFmtId="165" fontId="0" fillId="33" borderId="0" xfId="0" applyNumberFormat="1" applyFill="1" applyAlignment="1">
      <alignment vertical="center"/>
    </xf>
    <xf numFmtId="165" fontId="0" fillId="31" borderId="0" xfId="0" applyNumberFormat="1" applyFill="1" applyAlignment="1">
      <alignment vertical="center"/>
    </xf>
    <xf numFmtId="0" fontId="56" fillId="0" borderId="0" xfId="0" applyFont="1" applyAlignment="1">
      <alignment vertical="center"/>
    </xf>
    <xf numFmtId="9" fontId="0" fillId="0" borderId="0" xfId="2" applyFont="1" applyFill="1" applyAlignment="1">
      <alignment vertical="center"/>
    </xf>
    <xf numFmtId="0" fontId="57" fillId="0" borderId="0" xfId="0" applyFont="1" applyAlignment="1">
      <alignment vertical="center"/>
    </xf>
    <xf numFmtId="165" fontId="0" fillId="0" borderId="0" xfId="0" applyNumberFormat="1" applyAlignment="1">
      <alignment horizontal="right" vertical="center"/>
    </xf>
    <xf numFmtId="165" fontId="0" fillId="41" borderId="0" xfId="0" applyNumberFormat="1" applyFill="1" applyAlignment="1">
      <alignment vertical="center"/>
    </xf>
    <xf numFmtId="165" fontId="47" fillId="15" borderId="0" xfId="0" applyNumberFormat="1" applyFont="1" applyFill="1" applyAlignment="1">
      <alignment vertical="center"/>
    </xf>
    <xf numFmtId="167" fontId="0" fillId="15" borderId="0" xfId="0" applyNumberFormat="1" applyFill="1" applyAlignment="1">
      <alignment vertical="center"/>
    </xf>
    <xf numFmtId="165" fontId="58" fillId="15" borderId="0" xfId="0" applyNumberFormat="1" applyFont="1" applyFill="1" applyAlignment="1">
      <alignment vertical="center"/>
    </xf>
    <xf numFmtId="14" fontId="0" fillId="15" borderId="20" xfId="0" applyNumberFormat="1" applyFill="1" applyBorder="1" applyAlignment="1">
      <alignment vertical="center"/>
    </xf>
    <xf numFmtId="14" fontId="0" fillId="15" borderId="0" xfId="0" applyNumberFormat="1" applyFill="1" applyAlignment="1">
      <alignment vertical="center"/>
    </xf>
    <xf numFmtId="167" fontId="47" fillId="15" borderId="0" xfId="0" applyNumberFormat="1" applyFont="1" applyFill="1" applyAlignment="1">
      <alignment vertical="center"/>
    </xf>
    <xf numFmtId="167" fontId="59" fillId="15" borderId="0" xfId="0" applyNumberFormat="1" applyFont="1" applyFill="1" applyAlignment="1">
      <alignment vertical="center"/>
    </xf>
    <xf numFmtId="177" fontId="0" fillId="0" borderId="0" xfId="0" applyNumberFormat="1" applyAlignment="1">
      <alignment vertical="center"/>
    </xf>
    <xf numFmtId="177" fontId="0" fillId="24" borderId="0" xfId="0" applyNumberFormat="1" applyFill="1" applyAlignment="1">
      <alignment vertical="center"/>
    </xf>
    <xf numFmtId="177" fontId="0" fillId="0" borderId="0" xfId="0" applyNumberFormat="1"/>
    <xf numFmtId="4" fontId="0" fillId="0" borderId="0" xfId="0" applyNumberFormat="1" applyAlignment="1">
      <alignment vertical="center"/>
    </xf>
    <xf numFmtId="0" fontId="0" fillId="24" borderId="0" xfId="0" applyFill="1" applyAlignment="1">
      <alignment vertical="center"/>
    </xf>
    <xf numFmtId="0" fontId="0" fillId="24" borderId="0" xfId="0" applyFill="1" applyAlignment="1">
      <alignment vertical="center" wrapText="1"/>
    </xf>
    <xf numFmtId="4" fontId="0" fillId="24" borderId="0" xfId="0" applyNumberFormat="1" applyFill="1" applyAlignment="1">
      <alignment vertical="center"/>
    </xf>
    <xf numFmtId="172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168" fontId="0" fillId="0" borderId="0" xfId="2" applyNumberFormat="1" applyFont="1" applyFill="1" applyAlignment="1">
      <alignment vertical="center"/>
    </xf>
    <xf numFmtId="0" fontId="0" fillId="0" borderId="0" xfId="0" applyAlignment="1">
      <alignment vertical="center" wrapText="1"/>
    </xf>
    <xf numFmtId="178" fontId="0" fillId="0" borderId="0" xfId="0" applyNumberFormat="1" applyAlignment="1">
      <alignment vertical="center"/>
    </xf>
    <xf numFmtId="1" fontId="0" fillId="15" borderId="0" xfId="0" applyNumberFormat="1" applyFill="1" applyAlignment="1">
      <alignment horizontal="center" vertical="center"/>
    </xf>
    <xf numFmtId="10" fontId="0" fillId="0" borderId="0" xfId="0" applyNumberFormat="1" applyAlignment="1">
      <alignment vertical="center"/>
    </xf>
    <xf numFmtId="177" fontId="10" fillId="0" borderId="0" xfId="0" applyNumberFormat="1" applyFont="1" applyAlignment="1">
      <alignment vertical="center"/>
    </xf>
    <xf numFmtId="165" fontId="50" fillId="31" borderId="0" xfId="0" applyNumberFormat="1" applyFont="1" applyFill="1" applyAlignment="1">
      <alignment vertical="center"/>
    </xf>
    <xf numFmtId="165" fontId="0" fillId="0" borderId="0" xfId="0" applyNumberFormat="1" applyAlignment="1">
      <alignment horizontal="left" vertical="center"/>
    </xf>
    <xf numFmtId="165" fontId="0" fillId="0" borderId="0" xfId="0" applyNumberFormat="1" applyAlignment="1">
      <alignment horizontal="center" vertical="center"/>
    </xf>
    <xf numFmtId="10" fontId="10" fillId="24" borderId="0" xfId="0" applyNumberFormat="1" applyFont="1" applyFill="1" applyAlignment="1">
      <alignment vertical="center"/>
    </xf>
    <xf numFmtId="10" fontId="57" fillId="0" borderId="0" xfId="0" applyNumberFormat="1" applyFont="1" applyAlignment="1">
      <alignment vertical="center"/>
    </xf>
    <xf numFmtId="0" fontId="60" fillId="0" borderId="0" xfId="0" applyFont="1" applyAlignment="1">
      <alignment horizontal="left" vertical="center" indent="1"/>
    </xf>
    <xf numFmtId="165" fontId="57" fillId="0" borderId="0" xfId="0" applyNumberFormat="1" applyFont="1" applyAlignment="1">
      <alignment vertical="center"/>
    </xf>
    <xf numFmtId="0" fontId="0" fillId="37" borderId="0" xfId="0" applyFill="1" applyAlignment="1">
      <alignment vertical="center"/>
    </xf>
    <xf numFmtId="0" fontId="10" fillId="24" borderId="0" xfId="0" applyFont="1" applyFill="1" applyAlignment="1">
      <alignment vertical="center"/>
    </xf>
    <xf numFmtId="14" fontId="0" fillId="0" borderId="0" xfId="0" applyNumberFormat="1" applyAlignment="1">
      <alignment vertical="center"/>
    </xf>
    <xf numFmtId="2" fontId="0" fillId="0" borderId="0" xfId="0" applyNumberFormat="1"/>
    <xf numFmtId="0" fontId="53" fillId="0" borderId="0" xfId="0" applyFont="1" applyAlignment="1">
      <alignment vertical="center"/>
    </xf>
    <xf numFmtId="165" fontId="53" fillId="0" borderId="0" xfId="0" applyNumberFormat="1" applyFont="1" applyAlignment="1">
      <alignment vertical="center"/>
    </xf>
    <xf numFmtId="0" fontId="0" fillId="37" borderId="0" xfId="0" applyFill="1"/>
    <xf numFmtId="0" fontId="60" fillId="0" borderId="0" xfId="0" applyFont="1" applyAlignment="1">
      <alignment vertical="center"/>
    </xf>
    <xf numFmtId="167" fontId="47" fillId="0" borderId="0" xfId="0" applyNumberFormat="1" applyFont="1" applyAlignment="1">
      <alignment vertical="center"/>
    </xf>
    <xf numFmtId="165" fontId="55" fillId="0" borderId="0" xfId="0" applyNumberFormat="1" applyFont="1" applyAlignment="1">
      <alignment vertical="center"/>
    </xf>
    <xf numFmtId="175" fontId="0" fillId="0" borderId="0" xfId="1" applyNumberFormat="1" applyFont="1" applyFill="1" applyAlignment="1">
      <alignment vertical="center"/>
    </xf>
    <xf numFmtId="173" fontId="0" fillId="0" borderId="0" xfId="1" applyFont="1" applyAlignment="1">
      <alignment vertical="center"/>
    </xf>
    <xf numFmtId="10" fontId="57" fillId="24" borderId="0" xfId="0" applyNumberFormat="1" applyFont="1" applyFill="1" applyAlignment="1">
      <alignment vertical="center"/>
    </xf>
    <xf numFmtId="174" fontId="0" fillId="0" borderId="0" xfId="0" applyNumberFormat="1" applyAlignment="1">
      <alignment vertical="center"/>
    </xf>
    <xf numFmtId="14" fontId="10" fillId="24" borderId="0" xfId="0" applyNumberFormat="1" applyFont="1" applyFill="1" applyAlignment="1">
      <alignment vertical="center"/>
    </xf>
    <xf numFmtId="14" fontId="10" fillId="24" borderId="0" xfId="0" applyNumberFormat="1" applyFont="1" applyFill="1" applyAlignment="1">
      <alignment horizontal="right" vertical="center"/>
    </xf>
    <xf numFmtId="165" fontId="62" fillId="0" borderId="0" xfId="0" applyNumberFormat="1" applyFont="1" applyAlignment="1">
      <alignment horizontal="center" vertical="center"/>
    </xf>
    <xf numFmtId="176" fontId="0" fillId="0" borderId="0" xfId="0" applyNumberFormat="1" applyAlignment="1">
      <alignment vertical="center"/>
    </xf>
    <xf numFmtId="176" fontId="10" fillId="0" borderId="0" xfId="1" applyNumberFormat="1" applyFont="1" applyAlignment="1">
      <alignment vertical="center"/>
    </xf>
    <xf numFmtId="176" fontId="10" fillId="0" borderId="0" xfId="1" applyNumberFormat="1" applyFont="1" applyFill="1" applyAlignment="1">
      <alignment vertical="center"/>
    </xf>
    <xf numFmtId="10" fontId="0" fillId="24" borderId="0" xfId="2" applyNumberFormat="1" applyFont="1" applyFill="1" applyAlignment="1">
      <alignment vertical="center"/>
    </xf>
    <xf numFmtId="178" fontId="10" fillId="0" borderId="0" xfId="0" applyNumberFormat="1" applyFont="1" applyAlignment="1">
      <alignment vertical="center"/>
    </xf>
    <xf numFmtId="165" fontId="56" fillId="0" borderId="0" xfId="0" applyNumberFormat="1" applyFont="1" applyAlignment="1">
      <alignment vertical="center"/>
    </xf>
    <xf numFmtId="14" fontId="0" fillId="24" borderId="0" xfId="0" applyNumberFormat="1" applyFill="1" applyAlignment="1">
      <alignment vertical="center"/>
    </xf>
    <xf numFmtId="179" fontId="10" fillId="0" borderId="0" xfId="1" applyNumberFormat="1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5" fontId="0" fillId="15" borderId="0" xfId="0" applyNumberFormat="1" applyFill="1" applyAlignment="1">
      <alignment horizontal="left" vertical="center"/>
    </xf>
    <xf numFmtId="49" fontId="0" fillId="15" borderId="0" xfId="0" applyNumberFormat="1" applyFill="1" applyAlignment="1">
      <alignment horizontal="center" vertical="center"/>
    </xf>
    <xf numFmtId="165" fontId="55" fillId="15" borderId="0" xfId="0" applyNumberFormat="1" applyFont="1" applyFill="1" applyAlignment="1">
      <alignment horizontal="left" vertical="center"/>
    </xf>
    <xf numFmtId="49" fontId="55" fillId="15" borderId="0" xfId="0" applyNumberFormat="1" applyFont="1" applyFill="1" applyAlignment="1">
      <alignment vertical="center"/>
    </xf>
    <xf numFmtId="49" fontId="0" fillId="0" borderId="0" xfId="0" applyNumberFormat="1" applyAlignment="1">
      <alignment vertical="center"/>
    </xf>
    <xf numFmtId="1" fontId="0" fillId="31" borderId="0" xfId="0" applyNumberFormat="1" applyFill="1" applyAlignment="1">
      <alignment vertical="center"/>
    </xf>
    <xf numFmtId="49" fontId="0" fillId="31" borderId="0" xfId="0" applyNumberFormat="1" applyFill="1" applyAlignment="1">
      <alignment vertical="center"/>
    </xf>
    <xf numFmtId="1" fontId="0" fillId="0" borderId="0" xfId="0" applyNumberFormat="1" applyAlignment="1">
      <alignment vertical="center"/>
    </xf>
    <xf numFmtId="1" fontId="0" fillId="0" borderId="0" xfId="2" applyNumberFormat="1" applyFont="1" applyFill="1" applyAlignment="1">
      <alignment vertical="center"/>
    </xf>
    <xf numFmtId="49" fontId="0" fillId="24" borderId="0" xfId="0" applyNumberFormat="1" applyFill="1" applyAlignment="1">
      <alignment vertical="center"/>
    </xf>
    <xf numFmtId="49" fontId="21" fillId="24" borderId="0" xfId="2125" applyNumberFormat="1" applyFill="1" applyAlignment="1">
      <alignment vertical="center"/>
    </xf>
    <xf numFmtId="1" fontId="0" fillId="0" borderId="0" xfId="0" applyNumberFormat="1" applyAlignment="1">
      <alignment horizontal="right" vertical="center"/>
    </xf>
    <xf numFmtId="1" fontId="0" fillId="41" borderId="0" xfId="0" applyNumberFormat="1" applyFill="1" applyAlignment="1">
      <alignment vertical="center"/>
    </xf>
    <xf numFmtId="49" fontId="0" fillId="41" borderId="0" xfId="0" applyNumberFormat="1" applyFill="1" applyAlignment="1">
      <alignment vertical="center"/>
    </xf>
    <xf numFmtId="0" fontId="21" fillId="24" borderId="0" xfId="2125" applyFill="1"/>
    <xf numFmtId="49" fontId="0" fillId="0" borderId="0" xfId="2" applyNumberFormat="1" applyFont="1" applyFill="1" applyAlignment="1">
      <alignment vertical="center"/>
    </xf>
    <xf numFmtId="1" fontId="50" fillId="31" borderId="0" xfId="0" applyNumberFormat="1" applyFont="1" applyFill="1" applyAlignment="1">
      <alignment vertical="center"/>
    </xf>
    <xf numFmtId="49" fontId="50" fillId="31" borderId="0" xfId="0" applyNumberFormat="1" applyFont="1" applyFill="1" applyAlignment="1">
      <alignment vertical="center"/>
    </xf>
    <xf numFmtId="1" fontId="0" fillId="0" borderId="0" xfId="0" applyNumberFormat="1" applyAlignment="1">
      <alignment horizontal="left" vertical="center"/>
    </xf>
    <xf numFmtId="165" fontId="0" fillId="15" borderId="0" xfId="0" applyNumberFormat="1" applyFill="1" applyAlignment="1">
      <alignment horizontal="right" vertical="center"/>
    </xf>
    <xf numFmtId="167" fontId="63" fillId="15" borderId="0" xfId="0" applyNumberFormat="1" applyFont="1" applyFill="1" applyAlignment="1">
      <alignment horizontal="right" vertical="center"/>
    </xf>
    <xf numFmtId="165" fontId="0" fillId="31" borderId="0" xfId="0" applyNumberFormat="1" applyFill="1" applyAlignment="1">
      <alignment horizontal="right" vertical="center"/>
    </xf>
    <xf numFmtId="165" fontId="0" fillId="0" borderId="24" xfId="0" applyNumberFormat="1" applyBorder="1" applyAlignment="1">
      <alignment vertical="center"/>
    </xf>
    <xf numFmtId="165" fontId="10" fillId="0" borderId="4" xfId="0" applyNumberFormat="1" applyFont="1" applyBorder="1" applyAlignment="1">
      <alignment vertical="center"/>
    </xf>
    <xf numFmtId="165" fontId="0" fillId="0" borderId="17" xfId="0" applyNumberFormat="1" applyBorder="1" applyAlignment="1">
      <alignment vertical="center"/>
    </xf>
    <xf numFmtId="165" fontId="0" fillId="0" borderId="0" xfId="0" applyNumberFormat="1" applyAlignment="1">
      <alignment horizontal="left" vertical="center" wrapText="1"/>
    </xf>
    <xf numFmtId="165" fontId="0" fillId="0" borderId="4" xfId="0" applyNumberFormat="1" applyBorder="1" applyAlignment="1">
      <alignment vertical="center"/>
    </xf>
    <xf numFmtId="0" fontId="0" fillId="0" borderId="0" xfId="0" applyAlignment="1">
      <alignment horizontal="right" vertical="center"/>
    </xf>
    <xf numFmtId="180" fontId="0" fillId="0" borderId="0" xfId="0" applyNumberFormat="1" applyAlignment="1">
      <alignment vertical="center"/>
    </xf>
    <xf numFmtId="10" fontId="51" fillId="0" borderId="0" xfId="0" applyNumberFormat="1" applyFont="1" applyAlignment="1">
      <alignment vertical="center"/>
    </xf>
    <xf numFmtId="165" fontId="10" fillId="0" borderId="17" xfId="0" applyNumberFormat="1" applyFont="1" applyBorder="1" applyAlignment="1">
      <alignment vertical="center"/>
    </xf>
    <xf numFmtId="165" fontId="0" fillId="0" borderId="5" xfId="0" applyNumberFormat="1" applyBorder="1" applyAlignment="1">
      <alignment vertical="center"/>
    </xf>
    <xf numFmtId="165" fontId="10" fillId="0" borderId="5" xfId="0" applyNumberFormat="1" applyFont="1" applyBorder="1" applyAlignment="1">
      <alignment vertical="center"/>
    </xf>
    <xf numFmtId="0" fontId="60" fillId="37" borderId="0" xfId="0" applyFont="1" applyFill="1" applyAlignment="1">
      <alignment vertical="center"/>
    </xf>
    <xf numFmtId="171" fontId="51" fillId="0" borderId="0" xfId="2" applyNumberFormat="1" applyFont="1" applyAlignment="1">
      <alignment vertical="center"/>
    </xf>
    <xf numFmtId="180" fontId="51" fillId="0" borderId="0" xfId="0" applyNumberFormat="1" applyFont="1" applyAlignment="1">
      <alignment vertical="center"/>
    </xf>
    <xf numFmtId="10" fontId="62" fillId="0" borderId="0" xfId="0" applyNumberFormat="1" applyFont="1" applyAlignment="1">
      <alignment vertical="center"/>
    </xf>
    <xf numFmtId="171" fontId="0" fillId="0" borderId="0" xfId="2" applyNumberFormat="1" applyFont="1" applyAlignment="1">
      <alignment vertical="center"/>
    </xf>
    <xf numFmtId="0" fontId="0" fillId="0" borderId="0" xfId="0" applyAlignment="1">
      <alignment horizontal="left" vertical="center"/>
    </xf>
    <xf numFmtId="2" fontId="51" fillId="0" borderId="0" xfId="0" applyNumberFormat="1" applyFont="1" applyAlignment="1">
      <alignment vertical="center"/>
    </xf>
    <xf numFmtId="165" fontId="64" fillId="0" borderId="0" xfId="0" applyNumberFormat="1" applyFont="1" applyAlignment="1">
      <alignment vertical="center"/>
    </xf>
    <xf numFmtId="172" fontId="0" fillId="0" borderId="0" xfId="0" applyNumberFormat="1" applyAlignment="1">
      <alignment horizontal="right" vertical="center"/>
    </xf>
    <xf numFmtId="165" fontId="50" fillId="31" borderId="0" xfId="0" applyNumberFormat="1" applyFont="1" applyFill="1" applyAlignment="1">
      <alignment horizontal="right" vertical="center"/>
    </xf>
    <xf numFmtId="165" fontId="51" fillId="0" borderId="0" xfId="0" applyNumberFormat="1" applyFont="1" applyAlignment="1">
      <alignment horizontal="right" vertical="center"/>
    </xf>
    <xf numFmtId="165" fontId="0" fillId="0" borderId="23" xfId="0" applyNumberFormat="1" applyBorder="1" applyAlignment="1">
      <alignment vertical="center"/>
    </xf>
    <xf numFmtId="170" fontId="51" fillId="0" borderId="0" xfId="0" applyNumberFormat="1" applyFont="1" applyAlignment="1">
      <alignment horizontal="right" vertical="center"/>
    </xf>
    <xf numFmtId="170" fontId="0" fillId="0" borderId="0" xfId="0" applyNumberFormat="1" applyAlignment="1">
      <alignment vertical="center"/>
    </xf>
    <xf numFmtId="170" fontId="0" fillId="0" borderId="0" xfId="0" applyNumberFormat="1" applyAlignment="1">
      <alignment horizontal="right" vertical="center"/>
    </xf>
    <xf numFmtId="2" fontId="10" fillId="0" borderId="5" xfId="0" applyNumberFormat="1" applyFont="1" applyBorder="1" applyAlignment="1">
      <alignment vertical="center"/>
    </xf>
    <xf numFmtId="170" fontId="0" fillId="0" borderId="0" xfId="0" applyNumberFormat="1" applyAlignment="1">
      <alignment horizontal="center" vertical="center"/>
    </xf>
    <xf numFmtId="182" fontId="0" fillId="0" borderId="0" xfId="0" applyNumberFormat="1" applyAlignment="1">
      <alignment vertical="center"/>
    </xf>
    <xf numFmtId="0" fontId="0" fillId="15" borderId="0" xfId="1" applyNumberFormat="1" applyFont="1" applyFill="1" applyAlignment="1">
      <alignment horizontal="center" vertical="center"/>
    </xf>
    <xf numFmtId="183" fontId="0" fillId="0" borderId="0" xfId="0" applyNumberFormat="1" applyAlignment="1">
      <alignment vertical="center"/>
    </xf>
    <xf numFmtId="3" fontId="51" fillId="0" borderId="0" xfId="0" applyNumberFormat="1" applyFont="1" applyAlignment="1">
      <alignment vertical="center"/>
    </xf>
    <xf numFmtId="4" fontId="10" fillId="0" borderId="0" xfId="0" applyNumberFormat="1" applyFont="1" applyAlignment="1">
      <alignment vertical="center"/>
    </xf>
    <xf numFmtId="180" fontId="0" fillId="0" borderId="5" xfId="0" applyNumberFormat="1" applyBorder="1" applyAlignment="1">
      <alignment vertical="center"/>
    </xf>
    <xf numFmtId="177" fontId="10" fillId="0" borderId="5" xfId="0" applyNumberFormat="1" applyFont="1" applyBorder="1" applyAlignment="1">
      <alignment vertical="center"/>
    </xf>
    <xf numFmtId="3" fontId="0" fillId="0" borderId="0" xfId="0" applyNumberFormat="1" applyAlignment="1">
      <alignment vertical="center"/>
    </xf>
    <xf numFmtId="165" fontId="0" fillId="42" borderId="0" xfId="0" applyNumberFormat="1" applyFill="1" applyAlignment="1">
      <alignment vertical="center"/>
    </xf>
    <xf numFmtId="178" fontId="51" fillId="0" borderId="0" xfId="0" applyNumberFormat="1" applyFont="1" applyAlignment="1">
      <alignment vertical="center"/>
    </xf>
    <xf numFmtId="165" fontId="51" fillId="0" borderId="4" xfId="0" applyNumberFormat="1" applyFont="1" applyBorder="1" applyAlignment="1">
      <alignment vertical="center"/>
    </xf>
    <xf numFmtId="165" fontId="0" fillId="0" borderId="0" xfId="0" applyNumberFormat="1" applyAlignment="1" applyProtection="1">
      <alignment vertical="center"/>
      <protection locked="0"/>
    </xf>
    <xf numFmtId="166" fontId="0" fillId="0" borderId="0" xfId="0" applyNumberFormat="1" applyAlignment="1">
      <alignment vertical="center"/>
    </xf>
    <xf numFmtId="165" fontId="63" fillId="0" borderId="0" xfId="0" applyNumberFormat="1" applyFont="1" applyAlignment="1">
      <alignment vertical="center"/>
    </xf>
    <xf numFmtId="166" fontId="63" fillId="0" borderId="0" xfId="0" applyNumberFormat="1" applyFont="1" applyAlignment="1">
      <alignment vertical="center"/>
    </xf>
    <xf numFmtId="0" fontId="51" fillId="0" borderId="0" xfId="0" applyFont="1" applyAlignment="1">
      <alignment vertical="center"/>
    </xf>
    <xf numFmtId="185" fontId="0" fillId="0" borderId="0" xfId="0" applyNumberFormat="1" applyAlignment="1">
      <alignment vertical="center"/>
    </xf>
    <xf numFmtId="165" fontId="51" fillId="0" borderId="20" xfId="0" applyNumberFormat="1" applyFont="1" applyBorder="1" applyAlignment="1">
      <alignment vertical="center"/>
    </xf>
    <xf numFmtId="165" fontId="0" fillId="43" borderId="0" xfId="0" applyNumberFormat="1" applyFill="1" applyAlignment="1">
      <alignment vertical="center"/>
    </xf>
    <xf numFmtId="166" fontId="51" fillId="0" borderId="0" xfId="0" applyNumberFormat="1" applyFont="1" applyAlignment="1">
      <alignment vertical="center"/>
    </xf>
    <xf numFmtId="184" fontId="0" fillId="0" borderId="0" xfId="0" applyNumberFormat="1" applyAlignment="1">
      <alignment vertical="center"/>
    </xf>
    <xf numFmtId="172" fontId="51" fillId="0" borderId="0" xfId="0" applyNumberFormat="1" applyFont="1" applyAlignment="1">
      <alignment vertical="center"/>
    </xf>
    <xf numFmtId="177" fontId="51" fillId="0" borderId="0" xfId="0" applyNumberFormat="1" applyFont="1" applyAlignment="1">
      <alignment vertical="center"/>
    </xf>
    <xf numFmtId="4" fontId="57" fillId="0" borderId="0" xfId="0" applyNumberFormat="1" applyFont="1" applyAlignment="1">
      <alignment vertical="center"/>
    </xf>
    <xf numFmtId="166" fontId="51" fillId="0" borderId="4" xfId="0" applyNumberFormat="1" applyFont="1" applyBorder="1" applyAlignment="1">
      <alignment vertical="center"/>
    </xf>
    <xf numFmtId="177" fontId="0" fillId="0" borderId="25" xfId="0" applyNumberFormat="1" applyBorder="1" applyAlignment="1">
      <alignment vertical="center"/>
    </xf>
    <xf numFmtId="0" fontId="67" fillId="44" borderId="0" xfId="0" applyFont="1" applyFill="1" applyAlignment="1">
      <alignment vertical="center"/>
    </xf>
    <xf numFmtId="0" fontId="0" fillId="44" borderId="0" xfId="0" applyFill="1"/>
    <xf numFmtId="180" fontId="66" fillId="44" borderId="0" xfId="0" applyNumberFormat="1" applyFont="1" applyFill="1" applyAlignment="1">
      <alignment vertical="center"/>
    </xf>
    <xf numFmtId="180" fontId="0" fillId="44" borderId="0" xfId="0" applyNumberFormat="1" applyFill="1" applyAlignment="1">
      <alignment vertical="center"/>
    </xf>
    <xf numFmtId="0" fontId="0" fillId="44" borderId="0" xfId="0" applyFill="1" applyAlignment="1">
      <alignment vertical="center"/>
    </xf>
    <xf numFmtId="0" fontId="60" fillId="44" borderId="0" xfId="0" applyFont="1" applyFill="1" applyAlignment="1">
      <alignment vertical="center"/>
    </xf>
    <xf numFmtId="170" fontId="0" fillId="0" borderId="25" xfId="0" applyNumberFormat="1" applyBorder="1" applyAlignment="1">
      <alignment vertical="center"/>
    </xf>
    <xf numFmtId="0" fontId="66" fillId="0" borderId="0" xfId="0" applyFont="1"/>
    <xf numFmtId="171" fontId="66" fillId="0" borderId="0" xfId="2" applyNumberFormat="1" applyFont="1" applyFill="1" applyBorder="1" applyAlignment="1">
      <alignment vertical="center"/>
    </xf>
    <xf numFmtId="4" fontId="66" fillId="0" borderId="0" xfId="0" applyNumberFormat="1" applyFont="1" applyAlignment="1">
      <alignment vertical="center"/>
    </xf>
    <xf numFmtId="170" fontId="66" fillId="0" borderId="0" xfId="0" applyNumberFormat="1" applyFont="1" applyAlignment="1">
      <alignment vertical="center"/>
    </xf>
    <xf numFmtId="0" fontId="66" fillId="0" borderId="0" xfId="0" applyFont="1" applyAlignment="1">
      <alignment vertical="center"/>
    </xf>
    <xf numFmtId="180" fontId="66" fillId="0" borderId="0" xfId="0" applyNumberFormat="1" applyFont="1" applyAlignment="1">
      <alignment vertical="center"/>
    </xf>
    <xf numFmtId="0" fontId="66" fillId="0" borderId="0" xfId="1" applyNumberFormat="1" applyFont="1" applyFill="1" applyBorder="1" applyAlignment="1">
      <alignment horizontal="center" vertical="center"/>
    </xf>
    <xf numFmtId="1" fontId="66" fillId="0" borderId="0" xfId="0" applyNumberFormat="1" applyFont="1" applyAlignment="1">
      <alignment horizontal="center" vertical="center"/>
    </xf>
    <xf numFmtId="165" fontId="66" fillId="0" borderId="0" xfId="0" applyNumberFormat="1" applyFont="1" applyAlignment="1">
      <alignment vertical="center"/>
    </xf>
    <xf numFmtId="0" fontId="0" fillId="40" borderId="0" xfId="0" applyFill="1" applyAlignment="1">
      <alignment vertical="center"/>
    </xf>
    <xf numFmtId="179" fontId="51" fillId="0" borderId="0" xfId="1" applyNumberFormat="1" applyFont="1" applyAlignment="1">
      <alignment vertical="center"/>
    </xf>
    <xf numFmtId="179" fontId="68" fillId="0" borderId="0" xfId="1" applyNumberFormat="1" applyFont="1" applyAlignment="1">
      <alignment vertical="center"/>
    </xf>
    <xf numFmtId="1" fontId="10" fillId="24" borderId="0" xfId="0" applyNumberFormat="1" applyFont="1" applyFill="1" applyAlignment="1">
      <alignment vertical="center"/>
    </xf>
    <xf numFmtId="9" fontId="10" fillId="24" borderId="0" xfId="0" applyNumberFormat="1" applyFont="1" applyFill="1" applyAlignment="1">
      <alignment vertical="center"/>
    </xf>
    <xf numFmtId="2" fontId="10" fillId="24" borderId="0" xfId="0" applyNumberFormat="1" applyFont="1" applyFill="1" applyAlignment="1">
      <alignment vertical="center"/>
    </xf>
    <xf numFmtId="10" fontId="61" fillId="24" borderId="0" xfId="0" applyNumberFormat="1" applyFont="1" applyFill="1" applyAlignment="1">
      <alignment vertical="center"/>
    </xf>
    <xf numFmtId="176" fontId="10" fillId="24" borderId="0" xfId="0" applyNumberFormat="1" applyFont="1" applyFill="1" applyAlignment="1">
      <alignment vertical="center"/>
    </xf>
    <xf numFmtId="10" fontId="10" fillId="24" borderId="0" xfId="2271" applyNumberFormat="1" applyFont="1" applyFill="1" applyAlignment="1">
      <alignment vertical="center"/>
    </xf>
    <xf numFmtId="10" fontId="10" fillId="24" borderId="0" xfId="2" applyNumberFormat="1" applyFont="1" applyFill="1" applyAlignment="1">
      <alignment vertical="center"/>
    </xf>
    <xf numFmtId="10" fontId="10" fillId="0" borderId="0" xfId="0" applyNumberFormat="1" applyFont="1" applyAlignment="1">
      <alignment vertical="center"/>
    </xf>
    <xf numFmtId="171" fontId="51" fillId="0" borderId="0" xfId="2" applyNumberFormat="1" applyFont="1" applyFill="1" applyAlignment="1">
      <alignment vertical="center"/>
    </xf>
    <xf numFmtId="165" fontId="51" fillId="0" borderId="25" xfId="0" applyNumberFormat="1" applyFont="1" applyBorder="1" applyAlignment="1">
      <alignment horizontal="right" vertical="center"/>
    </xf>
    <xf numFmtId="0" fontId="21" fillId="0" borderId="0" xfId="2125" applyFill="1"/>
    <xf numFmtId="9" fontId="0" fillId="0" borderId="0" xfId="2" applyFont="1" applyAlignment="1">
      <alignment vertical="center"/>
    </xf>
    <xf numFmtId="10" fontId="0" fillId="0" borderId="0" xfId="2" applyNumberFormat="1" applyFont="1" applyAlignment="1">
      <alignment vertical="center"/>
    </xf>
    <xf numFmtId="179" fontId="10" fillId="0" borderId="0" xfId="1" applyNumberFormat="1" applyFont="1" applyFill="1" applyBorder="1" applyAlignment="1">
      <alignment vertical="center"/>
    </xf>
    <xf numFmtId="181" fontId="10" fillId="0" borderId="25" xfId="1" applyNumberFormat="1" applyFont="1" applyFill="1" applyBorder="1" applyAlignment="1">
      <alignment vertical="center"/>
    </xf>
    <xf numFmtId="10" fontId="0" fillId="0" borderId="0" xfId="2" applyNumberFormat="1" applyFont="1" applyAlignment="1">
      <alignment horizontal="left" vertical="center" indent="2"/>
    </xf>
    <xf numFmtId="0" fontId="0" fillId="36" borderId="0" xfId="0" applyFill="1" applyAlignment="1">
      <alignment vertical="center"/>
    </xf>
    <xf numFmtId="165" fontId="53" fillId="0" borderId="0" xfId="0" applyNumberFormat="1" applyFont="1" applyAlignment="1">
      <alignment horizontal="center" vertical="center"/>
    </xf>
    <xf numFmtId="9" fontId="0" fillId="0" borderId="0" xfId="2" applyFont="1" applyFill="1" applyAlignment="1">
      <alignment horizontal="left" vertical="center"/>
    </xf>
    <xf numFmtId="0" fontId="0" fillId="0" borderId="26" xfId="2181" applyFont="1" applyBorder="1" applyAlignment="1" applyProtection="1">
      <alignment horizontal="center" vertical="center"/>
    </xf>
    <xf numFmtId="176" fontId="0" fillId="0" borderId="27" xfId="2181" applyNumberFormat="1" applyFont="1" applyBorder="1" applyAlignment="1" applyProtection="1">
      <alignment horizontal="center" vertical="center" wrapText="1"/>
    </xf>
    <xf numFmtId="0" fontId="21" fillId="0" borderId="27" xfId="2125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7" xfId="2181" applyFont="1" applyBorder="1" applyAlignment="1" applyProtection="1">
      <alignment horizontal="center" vertical="center" wrapText="1"/>
    </xf>
    <xf numFmtId="14" fontId="0" fillId="0" borderId="27" xfId="2181" applyNumberFormat="1" applyFont="1" applyBorder="1" applyAlignment="1" applyProtection="1">
      <alignment horizontal="center" vertical="center" wrapText="1"/>
    </xf>
    <xf numFmtId="0" fontId="0" fillId="0" borderId="27" xfId="2181" applyFont="1" applyBorder="1" applyAlignment="1" applyProtection="1">
      <alignment horizontal="left" vertical="center" wrapText="1"/>
    </xf>
    <xf numFmtId="0" fontId="55" fillId="15" borderId="28" xfId="0" applyFont="1" applyFill="1" applyBorder="1" applyAlignment="1">
      <alignment horizontal="center" vertical="center" wrapText="1"/>
    </xf>
    <xf numFmtId="0" fontId="69" fillId="0" borderId="28" xfId="3" applyFont="1" applyFill="1" applyBorder="1" applyAlignment="1">
      <alignment horizontal="center" vertical="center" wrapText="1"/>
    </xf>
  </cellXfs>
  <cellStyles count="2486">
    <cellStyle name="%" xfId="5" xr:uid="{00000000-0005-0000-0000-000000000000}"/>
    <cellStyle name="% 2" xfId="6" xr:uid="{00000000-0005-0000-0000-000001000000}"/>
    <cellStyle name="% 3" xfId="7" xr:uid="{00000000-0005-0000-0000-000002000000}"/>
    <cellStyle name="%_NRA_model_for_NEMO" xfId="8" xr:uid="{00000000-0005-0000-0000-000003000000}"/>
    <cellStyle name="%_NRA_model_for_NEMO_NRA_model_for_NEMO2 (EMC Update) v0 30 1" xfId="19" xr:uid="{00000000-0005-0000-0000-000004000000}"/>
    <cellStyle name="%_NRA_model_for_NEMO_NRA_model_for_NEMO2 (EMC Update) v0.29.3" xfId="9" xr:uid="{00000000-0005-0000-0000-000005000000}"/>
    <cellStyle name="%_NRA_model_for_NEMO_NRA_model_for_NEMO2 (EMC Update) v0.29.3_NRA_model_for_NEMO2 (EMC Update) v0 30 1" xfId="12" xr:uid="{00000000-0005-0000-0000-000006000000}"/>
    <cellStyle name="%_NRA_model_for_NEMO_NRA_model_for_NEMO2 (EMC Update) v0.29.3_NRA_model_for_NEMO2 (EMC Update) v0.29.5" xfId="10" xr:uid="{00000000-0005-0000-0000-000007000000}"/>
    <cellStyle name="%_NRA_model_for_NEMO_NRA_model_for_NEMO2 (EMC Update) v0.29.3_NRA_model_for_NEMO2 (EMC Update) v0.29.5_NRA_model_for_NEMO2 (EMC Update) v0 30 1" xfId="11" xr:uid="{00000000-0005-0000-0000-000008000000}"/>
    <cellStyle name="%_NRA_model_for_NEMO_NRA_model_for_NEMO2 (EMC Update) v0.29.4" xfId="13" xr:uid="{00000000-0005-0000-0000-000009000000}"/>
    <cellStyle name="%_NRA_model_for_NEMO_NRA_model_for_NEMO2 (EMC Update) v0.29.4_NRA_model_for_NEMO2 (EMC Update) v0 30 1" xfId="16" xr:uid="{00000000-0005-0000-0000-00000A000000}"/>
    <cellStyle name="%_NRA_model_for_NEMO_NRA_model_for_NEMO2 (EMC Update) v0.29.4_NRA_model_for_NEMO2 (EMC Update) v0.29.5" xfId="14" xr:uid="{00000000-0005-0000-0000-00000B000000}"/>
    <cellStyle name="%_NRA_model_for_NEMO_NRA_model_for_NEMO2 (EMC Update) v0.29.4_NRA_model_for_NEMO2 (EMC Update) v0.29.5_NRA_model_for_NEMO2 (EMC Update) v0 30 1" xfId="15" xr:uid="{00000000-0005-0000-0000-00000C000000}"/>
    <cellStyle name="%_NRA_model_for_NEMO_NRA_model_for_NEMO2 (EMC Update) v0.29.5" xfId="17" xr:uid="{00000000-0005-0000-0000-00000D000000}"/>
    <cellStyle name="%_NRA_model_for_NEMO_NRA_model_for_NEMO2 (EMC Update) v0.29.5_NRA_model_for_NEMO2 (EMC Update) v0 30 1" xfId="18" xr:uid="{00000000-0005-0000-0000-00000E000000}"/>
    <cellStyle name="%_NRA_model_for_NEMO2 " xfId="20" xr:uid="{00000000-0005-0000-0000-00000F000000}"/>
    <cellStyle name="%_NRA_model_for_NEMO2 (E" xfId="21" xr:uid="{00000000-0005-0000-0000-000010000000}"/>
    <cellStyle name="%_NRA_model_for_NEMO2 (E_NRA_model_for_NEMO2 (EMC Update) v0 30 1" xfId="22" xr:uid="{00000000-0005-0000-0000-000011000000}"/>
    <cellStyle name="%_NRA_model_for_NEMO2 (EMC" xfId="23" xr:uid="{00000000-0005-0000-0000-000012000000}"/>
    <cellStyle name="%_NRA_model_for_NEMO2 (EMC Update) v0 30 1" xfId="1797" xr:uid="{00000000-0005-0000-0000-000013000000}"/>
    <cellStyle name="%_NRA_model_for_NEMO2 (EMC Update) v0.19" xfId="24" xr:uid="{00000000-0005-0000-0000-000014000000}"/>
    <cellStyle name="%_NRA_model_for_NEMO2 (EMC Update) v0.19_NRA_model_for_NEMO2 (EMC Update) v0 30 1" xfId="568" xr:uid="{00000000-0005-0000-0000-000015000000}"/>
    <cellStyle name="%_NRA_model_for_NEMO2 (EMC Update) v0.19_NRA_model_for_NEMO2 (EMC Update) v0.21" xfId="25" xr:uid="{00000000-0005-0000-0000-000016000000}"/>
    <cellStyle name="%_NRA_model_for_NEMO2 (EMC Update) v0.19_NRA_model_for_NEMO2 (EMC Update) v0.21_NRA_model_for_NEMO2 (EMC Update) v0 30 1" xfId="251" xr:uid="{00000000-0005-0000-0000-000017000000}"/>
    <cellStyle name="%_NRA_model_for_NEMO2 (EMC Update) v0.19_NRA_model_for_NEMO2 (EMC Update) v0.21_NRA_model_for_NEMO2 (EMC Update) v0.22" xfId="26" xr:uid="{00000000-0005-0000-0000-000018000000}"/>
    <cellStyle name="%_NRA_model_for_NEMO2 (EMC Update) v0.19_NRA_model_for_NEMO2 (EMC Update) v0.21_NRA_model_for_NEMO2 (EMC Update) v0.22_NRA_model_for_NEMO2 (EMC Update) v0 30 1" xfId="111" xr:uid="{00000000-0005-0000-0000-000019000000}"/>
    <cellStyle name="%_NRA_model_for_NEMO2 (EMC Update) v0.19_NRA_model_for_NEMO2 (EMC Update) v0.21_NRA_model_for_NEMO2 (EMC Update) v0.22_NRA_model_for_NEMO2 (EMC Update) v0.25" xfId="27" xr:uid="{00000000-0005-0000-0000-00001A000000}"/>
    <cellStyle name="%_NRA_model_for_NEMO2 (EMC Update) v0.19_NRA_model_for_NEMO2 (EMC Update) v0.21_NRA_model_for_NEMO2 (EMC Update) v0.22_NRA_model_for_NEMO2 (EMC Update) v0.25_NRA_model_for_NEMO2 (EMC Update) v0 30 1" xfId="54" xr:uid="{00000000-0005-0000-0000-00001B000000}"/>
    <cellStyle name="%_NRA_model_for_NEMO2 (EMC Update) v0.19_NRA_model_for_NEMO2 (EMC Update) v0.21_NRA_model_for_NEMO2 (EMC Update) v0.22_NRA_model_for_NEMO2 (EMC Update) v0.25_NRA_model_for_NEMO2 (EMC Update) v0.26" xfId="28" xr:uid="{00000000-0005-0000-0000-00001C000000}"/>
    <cellStyle name="%_NRA_model_for_NEMO2 (EMC Update) v0.19_NRA_model_for_NEMO2 (EMC Update) v0.21_NRA_model_for_NEMO2 (EMC Update) v0.22_NRA_model_for_NEMO2 (EMC Update) v0.25_NRA_model_for_NEMO2 (EMC Update) v0.26_NRA_model_for_NEMO2 (EMC Update) v0 30 1" xfId="34" xr:uid="{00000000-0005-0000-0000-00001D000000}"/>
    <cellStyle name="%_NRA_model_for_NEMO2 (EMC Update) v0.19_NRA_model_for_NEMO2 (EMC Update) v0.21_NRA_model_for_NEMO2 (EMC Update) v0.22_NRA_model_for_NEMO2 (EMC Update) v0.25_NRA_model_for_NEMO2 (EMC Update) v0.26_NRA_model_for_NEMO2 (EMC Update) v0.29" xfId="29" xr:uid="{00000000-0005-0000-0000-00001E000000}"/>
    <cellStyle name="%_NRA_model_for_NEMO2 (EMC Update) v0.19_NRA_model_for_NEMO2 (EMC Update) v0.21_NRA_model_for_NEMO2 (EMC Update) v0.22_NRA_model_for_NEMO2 (EMC Update) v0.25_NRA_model_for_NEMO2 (EMC Update) v0.26_NRA_model_for_NEMO2 (EMC Update) v0.29.2" xfId="30" xr:uid="{00000000-0005-0000-0000-00001F000000}"/>
    <cellStyle name="%_NRA_model_for_NEMO2 (EMC Update) v0.19_NRA_model_for_NEMO2 (EMC Update) v0.21_NRA_model_for_NEMO2 (EMC Update) v0.22_NRA_model_for_NEMO2 (EMC Update) v0.25_NRA_model_for_NEMO2 (EMC Update) v0.26_NRA_model_for_NEMO2 (EMC Update) v0.29.3" xfId="31" xr:uid="{00000000-0005-0000-0000-000020000000}"/>
    <cellStyle name="%_NRA_model_for_NEMO2 (EMC Update) v0.19_NRA_model_for_NEMO2 (EMC Update) v0.21_NRA_model_for_NEMO2 (EMC Update) v0.22_NRA_model_for_NEMO2 (EMC Update) v0.25_NRA_model_for_NEMO2 (EMC Update) v0.26_NRA_model_for_NEMO2 (EMC Update) v0.29.4" xfId="32" xr:uid="{00000000-0005-0000-0000-000021000000}"/>
    <cellStyle name="%_NRA_model_for_NEMO2 (EMC Update) v0.19_NRA_model_for_NEMO2 (EMC Update) v0.21_NRA_model_for_NEMO2 (EMC Update) v0.22_NRA_model_for_NEMO2 (EMC Update) v0.25_NRA_model_for_NEMO2 (EMC Update) v0.26_NRA_model_for_NEMO2 (EMC Update) v0.29.5" xfId="33" xr:uid="{00000000-0005-0000-0000-000022000000}"/>
    <cellStyle name="%_NRA_model_for_NEMO2 (EMC Update) v0.19_NRA_model_for_NEMO2 (EMC Update) v0.21_NRA_model_for_NEMO2 (EMC Update) v0.22_NRA_model_for_NEMO2 (EMC Update) v0.25_NRA_model_for_NEMO2 (EMC Update) v0.29" xfId="35" xr:uid="{00000000-0005-0000-0000-000023000000}"/>
    <cellStyle name="%_NRA_model_for_NEMO2 (EMC Update) v0.19_NRA_model_for_NEMO2 (EMC Update) v0.21_NRA_model_for_NEMO2 (EMC Update) v0.22_NRA_model_for_NEMO2 (EMC Update) v0.25_NRA_model_for_NEMO2 (EMC Update) v0.29.2" xfId="36" xr:uid="{00000000-0005-0000-0000-000024000000}"/>
    <cellStyle name="%_NRA_model_for_NEMO2 (EMC Update) v0.19_NRA_model_for_NEMO2 (EMC Update) v0.21_NRA_model_for_NEMO2 (EMC Update) v0.22_NRA_model_for_NEMO2 (EMC Update) v0.25_NRA_model_for_NEMO2 (EMC Update) v0.29.2_NRA_model_for_NEMO2 (EMC Update) v0 30 1" xfId="40" xr:uid="{00000000-0005-0000-0000-000025000000}"/>
    <cellStyle name="%_NRA_model_for_NEMO2 (EMC Update) v0.19_NRA_model_for_NEMO2 (EMC Update) v0.21_NRA_model_for_NEMO2 (EMC Update) v0.22_NRA_model_for_NEMO2 (EMC Update) v0.25_NRA_model_for_NEMO2 (EMC Update) v0.29.2_NRA_model_for_NEMO2 (EMC Update) v0.29.3" xfId="37" xr:uid="{00000000-0005-0000-0000-000026000000}"/>
    <cellStyle name="%_NRA_model_for_NEMO2 (EMC Update) v0.19_NRA_model_for_NEMO2 (EMC Update) v0.21_NRA_model_for_NEMO2 (EMC Update) v0.22_NRA_model_for_NEMO2 (EMC Update) v0.25_NRA_model_for_NEMO2 (EMC Update) v0.29.2_NRA_model_for_NEMO2 (EMC Update) v0.29.4" xfId="38" xr:uid="{00000000-0005-0000-0000-000027000000}"/>
    <cellStyle name="%_NRA_model_for_NEMO2 (EMC Update) v0.19_NRA_model_for_NEMO2 (EMC Update) v0.21_NRA_model_for_NEMO2 (EMC Update) v0.22_NRA_model_for_NEMO2 (EMC Update) v0.25_NRA_model_for_NEMO2 (EMC Update) v0.29.2_NRA_model_for_NEMO2 (EMC Update) v0.29.5" xfId="39" xr:uid="{00000000-0005-0000-0000-000028000000}"/>
    <cellStyle name="%_NRA_model_for_NEMO2 (EMC Update) v0.19_NRA_model_for_NEMO2 (EMC Update) v0.21_NRA_model_for_NEMO2 (EMC Update) v0.22_NRA_model_for_NEMO2 (EMC Update) v0.25_NRA_model_for_NEMO2 (EMC Update) v0.29.3" xfId="41" xr:uid="{00000000-0005-0000-0000-000029000000}"/>
    <cellStyle name="%_NRA_model_for_NEMO2 (EMC Update) v0.19_NRA_model_for_NEMO2 (EMC Update) v0.21_NRA_model_for_NEMO2 (EMC Update) v0.22_NRA_model_for_NEMO2 (EMC Update) v0.25_NRA_model_for_NEMO2 (EMC Update) v0.29.3_NRA_model_for_NEMO2 (EMC Update) v0 30 1" xfId="43" xr:uid="{00000000-0005-0000-0000-00002A000000}"/>
    <cellStyle name="%_NRA_model_for_NEMO2 (EMC Update) v0.19_NRA_model_for_NEMO2 (EMC Update) v0.21_NRA_model_for_NEMO2 (EMC Update) v0.22_NRA_model_for_NEMO2 (EMC Update) v0.25_NRA_model_for_NEMO2 (EMC Update) v0.29.3_NRA_model_for_NEMO2 (EMC Update) v0.29.5" xfId="42" xr:uid="{00000000-0005-0000-0000-00002B000000}"/>
    <cellStyle name="%_NRA_model_for_NEMO2 (EMC Update) v0.19_NRA_model_for_NEMO2 (EMC Update) v0.21_NRA_model_for_NEMO2 (EMC Update) v0.22_NRA_model_for_NEMO2 (EMC Update) v0.25_NRA_model_for_NEMO2 (EMC Update) v0.29.4" xfId="44" xr:uid="{00000000-0005-0000-0000-00002C000000}"/>
    <cellStyle name="%_NRA_model_for_NEMO2 (EMC Update) v0.19_NRA_model_for_NEMO2 (EMC Update) v0.21_NRA_model_for_NEMO2 (EMC Update) v0.22_NRA_model_for_NEMO2 (EMC Update) v0.25_NRA_model_for_NEMO2 (EMC Update) v0.29.4_NRA_model_for_NEMO2 (EMC Update) v0 30 1" xfId="46" xr:uid="{00000000-0005-0000-0000-00002D000000}"/>
    <cellStyle name="%_NRA_model_for_NEMO2 (EMC Update) v0.19_NRA_model_for_NEMO2 (EMC Update) v0.21_NRA_model_for_NEMO2 (EMC Update) v0.22_NRA_model_for_NEMO2 (EMC Update) v0.25_NRA_model_for_NEMO2 (EMC Update) v0.29.4_NRA_model_for_NEMO2 (EMC Update) v0.29.5" xfId="45" xr:uid="{00000000-0005-0000-0000-00002E000000}"/>
    <cellStyle name="%_NRA_model_for_NEMO2 (EMC Update) v0.19_NRA_model_for_NEMO2 (EMC Update) v0.21_NRA_model_for_NEMO2 (EMC Update) v0.22_NRA_model_for_NEMO2 (EMC Update) v0.25_NRA_model_for_NEMO2 (EMC Update) v0.29.5" xfId="47" xr:uid="{00000000-0005-0000-0000-00002F000000}"/>
    <cellStyle name="%_NRA_model_for_NEMO2 (EMC Update) v0.19_NRA_model_for_NEMO2 (EMC Update) v0.21_NRA_model_for_NEMO2 (EMC Update) v0.22_NRA_model_for_NEMO2 (EMC Update) v0.25_NRA_model_for_NEMO2 (EMC Update) v0.29.5_NRA_model_for_NEMO2 (EMC Update) v0 30 1" xfId="48" xr:uid="{00000000-0005-0000-0000-000030000000}"/>
    <cellStyle name="%_NRA_model_for_NEMO2 (EMC Update) v0.19_NRA_model_for_NEMO2 (EMC Update) v0.21_NRA_model_for_NEMO2 (EMC Update) v0.22_NRA_model_for_NEMO2 (EMC Update) v0.25_NRA_model_for_NEMO2 (EMC Update) v0.29_NRA_model_for_NEMO2 (EMC Update) v0 30 1" xfId="53" xr:uid="{00000000-0005-0000-0000-000031000000}"/>
    <cellStyle name="%_NRA_model_for_NEMO2 (EMC Update) v0.19_NRA_model_for_NEMO2 (EMC Update) v0.21_NRA_model_for_NEMO2 (EMC Update) v0.22_NRA_model_for_NEMO2 (EMC Update) v0.25_NRA_model_for_NEMO2 (EMC Update) v0.29_NRA_model_for_NEMO2 (EMC Update) v0.29.2" xfId="49" xr:uid="{00000000-0005-0000-0000-000032000000}"/>
    <cellStyle name="%_NRA_model_for_NEMO2 (EMC Update) v0.19_NRA_model_for_NEMO2 (EMC Update) v0.21_NRA_model_for_NEMO2 (EMC Update) v0.22_NRA_model_for_NEMO2 (EMC Update) v0.25_NRA_model_for_NEMO2 (EMC Update) v0.29_NRA_model_for_NEMO2 (EMC Update) v0.29.3" xfId="50" xr:uid="{00000000-0005-0000-0000-000033000000}"/>
    <cellStyle name="%_NRA_model_for_NEMO2 (EMC Update) v0.19_NRA_model_for_NEMO2 (EMC Update) v0.21_NRA_model_for_NEMO2 (EMC Update) v0.22_NRA_model_for_NEMO2 (EMC Update) v0.25_NRA_model_for_NEMO2 (EMC Update) v0.29_NRA_model_for_NEMO2 (EMC Update) v0.29.4" xfId="51" xr:uid="{00000000-0005-0000-0000-000034000000}"/>
    <cellStyle name="%_NRA_model_for_NEMO2 (EMC Update) v0.19_NRA_model_for_NEMO2 (EMC Update) v0.21_NRA_model_for_NEMO2 (EMC Update) v0.22_NRA_model_for_NEMO2 (EMC Update) v0.25_NRA_model_for_NEMO2 (EMC Update) v0.29_NRA_model_for_NEMO2 (EMC Update) v0.29.5" xfId="52" xr:uid="{00000000-0005-0000-0000-000035000000}"/>
    <cellStyle name="%_NRA_model_for_NEMO2 (EMC Update) v0.19_NRA_model_for_NEMO2 (EMC Update) v0.21_NRA_model_for_NEMO2 (EMC Update) v0.22_NRA_model_for_NEMO2 (EMC Update) v0.26" xfId="55" xr:uid="{00000000-0005-0000-0000-000036000000}"/>
    <cellStyle name="%_NRA_model_for_NEMO2 (EMC Update) v0.19_NRA_model_for_NEMO2 (EMC Update) v0.21_NRA_model_for_NEMO2 (EMC Update) v0.22_NRA_model_for_NEMO2 (EMC Update) v0.26_NRA_model_for_NEMO2 (EMC Update) v0 30 1" xfId="75" xr:uid="{00000000-0005-0000-0000-000037000000}"/>
    <cellStyle name="%_NRA_model_for_NEMO2 (EMC Update) v0.19_NRA_model_for_NEMO2 (EMC Update) v0.21_NRA_model_for_NEMO2 (EMC Update) v0.22_NRA_model_for_NEMO2 (EMC Update) v0.26_NRA_model_for_NEMO2 (EMC Update) v0.29" xfId="56" xr:uid="{00000000-0005-0000-0000-000038000000}"/>
    <cellStyle name="%_NRA_model_for_NEMO2 (EMC Update) v0.19_NRA_model_for_NEMO2 (EMC Update) v0.21_NRA_model_for_NEMO2 (EMC Update) v0.22_NRA_model_for_NEMO2 (EMC Update) v0.26_NRA_model_for_NEMO2 (EMC Update) v0.29.2" xfId="57" xr:uid="{00000000-0005-0000-0000-000039000000}"/>
    <cellStyle name="%_NRA_model_for_NEMO2 (EMC Update) v0.19_NRA_model_for_NEMO2 (EMC Update) v0.21_NRA_model_for_NEMO2 (EMC Update) v0.22_NRA_model_for_NEMO2 (EMC Update) v0.26_NRA_model_for_NEMO2 (EMC Update) v0.29.2_NRA_model_for_NEMO2 (EMC Update) v0 30 1" xfId="61" xr:uid="{00000000-0005-0000-0000-00003A000000}"/>
    <cellStyle name="%_NRA_model_for_NEMO2 (EMC Update) v0.19_NRA_model_for_NEMO2 (EMC Update) v0.21_NRA_model_for_NEMO2 (EMC Update) v0.22_NRA_model_for_NEMO2 (EMC Update) v0.26_NRA_model_for_NEMO2 (EMC Update) v0.29.2_NRA_model_for_NEMO2 (EMC Update) v0.29.3" xfId="58" xr:uid="{00000000-0005-0000-0000-00003B000000}"/>
    <cellStyle name="%_NRA_model_for_NEMO2 (EMC Update) v0.19_NRA_model_for_NEMO2 (EMC Update) v0.21_NRA_model_for_NEMO2 (EMC Update) v0.22_NRA_model_for_NEMO2 (EMC Update) v0.26_NRA_model_for_NEMO2 (EMC Update) v0.29.2_NRA_model_for_NEMO2 (EMC Update) v0.29.4" xfId="59" xr:uid="{00000000-0005-0000-0000-00003C000000}"/>
    <cellStyle name="%_NRA_model_for_NEMO2 (EMC Update) v0.19_NRA_model_for_NEMO2 (EMC Update) v0.21_NRA_model_for_NEMO2 (EMC Update) v0.22_NRA_model_for_NEMO2 (EMC Update) v0.26_NRA_model_for_NEMO2 (EMC Update) v0.29.2_NRA_model_for_NEMO2 (EMC Update) v0.29.5" xfId="60" xr:uid="{00000000-0005-0000-0000-00003D000000}"/>
    <cellStyle name="%_NRA_model_for_NEMO2 (EMC Update) v0.19_NRA_model_for_NEMO2 (EMC Update) v0.21_NRA_model_for_NEMO2 (EMC Update) v0.22_NRA_model_for_NEMO2 (EMC Update) v0.26_NRA_model_for_NEMO2 (EMC Update) v0.29.3" xfId="62" xr:uid="{00000000-0005-0000-0000-00003E000000}"/>
    <cellStyle name="%_NRA_model_for_NEMO2 (EMC Update) v0.19_NRA_model_for_NEMO2 (EMC Update) v0.21_NRA_model_for_NEMO2 (EMC Update) v0.22_NRA_model_for_NEMO2 (EMC Update) v0.26_NRA_model_for_NEMO2 (EMC Update) v0.29.3_NRA_model_for_NEMO2 (EMC Update) v0 30 1" xfId="64" xr:uid="{00000000-0005-0000-0000-00003F000000}"/>
    <cellStyle name="%_NRA_model_for_NEMO2 (EMC Update) v0.19_NRA_model_for_NEMO2 (EMC Update) v0.21_NRA_model_for_NEMO2 (EMC Update) v0.22_NRA_model_for_NEMO2 (EMC Update) v0.26_NRA_model_for_NEMO2 (EMC Update) v0.29.3_NRA_model_for_NEMO2 (EMC Update) v0.29.5" xfId="63" xr:uid="{00000000-0005-0000-0000-000040000000}"/>
    <cellStyle name="%_NRA_model_for_NEMO2 (EMC Update) v0.19_NRA_model_for_NEMO2 (EMC Update) v0.21_NRA_model_for_NEMO2 (EMC Update) v0.22_NRA_model_for_NEMO2 (EMC Update) v0.26_NRA_model_for_NEMO2 (EMC Update) v0.29.4" xfId="65" xr:uid="{00000000-0005-0000-0000-000041000000}"/>
    <cellStyle name="%_NRA_model_for_NEMO2 (EMC Update) v0.19_NRA_model_for_NEMO2 (EMC Update) v0.21_NRA_model_for_NEMO2 (EMC Update) v0.22_NRA_model_for_NEMO2 (EMC Update) v0.26_NRA_model_for_NEMO2 (EMC Update) v0.29.4_NRA_model_for_NEMO2 (EMC Update) v0 30 1" xfId="67" xr:uid="{00000000-0005-0000-0000-000042000000}"/>
    <cellStyle name="%_NRA_model_for_NEMO2 (EMC Update) v0.19_NRA_model_for_NEMO2 (EMC Update) v0.21_NRA_model_for_NEMO2 (EMC Update) v0.22_NRA_model_for_NEMO2 (EMC Update) v0.26_NRA_model_for_NEMO2 (EMC Update) v0.29.4_NRA_model_for_NEMO2 (EMC Update) v0.29.5" xfId="66" xr:uid="{00000000-0005-0000-0000-000043000000}"/>
    <cellStyle name="%_NRA_model_for_NEMO2 (EMC Update) v0.19_NRA_model_for_NEMO2 (EMC Update) v0.21_NRA_model_for_NEMO2 (EMC Update) v0.22_NRA_model_for_NEMO2 (EMC Update) v0.26_NRA_model_for_NEMO2 (EMC Update) v0.29.5" xfId="68" xr:uid="{00000000-0005-0000-0000-000044000000}"/>
    <cellStyle name="%_NRA_model_for_NEMO2 (EMC Update) v0.19_NRA_model_for_NEMO2 (EMC Update) v0.21_NRA_model_for_NEMO2 (EMC Update) v0.22_NRA_model_for_NEMO2 (EMC Update) v0.26_NRA_model_for_NEMO2 (EMC Update) v0.29.5_NRA_model_for_NEMO2 (EMC Update) v0 30 1" xfId="69" xr:uid="{00000000-0005-0000-0000-000045000000}"/>
    <cellStyle name="%_NRA_model_for_NEMO2 (EMC Update) v0.19_NRA_model_for_NEMO2 (EMC Update) v0.21_NRA_model_for_NEMO2 (EMC Update) v0.22_NRA_model_for_NEMO2 (EMC Update) v0.26_NRA_model_for_NEMO2 (EMC Update) v0.29_NRA_model_for_NEMO2 (EMC Update) v0 30 1" xfId="74" xr:uid="{00000000-0005-0000-0000-000046000000}"/>
    <cellStyle name="%_NRA_model_for_NEMO2 (EMC Update) v0.19_NRA_model_for_NEMO2 (EMC Update) v0.21_NRA_model_for_NEMO2 (EMC Update) v0.22_NRA_model_for_NEMO2 (EMC Update) v0.26_NRA_model_for_NEMO2 (EMC Update) v0.29_NRA_model_for_NEMO2 (EMC Update) v0.29.2" xfId="70" xr:uid="{00000000-0005-0000-0000-000047000000}"/>
    <cellStyle name="%_NRA_model_for_NEMO2 (EMC Update) v0.19_NRA_model_for_NEMO2 (EMC Update) v0.21_NRA_model_for_NEMO2 (EMC Update) v0.22_NRA_model_for_NEMO2 (EMC Update) v0.26_NRA_model_for_NEMO2 (EMC Update) v0.29_NRA_model_for_NEMO2 (EMC Update) v0.29.3" xfId="71" xr:uid="{00000000-0005-0000-0000-000048000000}"/>
    <cellStyle name="%_NRA_model_for_NEMO2 (EMC Update) v0.19_NRA_model_for_NEMO2 (EMC Update) v0.21_NRA_model_for_NEMO2 (EMC Update) v0.22_NRA_model_for_NEMO2 (EMC Update) v0.26_NRA_model_for_NEMO2 (EMC Update) v0.29_NRA_model_for_NEMO2 (EMC Update) v0.29.4" xfId="72" xr:uid="{00000000-0005-0000-0000-000049000000}"/>
    <cellStyle name="%_NRA_model_for_NEMO2 (EMC Update) v0.19_NRA_model_for_NEMO2 (EMC Update) v0.21_NRA_model_for_NEMO2 (EMC Update) v0.22_NRA_model_for_NEMO2 (EMC Update) v0.26_NRA_model_for_NEMO2 (EMC Update) v0.29_NRA_model_for_NEMO2 (EMC Update) v0.29.5" xfId="73" xr:uid="{00000000-0005-0000-0000-00004A000000}"/>
    <cellStyle name="%_NRA_model_for_NEMO2 (EMC Update) v0.19_NRA_model_for_NEMO2 (EMC Update) v0.21_NRA_model_for_NEMO2 (EMC Update) v0.22_NRA_model_for_NEMO2 (EMC Update) v0.29" xfId="76" xr:uid="{00000000-0005-0000-0000-00004B000000}"/>
    <cellStyle name="%_NRA_model_for_NEMO2 (EMC Update) v0.19_NRA_model_for_NEMO2 (EMC Update) v0.21_NRA_model_for_NEMO2 (EMC Update) v0.22_NRA_model_for_NEMO2 (EMC Update) v0.29.2" xfId="77" xr:uid="{00000000-0005-0000-0000-00004C000000}"/>
    <cellStyle name="%_NRA_model_for_NEMO2 (EMC Update) v0.19_NRA_model_for_NEMO2 (EMC Update) v0.21_NRA_model_for_NEMO2 (EMC Update) v0.22_NRA_model_for_NEMO2 (EMC Update) v0.29.2_NRA_model_for_NEMO2 (EMC Update) v0 30 1" xfId="86" xr:uid="{00000000-0005-0000-0000-00004D000000}"/>
    <cellStyle name="%_NRA_model_for_NEMO2 (EMC Update) v0.19_NRA_model_for_NEMO2 (EMC Update) v0.21_NRA_model_for_NEMO2 (EMC Update) v0.22_NRA_model_for_NEMO2 (EMC Update) v0.29.2_NRA_model_for_NEMO2 (EMC Update) v0.29.3" xfId="78" xr:uid="{00000000-0005-0000-0000-00004E000000}"/>
    <cellStyle name="%_NRA_model_for_NEMO2 (EMC Update) v0.19_NRA_model_for_NEMO2 (EMC Update) v0.21_NRA_model_for_NEMO2 (EMC Update) v0.22_NRA_model_for_NEMO2 (EMC Update) v0.29.2_NRA_model_for_NEMO2 (EMC Update) v0.29.3_NRA_model_for_NEMO2 (EMC Update) v0 30 1" xfId="80" xr:uid="{00000000-0005-0000-0000-00004F000000}"/>
    <cellStyle name="%_NRA_model_for_NEMO2 (EMC Update) v0.19_NRA_model_for_NEMO2 (EMC Update) v0.21_NRA_model_for_NEMO2 (EMC Update) v0.22_NRA_model_for_NEMO2 (EMC Update) v0.29.2_NRA_model_for_NEMO2 (EMC Update) v0.29.3_NRA_model_for_NEMO2 (EMC Update) v0.29.5" xfId="79" xr:uid="{00000000-0005-0000-0000-000050000000}"/>
    <cellStyle name="%_NRA_model_for_NEMO2 (EMC Update) v0.19_NRA_model_for_NEMO2 (EMC Update) v0.21_NRA_model_for_NEMO2 (EMC Update) v0.22_NRA_model_for_NEMO2 (EMC Update) v0.29.2_NRA_model_for_NEMO2 (EMC Update) v0.29.4" xfId="81" xr:uid="{00000000-0005-0000-0000-000051000000}"/>
    <cellStyle name="%_NRA_model_for_NEMO2 (EMC Update) v0.19_NRA_model_for_NEMO2 (EMC Update) v0.21_NRA_model_for_NEMO2 (EMC Update) v0.22_NRA_model_for_NEMO2 (EMC Update) v0.29.2_NRA_model_for_NEMO2 (EMC Update) v0.29.4_NRA_model_for_NEMO2 (EMC Update) v0 30 1" xfId="83" xr:uid="{00000000-0005-0000-0000-000052000000}"/>
    <cellStyle name="%_NRA_model_for_NEMO2 (EMC Update) v0.19_NRA_model_for_NEMO2 (EMC Update) v0.21_NRA_model_for_NEMO2 (EMC Update) v0.22_NRA_model_for_NEMO2 (EMC Update) v0.29.2_NRA_model_for_NEMO2 (EMC Update) v0.29.4_NRA_model_for_NEMO2 (EMC Update) v0.29.5" xfId="82" xr:uid="{00000000-0005-0000-0000-000053000000}"/>
    <cellStyle name="%_NRA_model_for_NEMO2 (EMC Update) v0.19_NRA_model_for_NEMO2 (EMC Update) v0.21_NRA_model_for_NEMO2 (EMC Update) v0.22_NRA_model_for_NEMO2 (EMC Update) v0.29.2_NRA_model_for_NEMO2 (EMC Update) v0.29.5" xfId="84" xr:uid="{00000000-0005-0000-0000-000054000000}"/>
    <cellStyle name="%_NRA_model_for_NEMO2 (EMC Update) v0.19_NRA_model_for_NEMO2 (EMC Update) v0.21_NRA_model_for_NEMO2 (EMC Update) v0.22_NRA_model_for_NEMO2 (EMC Update) v0.29.2_NRA_model_for_NEMO2 (EMC Update) v0.29.5_NRA_model_for_NEMO2 (EMC Update) v0 30 1" xfId="85" xr:uid="{00000000-0005-0000-0000-000055000000}"/>
    <cellStyle name="%_NRA_model_for_NEMO2 (EMC Update) v0.19_NRA_model_for_NEMO2 (EMC Update) v0.21_NRA_model_for_NEMO2 (EMC Update) v0.22_NRA_model_for_NEMO2 (EMC Update) v0.29.3" xfId="87" xr:uid="{00000000-0005-0000-0000-000056000000}"/>
    <cellStyle name="%_NRA_model_for_NEMO2 (EMC Update) v0.19_NRA_model_for_NEMO2 (EMC Update) v0.21_NRA_model_for_NEMO2 (EMC Update) v0.22_NRA_model_for_NEMO2 (EMC Update) v0.29.3_NRA_model_for_NEMO2 (EMC Update) v0 30 1" xfId="90" xr:uid="{00000000-0005-0000-0000-000057000000}"/>
    <cellStyle name="%_NRA_model_for_NEMO2 (EMC Update) v0.19_NRA_model_for_NEMO2 (EMC Update) v0.21_NRA_model_for_NEMO2 (EMC Update) v0.22_NRA_model_for_NEMO2 (EMC Update) v0.29.3_NRA_model_for_NEMO2 (EMC Update) v0.29.5" xfId="88" xr:uid="{00000000-0005-0000-0000-000058000000}"/>
    <cellStyle name="%_NRA_model_for_NEMO2 (EMC Update) v0.19_NRA_model_for_NEMO2 (EMC Update) v0.21_NRA_model_for_NEMO2 (EMC Update) v0.22_NRA_model_for_NEMO2 (EMC Update) v0.29.3_NRA_model_for_NEMO2 (EMC Update) v0.29.5_NRA_model_for_NEMO2 (EMC Update) v0 30 1" xfId="89" xr:uid="{00000000-0005-0000-0000-000059000000}"/>
    <cellStyle name="%_NRA_model_for_NEMO2 (EMC Update) v0.19_NRA_model_for_NEMO2 (EMC Update) v0.21_NRA_model_for_NEMO2 (EMC Update) v0.22_NRA_model_for_NEMO2 (EMC Update) v0.29.4" xfId="91" xr:uid="{00000000-0005-0000-0000-00005A000000}"/>
    <cellStyle name="%_NRA_model_for_NEMO2 (EMC Update) v0.19_NRA_model_for_NEMO2 (EMC Update) v0.21_NRA_model_for_NEMO2 (EMC Update) v0.22_NRA_model_for_NEMO2 (EMC Update) v0.29.4_NRA_model_for_NEMO2 (EMC Update) v0 30 1" xfId="94" xr:uid="{00000000-0005-0000-0000-00005B000000}"/>
    <cellStyle name="%_NRA_model_for_NEMO2 (EMC Update) v0.19_NRA_model_for_NEMO2 (EMC Update) v0.21_NRA_model_for_NEMO2 (EMC Update) v0.22_NRA_model_for_NEMO2 (EMC Update) v0.29.4_NRA_model_for_NEMO2 (EMC Update) v0.29.5" xfId="92" xr:uid="{00000000-0005-0000-0000-00005C000000}"/>
    <cellStyle name="%_NRA_model_for_NEMO2 (EMC Update) v0.19_NRA_model_for_NEMO2 (EMC Update) v0.21_NRA_model_for_NEMO2 (EMC Update) v0.22_NRA_model_for_NEMO2 (EMC Update) v0.29.4_NRA_model_for_NEMO2 (EMC Update) v0.29.5_NRA_model_for_NEMO2 (EMC Update) v0 30 1" xfId="93" xr:uid="{00000000-0005-0000-0000-00005D000000}"/>
    <cellStyle name="%_NRA_model_for_NEMO2 (EMC Update) v0.19_NRA_model_for_NEMO2 (EMC Update) v0.21_NRA_model_for_NEMO2 (EMC Update) v0.22_NRA_model_for_NEMO2 (EMC Update) v0.29.5" xfId="95" xr:uid="{00000000-0005-0000-0000-00005E000000}"/>
    <cellStyle name="%_NRA_model_for_NEMO2 (EMC Update) v0.19_NRA_model_for_NEMO2 (EMC Update) v0.21_NRA_model_for_NEMO2 (EMC Update) v0.22_NRA_model_for_NEMO2 (EMC Update) v0.29.5_NRA_model_for_NEMO2 (EMC Update) v0 30 1" xfId="96" xr:uid="{00000000-0005-0000-0000-00005F000000}"/>
    <cellStyle name="%_NRA_model_for_NEMO2 (EMC Update) v0.19_NRA_model_for_NEMO2 (EMC Update) v0.21_NRA_model_for_NEMO2 (EMC Update) v0.22_NRA_model_for_NEMO2 (EMC Update) v0.29_NRA_model_for_NEMO2 (EMC Update) v0 30 1" xfId="110" xr:uid="{00000000-0005-0000-0000-000060000000}"/>
    <cellStyle name="%_NRA_model_for_NEMO2 (EMC Update) v0.19_NRA_model_for_NEMO2 (EMC Update) v0.21_NRA_model_for_NEMO2 (EMC Update) v0.22_NRA_model_for_NEMO2 (EMC Update) v0.29_NRA_model_for_NEMO2 (EMC Update) v0.29.2" xfId="97" xr:uid="{00000000-0005-0000-0000-000061000000}"/>
    <cellStyle name="%_NRA_model_for_NEMO2 (EMC Update) v0.19_NRA_model_for_NEMO2 (EMC Update) v0.21_NRA_model_for_NEMO2 (EMC Update) v0.22_NRA_model_for_NEMO2 (EMC Update) v0.29_NRA_model_for_NEMO2 (EMC Update) v0.29.2_NRA_model_for_NEMO2 (EMC Update) v0 30 1" xfId="101" xr:uid="{00000000-0005-0000-0000-000062000000}"/>
    <cellStyle name="%_NRA_model_for_NEMO2 (EMC Update) v0.19_NRA_model_for_NEMO2 (EMC Update) v0.21_NRA_model_for_NEMO2 (EMC Update) v0.22_NRA_model_for_NEMO2 (EMC Update) v0.29_NRA_model_for_NEMO2 (EMC Update) v0.29.2_NRA_model_for_NEMO2 (EMC Update) v0.29.3" xfId="98" xr:uid="{00000000-0005-0000-0000-000063000000}"/>
    <cellStyle name="%_NRA_model_for_NEMO2 (EMC Update) v0.19_NRA_model_for_NEMO2 (EMC Update) v0.21_NRA_model_for_NEMO2 (EMC Update) v0.22_NRA_model_for_NEMO2 (EMC Update) v0.29_NRA_model_for_NEMO2 (EMC Update) v0.29.2_NRA_model_for_NEMO2 (EMC Update) v0.29.4" xfId="99" xr:uid="{00000000-0005-0000-0000-000064000000}"/>
    <cellStyle name="%_NRA_model_for_NEMO2 (EMC Update) v0.19_NRA_model_for_NEMO2 (EMC Update) v0.21_NRA_model_for_NEMO2 (EMC Update) v0.22_NRA_model_for_NEMO2 (EMC Update) v0.29_NRA_model_for_NEMO2 (EMC Update) v0.29.2_NRA_model_for_NEMO2 (EMC Update) v0.29.5" xfId="100" xr:uid="{00000000-0005-0000-0000-000065000000}"/>
    <cellStyle name="%_NRA_model_for_NEMO2 (EMC Update) v0.19_NRA_model_for_NEMO2 (EMC Update) v0.21_NRA_model_for_NEMO2 (EMC Update) v0.22_NRA_model_for_NEMO2 (EMC Update) v0.29_NRA_model_for_NEMO2 (EMC Update) v0.29.3" xfId="102" xr:uid="{00000000-0005-0000-0000-000066000000}"/>
    <cellStyle name="%_NRA_model_for_NEMO2 (EMC Update) v0.19_NRA_model_for_NEMO2 (EMC Update) v0.21_NRA_model_for_NEMO2 (EMC Update) v0.22_NRA_model_for_NEMO2 (EMC Update) v0.29_NRA_model_for_NEMO2 (EMC Update) v0.29.3_NRA_model_for_NEMO2 (EMC Update) v0 30 1" xfId="104" xr:uid="{00000000-0005-0000-0000-000067000000}"/>
    <cellStyle name="%_NRA_model_for_NEMO2 (EMC Update) v0.19_NRA_model_for_NEMO2 (EMC Update) v0.21_NRA_model_for_NEMO2 (EMC Update) v0.22_NRA_model_for_NEMO2 (EMC Update) v0.29_NRA_model_for_NEMO2 (EMC Update) v0.29.3_NRA_model_for_NEMO2 (EMC Update) v0.29.5" xfId="103" xr:uid="{00000000-0005-0000-0000-000068000000}"/>
    <cellStyle name="%_NRA_model_for_NEMO2 (EMC Update) v0.19_NRA_model_for_NEMO2 (EMC Update) v0.21_NRA_model_for_NEMO2 (EMC Update) v0.22_NRA_model_for_NEMO2 (EMC Update) v0.29_NRA_model_for_NEMO2 (EMC Update) v0.29.4" xfId="105" xr:uid="{00000000-0005-0000-0000-000069000000}"/>
    <cellStyle name="%_NRA_model_for_NEMO2 (EMC Update) v0.19_NRA_model_for_NEMO2 (EMC Update) v0.21_NRA_model_for_NEMO2 (EMC Update) v0.22_NRA_model_for_NEMO2 (EMC Update) v0.29_NRA_model_for_NEMO2 (EMC Update) v0.29.4_NRA_model_for_NEMO2 (EMC Update) v0 30 1" xfId="107" xr:uid="{00000000-0005-0000-0000-00006A000000}"/>
    <cellStyle name="%_NRA_model_for_NEMO2 (EMC Update) v0.19_NRA_model_for_NEMO2 (EMC Update) v0.21_NRA_model_for_NEMO2 (EMC Update) v0.22_NRA_model_for_NEMO2 (EMC Update) v0.29_NRA_model_for_NEMO2 (EMC Update) v0.29.4_NRA_model_for_NEMO2 (EMC Update) v0.29.5" xfId="106" xr:uid="{00000000-0005-0000-0000-00006B000000}"/>
    <cellStyle name="%_NRA_model_for_NEMO2 (EMC Update) v0.19_NRA_model_for_NEMO2 (EMC Update) v0.21_NRA_model_for_NEMO2 (EMC Update) v0.22_NRA_model_for_NEMO2 (EMC Update) v0.29_NRA_model_for_NEMO2 (EMC Update) v0.29.5" xfId="108" xr:uid="{00000000-0005-0000-0000-00006C000000}"/>
    <cellStyle name="%_NRA_model_for_NEMO2 (EMC Update) v0.19_NRA_model_for_NEMO2 (EMC Update) v0.21_NRA_model_for_NEMO2 (EMC Update) v0.22_NRA_model_for_NEMO2 (EMC Update) v0.29_NRA_model_for_NEMO2 (EMC Update) v0.29.5_NRA_model_for_NEMO2 (EMC Update) v0 30 1" xfId="109" xr:uid="{00000000-0005-0000-0000-00006D000000}"/>
    <cellStyle name="%_NRA_model_for_NEMO2 (EMC Update) v0.19_NRA_model_for_NEMO2 (EMC Update) v0.21_NRA_model_for_NEMO2 (EMC Update) v0.25" xfId="112" xr:uid="{00000000-0005-0000-0000-00006E000000}"/>
    <cellStyle name="%_NRA_model_for_NEMO2 (EMC Update) v0.19_NRA_model_for_NEMO2 (EMC Update) v0.21_NRA_model_for_NEMO2 (EMC Update) v0.25_NRA_model_for_NEMO2 (EMC Update) v0 30 1" xfId="169" xr:uid="{00000000-0005-0000-0000-00006F000000}"/>
    <cellStyle name="%_NRA_model_for_NEMO2 (EMC Update) v0.19_NRA_model_for_NEMO2 (EMC Update) v0.21_NRA_model_for_NEMO2 (EMC Update) v0.25_NRA_model_for_NEMO2 (EMC Update) v0.26" xfId="113" xr:uid="{00000000-0005-0000-0000-000070000000}"/>
    <cellStyle name="%_NRA_model_for_NEMO2 (EMC Update) v0.19_NRA_model_for_NEMO2 (EMC Update) v0.21_NRA_model_for_NEMO2 (EMC Update) v0.25_NRA_model_for_NEMO2 (EMC Update) v0.26_NRA_model_for_NEMO2 (EMC Update) v0 30 1" xfId="133" xr:uid="{00000000-0005-0000-0000-000071000000}"/>
    <cellStyle name="%_NRA_model_for_NEMO2 (EMC Update) v0.19_NRA_model_for_NEMO2 (EMC Update) v0.21_NRA_model_for_NEMO2 (EMC Update) v0.25_NRA_model_for_NEMO2 (EMC Update) v0.26_NRA_model_for_NEMO2 (EMC Update) v0.29" xfId="114" xr:uid="{00000000-0005-0000-0000-000072000000}"/>
    <cellStyle name="%_NRA_model_for_NEMO2 (EMC Update) v0.19_NRA_model_for_NEMO2 (EMC Update) v0.21_NRA_model_for_NEMO2 (EMC Update) v0.25_NRA_model_for_NEMO2 (EMC Update) v0.26_NRA_model_for_NEMO2 (EMC Update) v0.29.2" xfId="115" xr:uid="{00000000-0005-0000-0000-000073000000}"/>
    <cellStyle name="%_NRA_model_for_NEMO2 (EMC Update) v0.19_NRA_model_for_NEMO2 (EMC Update) v0.21_NRA_model_for_NEMO2 (EMC Update) v0.25_NRA_model_for_NEMO2 (EMC Update) v0.26_NRA_model_for_NEMO2 (EMC Update) v0.29.2_NRA_model_for_NEMO2 (EMC Update) v0 30 1" xfId="119" xr:uid="{00000000-0005-0000-0000-000074000000}"/>
    <cellStyle name="%_NRA_model_for_NEMO2 (EMC Update) v0.19_NRA_model_for_NEMO2 (EMC Update) v0.21_NRA_model_for_NEMO2 (EMC Update) v0.25_NRA_model_for_NEMO2 (EMC Update) v0.26_NRA_model_for_NEMO2 (EMC Update) v0.29.2_NRA_model_for_NEMO2 (EMC Update) v0.29.3" xfId="116" xr:uid="{00000000-0005-0000-0000-000075000000}"/>
    <cellStyle name="%_NRA_model_for_NEMO2 (EMC Update) v0.19_NRA_model_for_NEMO2 (EMC Update) v0.21_NRA_model_for_NEMO2 (EMC Update) v0.25_NRA_model_for_NEMO2 (EMC Update) v0.26_NRA_model_for_NEMO2 (EMC Update) v0.29.2_NRA_model_for_NEMO2 (EMC Update) v0.29.4" xfId="117" xr:uid="{00000000-0005-0000-0000-000076000000}"/>
    <cellStyle name="%_NRA_model_for_NEMO2 (EMC Update) v0.19_NRA_model_for_NEMO2 (EMC Update) v0.21_NRA_model_for_NEMO2 (EMC Update) v0.25_NRA_model_for_NEMO2 (EMC Update) v0.26_NRA_model_for_NEMO2 (EMC Update) v0.29.2_NRA_model_for_NEMO2 (EMC Update) v0.29.5" xfId="118" xr:uid="{00000000-0005-0000-0000-000077000000}"/>
    <cellStyle name="%_NRA_model_for_NEMO2 (EMC Update) v0.19_NRA_model_for_NEMO2 (EMC Update) v0.21_NRA_model_for_NEMO2 (EMC Update) v0.25_NRA_model_for_NEMO2 (EMC Update) v0.26_NRA_model_for_NEMO2 (EMC Update) v0.29.3" xfId="120" xr:uid="{00000000-0005-0000-0000-000078000000}"/>
    <cellStyle name="%_NRA_model_for_NEMO2 (EMC Update) v0.19_NRA_model_for_NEMO2 (EMC Update) v0.21_NRA_model_for_NEMO2 (EMC Update) v0.25_NRA_model_for_NEMO2 (EMC Update) v0.26_NRA_model_for_NEMO2 (EMC Update) v0.29.3_NRA_model_for_NEMO2 (EMC Update) v0 30 1" xfId="122" xr:uid="{00000000-0005-0000-0000-000079000000}"/>
    <cellStyle name="%_NRA_model_for_NEMO2 (EMC Update) v0.19_NRA_model_for_NEMO2 (EMC Update) v0.21_NRA_model_for_NEMO2 (EMC Update) v0.25_NRA_model_for_NEMO2 (EMC Update) v0.26_NRA_model_for_NEMO2 (EMC Update) v0.29.3_NRA_model_for_NEMO2 (EMC Update) v0.29.5" xfId="121" xr:uid="{00000000-0005-0000-0000-00007A000000}"/>
    <cellStyle name="%_NRA_model_for_NEMO2 (EMC Update) v0.19_NRA_model_for_NEMO2 (EMC Update) v0.21_NRA_model_for_NEMO2 (EMC Update) v0.25_NRA_model_for_NEMO2 (EMC Update) v0.26_NRA_model_for_NEMO2 (EMC Update) v0.29.4" xfId="123" xr:uid="{00000000-0005-0000-0000-00007B000000}"/>
    <cellStyle name="%_NRA_model_for_NEMO2 (EMC Update) v0.19_NRA_model_for_NEMO2 (EMC Update) v0.21_NRA_model_for_NEMO2 (EMC Update) v0.25_NRA_model_for_NEMO2 (EMC Update) v0.26_NRA_model_for_NEMO2 (EMC Update) v0.29.4_NRA_model_for_NEMO2 (EMC Update) v0 30 1" xfId="125" xr:uid="{00000000-0005-0000-0000-00007C000000}"/>
    <cellStyle name="%_NRA_model_for_NEMO2 (EMC Update) v0.19_NRA_model_for_NEMO2 (EMC Update) v0.21_NRA_model_for_NEMO2 (EMC Update) v0.25_NRA_model_for_NEMO2 (EMC Update) v0.26_NRA_model_for_NEMO2 (EMC Update) v0.29.4_NRA_model_for_NEMO2 (EMC Update) v0.29.5" xfId="124" xr:uid="{00000000-0005-0000-0000-00007D000000}"/>
    <cellStyle name="%_NRA_model_for_NEMO2 (EMC Update) v0.19_NRA_model_for_NEMO2 (EMC Update) v0.21_NRA_model_for_NEMO2 (EMC Update) v0.25_NRA_model_for_NEMO2 (EMC Update) v0.26_NRA_model_for_NEMO2 (EMC Update) v0.29.5" xfId="126" xr:uid="{00000000-0005-0000-0000-00007E000000}"/>
    <cellStyle name="%_NRA_model_for_NEMO2 (EMC Update) v0.19_NRA_model_for_NEMO2 (EMC Update) v0.21_NRA_model_for_NEMO2 (EMC Update) v0.25_NRA_model_for_NEMO2 (EMC Update) v0.26_NRA_model_for_NEMO2 (EMC Update) v0.29.5_NRA_model_for_NEMO2 (EMC Update) v0 30 1" xfId="127" xr:uid="{00000000-0005-0000-0000-00007F000000}"/>
    <cellStyle name="%_NRA_model_for_NEMO2 (EMC Update) v0.19_NRA_model_for_NEMO2 (EMC Update) v0.21_NRA_model_for_NEMO2 (EMC Update) v0.25_NRA_model_for_NEMO2 (EMC Update) v0.26_NRA_model_for_NEMO2 (EMC Update) v0.29_NRA_model_for_NEMO2 (EMC Update) v0 30 1" xfId="132" xr:uid="{00000000-0005-0000-0000-000080000000}"/>
    <cellStyle name="%_NRA_model_for_NEMO2 (EMC Update) v0.19_NRA_model_for_NEMO2 (EMC Update) v0.21_NRA_model_for_NEMO2 (EMC Update) v0.25_NRA_model_for_NEMO2 (EMC Update) v0.26_NRA_model_for_NEMO2 (EMC Update) v0.29_NRA_model_for_NEMO2 (EMC Update) v0.29.2" xfId="128" xr:uid="{00000000-0005-0000-0000-000081000000}"/>
    <cellStyle name="%_NRA_model_for_NEMO2 (EMC Update) v0.19_NRA_model_for_NEMO2 (EMC Update) v0.21_NRA_model_for_NEMO2 (EMC Update) v0.25_NRA_model_for_NEMO2 (EMC Update) v0.26_NRA_model_for_NEMO2 (EMC Update) v0.29_NRA_model_for_NEMO2 (EMC Update) v0.29.3" xfId="129" xr:uid="{00000000-0005-0000-0000-000082000000}"/>
    <cellStyle name="%_NRA_model_for_NEMO2 (EMC Update) v0.19_NRA_model_for_NEMO2 (EMC Update) v0.21_NRA_model_for_NEMO2 (EMC Update) v0.25_NRA_model_for_NEMO2 (EMC Update) v0.26_NRA_model_for_NEMO2 (EMC Update) v0.29_NRA_model_for_NEMO2 (EMC Update) v0.29.4" xfId="130" xr:uid="{00000000-0005-0000-0000-000083000000}"/>
    <cellStyle name="%_NRA_model_for_NEMO2 (EMC Update) v0.19_NRA_model_for_NEMO2 (EMC Update) v0.21_NRA_model_for_NEMO2 (EMC Update) v0.25_NRA_model_for_NEMO2 (EMC Update) v0.26_NRA_model_for_NEMO2 (EMC Update) v0.29_NRA_model_for_NEMO2 (EMC Update) v0.29.5" xfId="131" xr:uid="{00000000-0005-0000-0000-000084000000}"/>
    <cellStyle name="%_NRA_model_for_NEMO2 (EMC Update) v0.19_NRA_model_for_NEMO2 (EMC Update) v0.21_NRA_model_for_NEMO2 (EMC Update) v0.25_NRA_model_for_NEMO2 (EMC Update) v0.29" xfId="134" xr:uid="{00000000-0005-0000-0000-000085000000}"/>
    <cellStyle name="%_NRA_model_for_NEMO2 (EMC Update) v0.19_NRA_model_for_NEMO2 (EMC Update) v0.21_NRA_model_for_NEMO2 (EMC Update) v0.25_NRA_model_for_NEMO2 (EMC Update) v0.29.2" xfId="135" xr:uid="{00000000-0005-0000-0000-000086000000}"/>
    <cellStyle name="%_NRA_model_for_NEMO2 (EMC Update) v0.19_NRA_model_for_NEMO2 (EMC Update) v0.21_NRA_model_for_NEMO2 (EMC Update) v0.25_NRA_model_for_NEMO2 (EMC Update) v0.29.2_NRA_model_for_NEMO2 (EMC Update) v0 30 1" xfId="144" xr:uid="{00000000-0005-0000-0000-000087000000}"/>
    <cellStyle name="%_NRA_model_for_NEMO2 (EMC Update) v0.19_NRA_model_for_NEMO2 (EMC Update) v0.21_NRA_model_for_NEMO2 (EMC Update) v0.25_NRA_model_for_NEMO2 (EMC Update) v0.29.2_NRA_model_for_NEMO2 (EMC Update) v0.29.3" xfId="136" xr:uid="{00000000-0005-0000-0000-000088000000}"/>
    <cellStyle name="%_NRA_model_for_NEMO2 (EMC Update) v0.19_NRA_model_for_NEMO2 (EMC Update) v0.21_NRA_model_for_NEMO2 (EMC Update) v0.25_NRA_model_for_NEMO2 (EMC Update) v0.29.2_NRA_model_for_NEMO2 (EMC Update) v0.29.3_NRA_model_for_NEMO2 (EMC Update) v0 30 1" xfId="138" xr:uid="{00000000-0005-0000-0000-000089000000}"/>
    <cellStyle name="%_NRA_model_for_NEMO2 (EMC Update) v0.19_NRA_model_for_NEMO2 (EMC Update) v0.21_NRA_model_for_NEMO2 (EMC Update) v0.25_NRA_model_for_NEMO2 (EMC Update) v0.29.2_NRA_model_for_NEMO2 (EMC Update) v0.29.3_NRA_model_for_NEMO2 (EMC Update) v0.29.5" xfId="137" xr:uid="{00000000-0005-0000-0000-00008A000000}"/>
    <cellStyle name="%_NRA_model_for_NEMO2 (EMC Update) v0.19_NRA_model_for_NEMO2 (EMC Update) v0.21_NRA_model_for_NEMO2 (EMC Update) v0.25_NRA_model_for_NEMO2 (EMC Update) v0.29.2_NRA_model_for_NEMO2 (EMC Update) v0.29.4" xfId="139" xr:uid="{00000000-0005-0000-0000-00008B000000}"/>
    <cellStyle name="%_NRA_model_for_NEMO2 (EMC Update) v0.19_NRA_model_for_NEMO2 (EMC Update) v0.21_NRA_model_for_NEMO2 (EMC Update) v0.25_NRA_model_for_NEMO2 (EMC Update) v0.29.2_NRA_model_for_NEMO2 (EMC Update) v0.29.4_NRA_model_for_NEMO2 (EMC Update) v0 30 1" xfId="141" xr:uid="{00000000-0005-0000-0000-00008C000000}"/>
    <cellStyle name="%_NRA_model_for_NEMO2 (EMC Update) v0.19_NRA_model_for_NEMO2 (EMC Update) v0.21_NRA_model_for_NEMO2 (EMC Update) v0.25_NRA_model_for_NEMO2 (EMC Update) v0.29.2_NRA_model_for_NEMO2 (EMC Update) v0.29.4_NRA_model_for_NEMO2 (EMC Update) v0.29.5" xfId="140" xr:uid="{00000000-0005-0000-0000-00008D000000}"/>
    <cellStyle name="%_NRA_model_for_NEMO2 (EMC Update) v0.19_NRA_model_for_NEMO2 (EMC Update) v0.21_NRA_model_for_NEMO2 (EMC Update) v0.25_NRA_model_for_NEMO2 (EMC Update) v0.29.2_NRA_model_for_NEMO2 (EMC Update) v0.29.5" xfId="142" xr:uid="{00000000-0005-0000-0000-00008E000000}"/>
    <cellStyle name="%_NRA_model_for_NEMO2 (EMC Update) v0.19_NRA_model_for_NEMO2 (EMC Update) v0.21_NRA_model_for_NEMO2 (EMC Update) v0.25_NRA_model_for_NEMO2 (EMC Update) v0.29.2_NRA_model_for_NEMO2 (EMC Update) v0.29.5_NRA_model_for_NEMO2 (EMC Update) v0 30 1" xfId="143" xr:uid="{00000000-0005-0000-0000-00008F000000}"/>
    <cellStyle name="%_NRA_model_for_NEMO2 (EMC Update) v0.19_NRA_model_for_NEMO2 (EMC Update) v0.21_NRA_model_for_NEMO2 (EMC Update) v0.25_NRA_model_for_NEMO2 (EMC Update) v0.29.3" xfId="145" xr:uid="{00000000-0005-0000-0000-000090000000}"/>
    <cellStyle name="%_NRA_model_for_NEMO2 (EMC Update) v0.19_NRA_model_for_NEMO2 (EMC Update) v0.21_NRA_model_for_NEMO2 (EMC Update) v0.25_NRA_model_for_NEMO2 (EMC Update) v0.29.3_NRA_model_for_NEMO2 (EMC Update) v0 30 1" xfId="148" xr:uid="{00000000-0005-0000-0000-000091000000}"/>
    <cellStyle name="%_NRA_model_for_NEMO2 (EMC Update) v0.19_NRA_model_for_NEMO2 (EMC Update) v0.21_NRA_model_for_NEMO2 (EMC Update) v0.25_NRA_model_for_NEMO2 (EMC Update) v0.29.3_NRA_model_for_NEMO2 (EMC Update) v0.29.5" xfId="146" xr:uid="{00000000-0005-0000-0000-000092000000}"/>
    <cellStyle name="%_NRA_model_for_NEMO2 (EMC Update) v0.19_NRA_model_for_NEMO2 (EMC Update) v0.21_NRA_model_for_NEMO2 (EMC Update) v0.25_NRA_model_for_NEMO2 (EMC Update) v0.29.3_NRA_model_for_NEMO2 (EMC Update) v0.29.5_NRA_model_for_NEMO2 (EMC Update) v0 30 1" xfId="147" xr:uid="{00000000-0005-0000-0000-000093000000}"/>
    <cellStyle name="%_NRA_model_for_NEMO2 (EMC Update) v0.19_NRA_model_for_NEMO2 (EMC Update) v0.21_NRA_model_for_NEMO2 (EMC Update) v0.25_NRA_model_for_NEMO2 (EMC Update) v0.29.4" xfId="149" xr:uid="{00000000-0005-0000-0000-000094000000}"/>
    <cellStyle name="%_NRA_model_for_NEMO2 (EMC Update) v0.19_NRA_model_for_NEMO2 (EMC Update) v0.21_NRA_model_for_NEMO2 (EMC Update) v0.25_NRA_model_for_NEMO2 (EMC Update) v0.29.4_NRA_model_for_NEMO2 (EMC Update) v0 30 1" xfId="152" xr:uid="{00000000-0005-0000-0000-000095000000}"/>
    <cellStyle name="%_NRA_model_for_NEMO2 (EMC Update) v0.19_NRA_model_for_NEMO2 (EMC Update) v0.21_NRA_model_for_NEMO2 (EMC Update) v0.25_NRA_model_for_NEMO2 (EMC Update) v0.29.4_NRA_model_for_NEMO2 (EMC Update) v0.29.5" xfId="150" xr:uid="{00000000-0005-0000-0000-000096000000}"/>
    <cellStyle name="%_NRA_model_for_NEMO2 (EMC Update) v0.19_NRA_model_for_NEMO2 (EMC Update) v0.21_NRA_model_for_NEMO2 (EMC Update) v0.25_NRA_model_for_NEMO2 (EMC Update) v0.29.4_NRA_model_for_NEMO2 (EMC Update) v0.29.5_NRA_model_for_NEMO2 (EMC Update) v0 30 1" xfId="151" xr:uid="{00000000-0005-0000-0000-000097000000}"/>
    <cellStyle name="%_NRA_model_for_NEMO2 (EMC Update) v0.19_NRA_model_for_NEMO2 (EMC Update) v0.21_NRA_model_for_NEMO2 (EMC Update) v0.25_NRA_model_for_NEMO2 (EMC Update) v0.29.5" xfId="153" xr:uid="{00000000-0005-0000-0000-000098000000}"/>
    <cellStyle name="%_NRA_model_for_NEMO2 (EMC Update) v0.19_NRA_model_for_NEMO2 (EMC Update) v0.21_NRA_model_for_NEMO2 (EMC Update) v0.25_NRA_model_for_NEMO2 (EMC Update) v0.29.5_NRA_model_for_NEMO2 (EMC Update) v0 30 1" xfId="154" xr:uid="{00000000-0005-0000-0000-000099000000}"/>
    <cellStyle name="%_NRA_model_for_NEMO2 (EMC Update) v0.19_NRA_model_for_NEMO2 (EMC Update) v0.21_NRA_model_for_NEMO2 (EMC Update) v0.25_NRA_model_for_NEMO2 (EMC Update) v0.29_NRA_model_for_NEMO2 (EMC Update) v0 30 1" xfId="168" xr:uid="{00000000-0005-0000-0000-00009A000000}"/>
    <cellStyle name="%_NRA_model_for_NEMO2 (EMC Update) v0.19_NRA_model_for_NEMO2 (EMC Update) v0.21_NRA_model_for_NEMO2 (EMC Update) v0.25_NRA_model_for_NEMO2 (EMC Update) v0.29_NRA_model_for_NEMO2 (EMC Update) v0.29.2" xfId="155" xr:uid="{00000000-0005-0000-0000-00009B000000}"/>
    <cellStyle name="%_NRA_model_for_NEMO2 (EMC Update) v0.19_NRA_model_for_NEMO2 (EMC Update) v0.21_NRA_model_for_NEMO2 (EMC Update) v0.25_NRA_model_for_NEMO2 (EMC Update) v0.29_NRA_model_for_NEMO2 (EMC Update) v0.29.2_NRA_model_for_NEMO2 (EMC Update) v0 30 1" xfId="159" xr:uid="{00000000-0005-0000-0000-00009C000000}"/>
    <cellStyle name="%_NRA_model_for_NEMO2 (EMC Update) v0.19_NRA_model_for_NEMO2 (EMC Update) v0.21_NRA_model_for_NEMO2 (EMC Update) v0.25_NRA_model_for_NEMO2 (EMC Update) v0.29_NRA_model_for_NEMO2 (EMC Update) v0.29.2_NRA_model_for_NEMO2 (EMC Update) v0.29.3" xfId="156" xr:uid="{00000000-0005-0000-0000-00009D000000}"/>
    <cellStyle name="%_NRA_model_for_NEMO2 (EMC Update) v0.19_NRA_model_for_NEMO2 (EMC Update) v0.21_NRA_model_for_NEMO2 (EMC Update) v0.25_NRA_model_for_NEMO2 (EMC Update) v0.29_NRA_model_for_NEMO2 (EMC Update) v0.29.2_NRA_model_for_NEMO2 (EMC Update) v0.29.4" xfId="157" xr:uid="{00000000-0005-0000-0000-00009E000000}"/>
    <cellStyle name="%_NRA_model_for_NEMO2 (EMC Update) v0.19_NRA_model_for_NEMO2 (EMC Update) v0.21_NRA_model_for_NEMO2 (EMC Update) v0.25_NRA_model_for_NEMO2 (EMC Update) v0.29_NRA_model_for_NEMO2 (EMC Update) v0.29.2_NRA_model_for_NEMO2 (EMC Update) v0.29.5" xfId="158" xr:uid="{00000000-0005-0000-0000-00009F000000}"/>
    <cellStyle name="%_NRA_model_for_NEMO2 (EMC Update) v0.19_NRA_model_for_NEMO2 (EMC Update) v0.21_NRA_model_for_NEMO2 (EMC Update) v0.25_NRA_model_for_NEMO2 (EMC Update) v0.29_NRA_model_for_NEMO2 (EMC Update) v0.29.3" xfId="160" xr:uid="{00000000-0005-0000-0000-0000A0000000}"/>
    <cellStyle name="%_NRA_model_for_NEMO2 (EMC Update) v0.19_NRA_model_for_NEMO2 (EMC Update) v0.21_NRA_model_for_NEMO2 (EMC Update) v0.25_NRA_model_for_NEMO2 (EMC Update) v0.29_NRA_model_for_NEMO2 (EMC Update) v0.29.3_NRA_model_for_NEMO2 (EMC Update) v0 30 1" xfId="162" xr:uid="{00000000-0005-0000-0000-0000A1000000}"/>
    <cellStyle name="%_NRA_model_for_NEMO2 (EMC Update) v0.19_NRA_model_for_NEMO2 (EMC Update) v0.21_NRA_model_for_NEMO2 (EMC Update) v0.25_NRA_model_for_NEMO2 (EMC Update) v0.29_NRA_model_for_NEMO2 (EMC Update) v0.29.3_NRA_model_for_NEMO2 (EMC Update) v0.29.5" xfId="161" xr:uid="{00000000-0005-0000-0000-0000A2000000}"/>
    <cellStyle name="%_NRA_model_for_NEMO2 (EMC Update) v0.19_NRA_model_for_NEMO2 (EMC Update) v0.21_NRA_model_for_NEMO2 (EMC Update) v0.25_NRA_model_for_NEMO2 (EMC Update) v0.29_NRA_model_for_NEMO2 (EMC Update) v0.29.4" xfId="163" xr:uid="{00000000-0005-0000-0000-0000A3000000}"/>
    <cellStyle name="%_NRA_model_for_NEMO2 (EMC Update) v0.19_NRA_model_for_NEMO2 (EMC Update) v0.21_NRA_model_for_NEMO2 (EMC Update) v0.25_NRA_model_for_NEMO2 (EMC Update) v0.29_NRA_model_for_NEMO2 (EMC Update) v0.29.4_NRA_model_for_NEMO2 (EMC Update) v0 30 1" xfId="165" xr:uid="{00000000-0005-0000-0000-0000A4000000}"/>
    <cellStyle name="%_NRA_model_for_NEMO2 (EMC Update) v0.19_NRA_model_for_NEMO2 (EMC Update) v0.21_NRA_model_for_NEMO2 (EMC Update) v0.25_NRA_model_for_NEMO2 (EMC Update) v0.29_NRA_model_for_NEMO2 (EMC Update) v0.29.4_NRA_model_for_NEMO2 (EMC Update) v0.29.5" xfId="164" xr:uid="{00000000-0005-0000-0000-0000A5000000}"/>
    <cellStyle name="%_NRA_model_for_NEMO2 (EMC Update) v0.19_NRA_model_for_NEMO2 (EMC Update) v0.21_NRA_model_for_NEMO2 (EMC Update) v0.25_NRA_model_for_NEMO2 (EMC Update) v0.29_NRA_model_for_NEMO2 (EMC Update) v0.29.5" xfId="166" xr:uid="{00000000-0005-0000-0000-0000A6000000}"/>
    <cellStyle name="%_NRA_model_for_NEMO2 (EMC Update) v0.19_NRA_model_for_NEMO2 (EMC Update) v0.21_NRA_model_for_NEMO2 (EMC Update) v0.25_NRA_model_for_NEMO2 (EMC Update) v0.29_NRA_model_for_NEMO2 (EMC Update) v0.29.5_NRA_model_for_NEMO2 (EMC Update) v0 30 1" xfId="167" xr:uid="{00000000-0005-0000-0000-0000A7000000}"/>
    <cellStyle name="%_NRA_model_for_NEMO2 (EMC Update) v0.19_NRA_model_for_NEMO2 (EMC Update) v0.21_NRA_model_for_NEMO2 (EMC Update) v0.26" xfId="170" xr:uid="{00000000-0005-0000-0000-0000A8000000}"/>
    <cellStyle name="%_NRA_model_for_NEMO2 (EMC Update) v0.19_NRA_model_for_NEMO2 (EMC Update) v0.21_NRA_model_for_NEMO2 (EMC Update) v0.26_NRA_model_for_NEMO2 (EMC Update) v0 30 1" xfId="206" xr:uid="{00000000-0005-0000-0000-0000A9000000}"/>
    <cellStyle name="%_NRA_model_for_NEMO2 (EMC Update) v0.19_NRA_model_for_NEMO2 (EMC Update) v0.21_NRA_model_for_NEMO2 (EMC Update) v0.26_NRA_model_for_NEMO2 (EMC Update) v0.29" xfId="171" xr:uid="{00000000-0005-0000-0000-0000AA000000}"/>
    <cellStyle name="%_NRA_model_for_NEMO2 (EMC Update) v0.19_NRA_model_for_NEMO2 (EMC Update) v0.21_NRA_model_for_NEMO2 (EMC Update) v0.26_NRA_model_for_NEMO2 (EMC Update) v0.29.2" xfId="172" xr:uid="{00000000-0005-0000-0000-0000AB000000}"/>
    <cellStyle name="%_NRA_model_for_NEMO2 (EMC Update) v0.19_NRA_model_for_NEMO2 (EMC Update) v0.21_NRA_model_for_NEMO2 (EMC Update) v0.26_NRA_model_for_NEMO2 (EMC Update) v0.29.2_NRA_model_for_NEMO2 (EMC Update) v0 30 1" xfId="181" xr:uid="{00000000-0005-0000-0000-0000AC000000}"/>
    <cellStyle name="%_NRA_model_for_NEMO2 (EMC Update) v0.19_NRA_model_for_NEMO2 (EMC Update) v0.21_NRA_model_for_NEMO2 (EMC Update) v0.26_NRA_model_for_NEMO2 (EMC Update) v0.29.2_NRA_model_for_NEMO2 (EMC Update) v0.29.3" xfId="173" xr:uid="{00000000-0005-0000-0000-0000AD000000}"/>
    <cellStyle name="%_NRA_model_for_NEMO2 (EMC Update) v0.19_NRA_model_for_NEMO2 (EMC Update) v0.21_NRA_model_for_NEMO2 (EMC Update) v0.26_NRA_model_for_NEMO2 (EMC Update) v0.29.2_NRA_model_for_NEMO2 (EMC Update) v0.29.3_NRA_model_for_NEMO2 (EMC Update) v0 30 1" xfId="175" xr:uid="{00000000-0005-0000-0000-0000AE000000}"/>
    <cellStyle name="%_NRA_model_for_NEMO2 (EMC Update) v0.19_NRA_model_for_NEMO2 (EMC Update) v0.21_NRA_model_for_NEMO2 (EMC Update) v0.26_NRA_model_for_NEMO2 (EMC Update) v0.29.2_NRA_model_for_NEMO2 (EMC Update) v0.29.3_NRA_model_for_NEMO2 (EMC Update) v0.29.5" xfId="174" xr:uid="{00000000-0005-0000-0000-0000AF000000}"/>
    <cellStyle name="%_NRA_model_for_NEMO2 (EMC Update) v0.19_NRA_model_for_NEMO2 (EMC Update) v0.21_NRA_model_for_NEMO2 (EMC Update) v0.26_NRA_model_for_NEMO2 (EMC Update) v0.29.2_NRA_model_for_NEMO2 (EMC Update) v0.29.4" xfId="176" xr:uid="{00000000-0005-0000-0000-0000B0000000}"/>
    <cellStyle name="%_NRA_model_for_NEMO2 (EMC Update) v0.19_NRA_model_for_NEMO2 (EMC Update) v0.21_NRA_model_for_NEMO2 (EMC Update) v0.26_NRA_model_for_NEMO2 (EMC Update) v0.29.2_NRA_model_for_NEMO2 (EMC Update) v0.29.4_NRA_model_for_NEMO2 (EMC Update) v0 30 1" xfId="178" xr:uid="{00000000-0005-0000-0000-0000B1000000}"/>
    <cellStyle name="%_NRA_model_for_NEMO2 (EMC Update) v0.19_NRA_model_for_NEMO2 (EMC Update) v0.21_NRA_model_for_NEMO2 (EMC Update) v0.26_NRA_model_for_NEMO2 (EMC Update) v0.29.2_NRA_model_for_NEMO2 (EMC Update) v0.29.4_NRA_model_for_NEMO2 (EMC Update) v0.29.5" xfId="177" xr:uid="{00000000-0005-0000-0000-0000B2000000}"/>
    <cellStyle name="%_NRA_model_for_NEMO2 (EMC Update) v0.19_NRA_model_for_NEMO2 (EMC Update) v0.21_NRA_model_for_NEMO2 (EMC Update) v0.26_NRA_model_for_NEMO2 (EMC Update) v0.29.2_NRA_model_for_NEMO2 (EMC Update) v0.29.5" xfId="179" xr:uid="{00000000-0005-0000-0000-0000B3000000}"/>
    <cellStyle name="%_NRA_model_for_NEMO2 (EMC Update) v0.19_NRA_model_for_NEMO2 (EMC Update) v0.21_NRA_model_for_NEMO2 (EMC Update) v0.26_NRA_model_for_NEMO2 (EMC Update) v0.29.2_NRA_model_for_NEMO2 (EMC Update) v0.29.5_NRA_model_for_NEMO2 (EMC Update) v0 30 1" xfId="180" xr:uid="{00000000-0005-0000-0000-0000B4000000}"/>
    <cellStyle name="%_NRA_model_for_NEMO2 (EMC Update) v0.19_NRA_model_for_NEMO2 (EMC Update) v0.21_NRA_model_for_NEMO2 (EMC Update) v0.26_NRA_model_for_NEMO2 (EMC Update) v0.29.3" xfId="182" xr:uid="{00000000-0005-0000-0000-0000B5000000}"/>
    <cellStyle name="%_NRA_model_for_NEMO2 (EMC Update) v0.19_NRA_model_for_NEMO2 (EMC Update) v0.21_NRA_model_for_NEMO2 (EMC Update) v0.26_NRA_model_for_NEMO2 (EMC Update) v0.29.3_NRA_model_for_NEMO2 (EMC Update) v0 30 1" xfId="185" xr:uid="{00000000-0005-0000-0000-0000B6000000}"/>
    <cellStyle name="%_NRA_model_for_NEMO2 (EMC Update) v0.19_NRA_model_for_NEMO2 (EMC Update) v0.21_NRA_model_for_NEMO2 (EMC Update) v0.26_NRA_model_for_NEMO2 (EMC Update) v0.29.3_NRA_model_for_NEMO2 (EMC Update) v0.29.5" xfId="183" xr:uid="{00000000-0005-0000-0000-0000B7000000}"/>
    <cellStyle name="%_NRA_model_for_NEMO2 (EMC Update) v0.19_NRA_model_for_NEMO2 (EMC Update) v0.21_NRA_model_for_NEMO2 (EMC Update) v0.26_NRA_model_for_NEMO2 (EMC Update) v0.29.3_NRA_model_for_NEMO2 (EMC Update) v0.29.5_NRA_model_for_NEMO2 (EMC Update) v0 30 1" xfId="184" xr:uid="{00000000-0005-0000-0000-0000B8000000}"/>
    <cellStyle name="%_NRA_model_for_NEMO2 (EMC Update) v0.19_NRA_model_for_NEMO2 (EMC Update) v0.21_NRA_model_for_NEMO2 (EMC Update) v0.26_NRA_model_for_NEMO2 (EMC Update) v0.29.4" xfId="186" xr:uid="{00000000-0005-0000-0000-0000B9000000}"/>
    <cellStyle name="%_NRA_model_for_NEMO2 (EMC Update) v0.19_NRA_model_for_NEMO2 (EMC Update) v0.21_NRA_model_for_NEMO2 (EMC Update) v0.26_NRA_model_for_NEMO2 (EMC Update) v0.29.4_NRA_model_for_NEMO2 (EMC Update) v0 30 1" xfId="189" xr:uid="{00000000-0005-0000-0000-0000BA000000}"/>
    <cellStyle name="%_NRA_model_for_NEMO2 (EMC Update) v0.19_NRA_model_for_NEMO2 (EMC Update) v0.21_NRA_model_for_NEMO2 (EMC Update) v0.26_NRA_model_for_NEMO2 (EMC Update) v0.29.4_NRA_model_for_NEMO2 (EMC Update) v0.29.5" xfId="187" xr:uid="{00000000-0005-0000-0000-0000BB000000}"/>
    <cellStyle name="%_NRA_model_for_NEMO2 (EMC Update) v0.19_NRA_model_for_NEMO2 (EMC Update) v0.21_NRA_model_for_NEMO2 (EMC Update) v0.26_NRA_model_for_NEMO2 (EMC Update) v0.29.4_NRA_model_for_NEMO2 (EMC Update) v0.29.5_NRA_model_for_NEMO2 (EMC Update) v0 30 1" xfId="188" xr:uid="{00000000-0005-0000-0000-0000BC000000}"/>
    <cellStyle name="%_NRA_model_for_NEMO2 (EMC Update) v0.19_NRA_model_for_NEMO2 (EMC Update) v0.21_NRA_model_for_NEMO2 (EMC Update) v0.26_NRA_model_for_NEMO2 (EMC Update) v0.29.5" xfId="190" xr:uid="{00000000-0005-0000-0000-0000BD000000}"/>
    <cellStyle name="%_NRA_model_for_NEMO2 (EMC Update) v0.19_NRA_model_for_NEMO2 (EMC Update) v0.21_NRA_model_for_NEMO2 (EMC Update) v0.26_NRA_model_for_NEMO2 (EMC Update) v0.29.5_NRA_model_for_NEMO2 (EMC Update) v0 30 1" xfId="191" xr:uid="{00000000-0005-0000-0000-0000BE000000}"/>
    <cellStyle name="%_NRA_model_for_NEMO2 (EMC Update) v0.19_NRA_model_for_NEMO2 (EMC Update) v0.21_NRA_model_for_NEMO2 (EMC Update) v0.26_NRA_model_for_NEMO2 (EMC Update) v0.29_NRA_model_for_NEMO2 (EMC Update) v0 30 1" xfId="205" xr:uid="{00000000-0005-0000-0000-0000BF000000}"/>
    <cellStyle name="%_NRA_model_for_NEMO2 (EMC Update) v0.19_NRA_model_for_NEMO2 (EMC Update) v0.21_NRA_model_for_NEMO2 (EMC Update) v0.26_NRA_model_for_NEMO2 (EMC Update) v0.29_NRA_model_for_NEMO2 (EMC Update) v0.29.2" xfId="192" xr:uid="{00000000-0005-0000-0000-0000C0000000}"/>
    <cellStyle name="%_NRA_model_for_NEMO2 (EMC Update) v0.19_NRA_model_for_NEMO2 (EMC Update) v0.21_NRA_model_for_NEMO2 (EMC Update) v0.26_NRA_model_for_NEMO2 (EMC Update) v0.29_NRA_model_for_NEMO2 (EMC Update) v0.29.2_NRA_model_for_NEMO2 (EMC Update) v0 30 1" xfId="196" xr:uid="{00000000-0005-0000-0000-0000C1000000}"/>
    <cellStyle name="%_NRA_model_for_NEMO2 (EMC Update) v0.19_NRA_model_for_NEMO2 (EMC Update) v0.21_NRA_model_for_NEMO2 (EMC Update) v0.26_NRA_model_for_NEMO2 (EMC Update) v0.29_NRA_model_for_NEMO2 (EMC Update) v0.29.2_NRA_model_for_NEMO2 (EMC Update) v0.29.3" xfId="193" xr:uid="{00000000-0005-0000-0000-0000C2000000}"/>
    <cellStyle name="%_NRA_model_for_NEMO2 (EMC Update) v0.19_NRA_model_for_NEMO2 (EMC Update) v0.21_NRA_model_for_NEMO2 (EMC Update) v0.26_NRA_model_for_NEMO2 (EMC Update) v0.29_NRA_model_for_NEMO2 (EMC Update) v0.29.2_NRA_model_for_NEMO2 (EMC Update) v0.29.4" xfId="194" xr:uid="{00000000-0005-0000-0000-0000C3000000}"/>
    <cellStyle name="%_NRA_model_for_NEMO2 (EMC Update) v0.19_NRA_model_for_NEMO2 (EMC Update) v0.21_NRA_model_for_NEMO2 (EMC Update) v0.26_NRA_model_for_NEMO2 (EMC Update) v0.29_NRA_model_for_NEMO2 (EMC Update) v0.29.2_NRA_model_for_NEMO2 (EMC Update) v0.29.5" xfId="195" xr:uid="{00000000-0005-0000-0000-0000C4000000}"/>
    <cellStyle name="%_NRA_model_for_NEMO2 (EMC Update) v0.19_NRA_model_for_NEMO2 (EMC Update) v0.21_NRA_model_for_NEMO2 (EMC Update) v0.26_NRA_model_for_NEMO2 (EMC Update) v0.29_NRA_model_for_NEMO2 (EMC Update) v0.29.3" xfId="197" xr:uid="{00000000-0005-0000-0000-0000C5000000}"/>
    <cellStyle name="%_NRA_model_for_NEMO2 (EMC Update) v0.19_NRA_model_for_NEMO2 (EMC Update) v0.21_NRA_model_for_NEMO2 (EMC Update) v0.26_NRA_model_for_NEMO2 (EMC Update) v0.29_NRA_model_for_NEMO2 (EMC Update) v0.29.3_NRA_model_for_NEMO2 (EMC Update) v0 30 1" xfId="199" xr:uid="{00000000-0005-0000-0000-0000C6000000}"/>
    <cellStyle name="%_NRA_model_for_NEMO2 (EMC Update) v0.19_NRA_model_for_NEMO2 (EMC Update) v0.21_NRA_model_for_NEMO2 (EMC Update) v0.26_NRA_model_for_NEMO2 (EMC Update) v0.29_NRA_model_for_NEMO2 (EMC Update) v0.29.3_NRA_model_for_NEMO2 (EMC Update) v0.29.5" xfId="198" xr:uid="{00000000-0005-0000-0000-0000C7000000}"/>
    <cellStyle name="%_NRA_model_for_NEMO2 (EMC Update) v0.19_NRA_model_for_NEMO2 (EMC Update) v0.21_NRA_model_for_NEMO2 (EMC Update) v0.26_NRA_model_for_NEMO2 (EMC Update) v0.29_NRA_model_for_NEMO2 (EMC Update) v0.29.4" xfId="200" xr:uid="{00000000-0005-0000-0000-0000C8000000}"/>
    <cellStyle name="%_NRA_model_for_NEMO2 (EMC Update) v0.19_NRA_model_for_NEMO2 (EMC Update) v0.21_NRA_model_for_NEMO2 (EMC Update) v0.26_NRA_model_for_NEMO2 (EMC Update) v0.29_NRA_model_for_NEMO2 (EMC Update) v0.29.4_NRA_model_for_NEMO2 (EMC Update) v0 30 1" xfId="202" xr:uid="{00000000-0005-0000-0000-0000C9000000}"/>
    <cellStyle name="%_NRA_model_for_NEMO2 (EMC Update) v0.19_NRA_model_for_NEMO2 (EMC Update) v0.21_NRA_model_for_NEMO2 (EMC Update) v0.26_NRA_model_for_NEMO2 (EMC Update) v0.29_NRA_model_for_NEMO2 (EMC Update) v0.29.4_NRA_model_for_NEMO2 (EMC Update) v0.29.5" xfId="201" xr:uid="{00000000-0005-0000-0000-0000CA000000}"/>
    <cellStyle name="%_NRA_model_for_NEMO2 (EMC Update) v0.19_NRA_model_for_NEMO2 (EMC Update) v0.21_NRA_model_for_NEMO2 (EMC Update) v0.26_NRA_model_for_NEMO2 (EMC Update) v0.29_NRA_model_for_NEMO2 (EMC Update) v0.29.5" xfId="203" xr:uid="{00000000-0005-0000-0000-0000CB000000}"/>
    <cellStyle name="%_NRA_model_for_NEMO2 (EMC Update) v0.19_NRA_model_for_NEMO2 (EMC Update) v0.21_NRA_model_for_NEMO2 (EMC Update) v0.26_NRA_model_for_NEMO2 (EMC Update) v0.29_NRA_model_for_NEMO2 (EMC Update) v0.29.5_NRA_model_for_NEMO2 (EMC Update) v0 30 1" xfId="204" xr:uid="{00000000-0005-0000-0000-0000CC000000}"/>
    <cellStyle name="%_NRA_model_for_NEMO2 (EMC Update) v0.19_NRA_model_for_NEMO2 (EMC Update) v0.21_NRA_model_for_NEMO2 (EMC Update) v0.29" xfId="207" xr:uid="{00000000-0005-0000-0000-0000CD000000}"/>
    <cellStyle name="%_NRA_model_for_NEMO2 (EMC Update) v0.19_NRA_model_for_NEMO2 (EMC Update) v0.21_NRA_model_for_NEMO2 (EMC Update) v0.29.2" xfId="208" xr:uid="{00000000-0005-0000-0000-0000CE000000}"/>
    <cellStyle name="%_NRA_model_for_NEMO2 (EMC Update) v0.19_NRA_model_for_NEMO2 (EMC Update) v0.21_NRA_model_for_NEMO2 (EMC Update) v0.29.2_NRA_model_for_NEMO2 (EMC Update) v0 30 1" xfId="219" xr:uid="{00000000-0005-0000-0000-0000CF000000}"/>
    <cellStyle name="%_NRA_model_for_NEMO2 (EMC Update) v0.19_NRA_model_for_NEMO2 (EMC Update) v0.21_NRA_model_for_NEMO2 (EMC Update) v0.29.2_NRA_model_for_NEMO2 (EMC Update) v0.29.3" xfId="209" xr:uid="{00000000-0005-0000-0000-0000D0000000}"/>
    <cellStyle name="%_NRA_model_for_NEMO2 (EMC Update) v0.19_NRA_model_for_NEMO2 (EMC Update) v0.21_NRA_model_for_NEMO2 (EMC Update) v0.29.2_NRA_model_for_NEMO2 (EMC Update) v0.29.3_NRA_model_for_NEMO2 (EMC Update) v0 30 1" xfId="212" xr:uid="{00000000-0005-0000-0000-0000D1000000}"/>
    <cellStyle name="%_NRA_model_for_NEMO2 (EMC Update) v0.19_NRA_model_for_NEMO2 (EMC Update) v0.21_NRA_model_for_NEMO2 (EMC Update) v0.29.2_NRA_model_for_NEMO2 (EMC Update) v0.29.3_NRA_model_for_NEMO2 (EMC Update) v0.29.5" xfId="210" xr:uid="{00000000-0005-0000-0000-0000D2000000}"/>
    <cellStyle name="%_NRA_model_for_NEMO2 (EMC Update) v0.19_NRA_model_for_NEMO2 (EMC Update) v0.21_NRA_model_for_NEMO2 (EMC Update) v0.29.2_NRA_model_for_NEMO2 (EMC Update) v0.29.3_NRA_model_for_NEMO2 (EMC Update) v0.29.5_NRA_model_for_NEMO2 (EMC Update) v0 30 1" xfId="211" xr:uid="{00000000-0005-0000-0000-0000D3000000}"/>
    <cellStyle name="%_NRA_model_for_NEMO2 (EMC Update) v0.19_NRA_model_for_NEMO2 (EMC Update) v0.21_NRA_model_for_NEMO2 (EMC Update) v0.29.2_NRA_model_for_NEMO2 (EMC Update) v0.29.4" xfId="213" xr:uid="{00000000-0005-0000-0000-0000D4000000}"/>
    <cellStyle name="%_NRA_model_for_NEMO2 (EMC Update) v0.19_NRA_model_for_NEMO2 (EMC Update) v0.21_NRA_model_for_NEMO2 (EMC Update) v0.29.2_NRA_model_for_NEMO2 (EMC Update) v0.29.4_NRA_model_for_NEMO2 (EMC Update) v0 30 1" xfId="216" xr:uid="{00000000-0005-0000-0000-0000D5000000}"/>
    <cellStyle name="%_NRA_model_for_NEMO2 (EMC Update) v0.19_NRA_model_for_NEMO2 (EMC Update) v0.21_NRA_model_for_NEMO2 (EMC Update) v0.29.2_NRA_model_for_NEMO2 (EMC Update) v0.29.4_NRA_model_for_NEMO2 (EMC Update) v0.29.5" xfId="214" xr:uid="{00000000-0005-0000-0000-0000D6000000}"/>
    <cellStyle name="%_NRA_model_for_NEMO2 (EMC Update) v0.19_NRA_model_for_NEMO2 (EMC Update) v0.21_NRA_model_for_NEMO2 (EMC Update) v0.29.2_NRA_model_for_NEMO2 (EMC Update) v0.29.4_NRA_model_for_NEMO2 (EMC Update) v0.29.5_NRA_model_for_NEMO2 (EMC Update) v0 30 1" xfId="215" xr:uid="{00000000-0005-0000-0000-0000D7000000}"/>
    <cellStyle name="%_NRA_model_for_NEMO2 (EMC Update) v0.19_NRA_model_for_NEMO2 (EMC Update) v0.21_NRA_model_for_NEMO2 (EMC Update) v0.29.2_NRA_model_for_NEMO2 (EMC Update) v0.29.5" xfId="217" xr:uid="{00000000-0005-0000-0000-0000D8000000}"/>
    <cellStyle name="%_NRA_model_for_NEMO2 (EMC Update) v0.19_NRA_model_for_NEMO2 (EMC Update) v0.21_NRA_model_for_NEMO2 (EMC Update) v0.29.2_NRA_model_for_NEMO2 (EMC Update) v0.29.5_NRA_model_for_NEMO2 (EMC Update) v0 30 1" xfId="218" xr:uid="{00000000-0005-0000-0000-0000D9000000}"/>
    <cellStyle name="%_NRA_model_for_NEMO2 (EMC Update) v0.19_NRA_model_for_NEMO2 (EMC Update) v0.21_NRA_model_for_NEMO2 (EMC Update) v0.29.3" xfId="220" xr:uid="{00000000-0005-0000-0000-0000DA000000}"/>
    <cellStyle name="%_NRA_model_for_NEMO2 (EMC Update) v0.19_NRA_model_for_NEMO2 (EMC Update) v0.21_NRA_model_for_NEMO2 (EMC Update) v0.29.3_NRA_model_for_NEMO2 (EMC Update) v0 30 1" xfId="223" xr:uid="{00000000-0005-0000-0000-0000DB000000}"/>
    <cellStyle name="%_NRA_model_for_NEMO2 (EMC Update) v0.19_NRA_model_for_NEMO2 (EMC Update) v0.21_NRA_model_for_NEMO2 (EMC Update) v0.29.3_NRA_model_for_NEMO2 (EMC Update) v0.29.5" xfId="221" xr:uid="{00000000-0005-0000-0000-0000DC000000}"/>
    <cellStyle name="%_NRA_model_for_NEMO2 (EMC Update) v0.19_NRA_model_for_NEMO2 (EMC Update) v0.21_NRA_model_for_NEMO2 (EMC Update) v0.29.3_NRA_model_for_NEMO2 (EMC Update) v0.29.5_NRA_model_for_NEMO2 (EMC Update) v0 30 1" xfId="222" xr:uid="{00000000-0005-0000-0000-0000DD000000}"/>
    <cellStyle name="%_NRA_model_for_NEMO2 (EMC Update) v0.19_NRA_model_for_NEMO2 (EMC Update) v0.21_NRA_model_for_NEMO2 (EMC Update) v0.29.4" xfId="224" xr:uid="{00000000-0005-0000-0000-0000DE000000}"/>
    <cellStyle name="%_NRA_model_for_NEMO2 (EMC Update) v0.19_NRA_model_for_NEMO2 (EMC Update) v0.21_NRA_model_for_NEMO2 (EMC Update) v0.29.4_NRA_model_for_NEMO2 (EMC Update) v0 30 1" xfId="227" xr:uid="{00000000-0005-0000-0000-0000DF000000}"/>
    <cellStyle name="%_NRA_model_for_NEMO2 (EMC Update) v0.19_NRA_model_for_NEMO2 (EMC Update) v0.21_NRA_model_for_NEMO2 (EMC Update) v0.29.4_NRA_model_for_NEMO2 (EMC Update) v0.29.5" xfId="225" xr:uid="{00000000-0005-0000-0000-0000E0000000}"/>
    <cellStyle name="%_NRA_model_for_NEMO2 (EMC Update) v0.19_NRA_model_for_NEMO2 (EMC Update) v0.21_NRA_model_for_NEMO2 (EMC Update) v0.29.4_NRA_model_for_NEMO2 (EMC Update) v0.29.5_NRA_model_for_NEMO2 (EMC Update) v0 30 1" xfId="226" xr:uid="{00000000-0005-0000-0000-0000E1000000}"/>
    <cellStyle name="%_NRA_model_for_NEMO2 (EMC Update) v0.19_NRA_model_for_NEMO2 (EMC Update) v0.21_NRA_model_for_NEMO2 (EMC Update) v0.29.5" xfId="228" xr:uid="{00000000-0005-0000-0000-0000E2000000}"/>
    <cellStyle name="%_NRA_model_for_NEMO2 (EMC Update) v0.19_NRA_model_for_NEMO2 (EMC Update) v0.21_NRA_model_for_NEMO2 (EMC Update) v0.29.5_NRA_model_for_NEMO2 (EMC Update) v0 30 1" xfId="229" xr:uid="{00000000-0005-0000-0000-0000E3000000}"/>
    <cellStyle name="%_NRA_model_for_NEMO2 (EMC Update) v0.19_NRA_model_for_NEMO2 (EMC Update) v0.21_NRA_model_for_NEMO2 (EMC Update) v0.29_NRA_model_for_NEMO2 (EMC Update) v0 30 1" xfId="250" xr:uid="{00000000-0005-0000-0000-0000E4000000}"/>
    <cellStyle name="%_NRA_model_for_NEMO2 (EMC Update) v0.19_NRA_model_for_NEMO2 (EMC Update) v0.21_NRA_model_for_NEMO2 (EMC Update) v0.29_NRA_model_for_NEMO2 (EMC Update) v0.29.2" xfId="230" xr:uid="{00000000-0005-0000-0000-0000E5000000}"/>
    <cellStyle name="%_NRA_model_for_NEMO2 (EMC Update) v0.19_NRA_model_for_NEMO2 (EMC Update) v0.21_NRA_model_for_NEMO2 (EMC Update) v0.29_NRA_model_for_NEMO2 (EMC Update) v0.29.2_NRA_model_for_NEMO2 (EMC Update) v0 30 1" xfId="239" xr:uid="{00000000-0005-0000-0000-0000E6000000}"/>
    <cellStyle name="%_NRA_model_for_NEMO2 (EMC Update) v0.19_NRA_model_for_NEMO2 (EMC Update) v0.21_NRA_model_for_NEMO2 (EMC Update) v0.29_NRA_model_for_NEMO2 (EMC Update) v0.29.2_NRA_model_for_NEMO2 (EMC Update) v0.29.3" xfId="231" xr:uid="{00000000-0005-0000-0000-0000E7000000}"/>
    <cellStyle name="%_NRA_model_for_NEMO2 (EMC Update) v0.19_NRA_model_for_NEMO2 (EMC Update) v0.21_NRA_model_for_NEMO2 (EMC Update) v0.29_NRA_model_for_NEMO2 (EMC Update) v0.29.2_NRA_model_for_NEMO2 (EMC Update) v0.29.3_NRA_model_for_NEMO2 (EMC Update) v0 30 1" xfId="233" xr:uid="{00000000-0005-0000-0000-0000E8000000}"/>
    <cellStyle name="%_NRA_model_for_NEMO2 (EMC Update) v0.19_NRA_model_for_NEMO2 (EMC Update) v0.21_NRA_model_for_NEMO2 (EMC Update) v0.29_NRA_model_for_NEMO2 (EMC Update) v0.29.2_NRA_model_for_NEMO2 (EMC Update) v0.29.3_NRA_model_for_NEMO2 (EMC Update) v0.29.5" xfId="232" xr:uid="{00000000-0005-0000-0000-0000E9000000}"/>
    <cellStyle name="%_NRA_model_for_NEMO2 (EMC Update) v0.19_NRA_model_for_NEMO2 (EMC Update) v0.21_NRA_model_for_NEMO2 (EMC Update) v0.29_NRA_model_for_NEMO2 (EMC Update) v0.29.2_NRA_model_for_NEMO2 (EMC Update) v0.29.4" xfId="234" xr:uid="{00000000-0005-0000-0000-0000EA000000}"/>
    <cellStyle name="%_NRA_model_for_NEMO2 (EMC Update) v0.19_NRA_model_for_NEMO2 (EMC Update) v0.21_NRA_model_for_NEMO2 (EMC Update) v0.29_NRA_model_for_NEMO2 (EMC Update) v0.29.2_NRA_model_for_NEMO2 (EMC Update) v0.29.4_NRA_model_for_NEMO2 (EMC Update) v0 30 1" xfId="236" xr:uid="{00000000-0005-0000-0000-0000EB000000}"/>
    <cellStyle name="%_NRA_model_for_NEMO2 (EMC Update) v0.19_NRA_model_for_NEMO2 (EMC Update) v0.21_NRA_model_for_NEMO2 (EMC Update) v0.29_NRA_model_for_NEMO2 (EMC Update) v0.29.2_NRA_model_for_NEMO2 (EMC Update) v0.29.4_NRA_model_for_NEMO2 (EMC Update) v0.29.5" xfId="235" xr:uid="{00000000-0005-0000-0000-0000EC000000}"/>
    <cellStyle name="%_NRA_model_for_NEMO2 (EMC Update) v0.19_NRA_model_for_NEMO2 (EMC Update) v0.21_NRA_model_for_NEMO2 (EMC Update) v0.29_NRA_model_for_NEMO2 (EMC Update) v0.29.2_NRA_model_for_NEMO2 (EMC Update) v0.29.5" xfId="237" xr:uid="{00000000-0005-0000-0000-0000ED000000}"/>
    <cellStyle name="%_NRA_model_for_NEMO2 (EMC Update) v0.19_NRA_model_for_NEMO2 (EMC Update) v0.21_NRA_model_for_NEMO2 (EMC Update) v0.29_NRA_model_for_NEMO2 (EMC Update) v0.29.2_NRA_model_for_NEMO2 (EMC Update) v0.29.5_NRA_model_for_NEMO2 (EMC Update) v0 30 1" xfId="238" xr:uid="{00000000-0005-0000-0000-0000EE000000}"/>
    <cellStyle name="%_NRA_model_for_NEMO2 (EMC Update) v0.19_NRA_model_for_NEMO2 (EMC Update) v0.21_NRA_model_for_NEMO2 (EMC Update) v0.29_NRA_model_for_NEMO2 (EMC Update) v0.29.3" xfId="240" xr:uid="{00000000-0005-0000-0000-0000EF000000}"/>
    <cellStyle name="%_NRA_model_for_NEMO2 (EMC Update) v0.19_NRA_model_for_NEMO2 (EMC Update) v0.21_NRA_model_for_NEMO2 (EMC Update) v0.29_NRA_model_for_NEMO2 (EMC Update) v0.29.3_NRA_model_for_NEMO2 (EMC Update) v0 30 1" xfId="243" xr:uid="{00000000-0005-0000-0000-0000F0000000}"/>
    <cellStyle name="%_NRA_model_for_NEMO2 (EMC Update) v0.19_NRA_model_for_NEMO2 (EMC Update) v0.21_NRA_model_for_NEMO2 (EMC Update) v0.29_NRA_model_for_NEMO2 (EMC Update) v0.29.3_NRA_model_for_NEMO2 (EMC Update) v0.29.5" xfId="241" xr:uid="{00000000-0005-0000-0000-0000F1000000}"/>
    <cellStyle name="%_NRA_model_for_NEMO2 (EMC Update) v0.19_NRA_model_for_NEMO2 (EMC Update) v0.21_NRA_model_for_NEMO2 (EMC Update) v0.29_NRA_model_for_NEMO2 (EMC Update) v0.29.3_NRA_model_for_NEMO2 (EMC Update) v0.29.5_NRA_model_for_NEMO2 (EMC Update) v0 30 1" xfId="242" xr:uid="{00000000-0005-0000-0000-0000F2000000}"/>
    <cellStyle name="%_NRA_model_for_NEMO2 (EMC Update) v0.19_NRA_model_for_NEMO2 (EMC Update) v0.21_NRA_model_for_NEMO2 (EMC Update) v0.29_NRA_model_for_NEMO2 (EMC Update) v0.29.4" xfId="244" xr:uid="{00000000-0005-0000-0000-0000F3000000}"/>
    <cellStyle name="%_NRA_model_for_NEMO2 (EMC Update) v0.19_NRA_model_for_NEMO2 (EMC Update) v0.21_NRA_model_for_NEMO2 (EMC Update) v0.29_NRA_model_for_NEMO2 (EMC Update) v0.29.4_NRA_model_for_NEMO2 (EMC Update) v0 30 1" xfId="247" xr:uid="{00000000-0005-0000-0000-0000F4000000}"/>
    <cellStyle name="%_NRA_model_for_NEMO2 (EMC Update) v0.19_NRA_model_for_NEMO2 (EMC Update) v0.21_NRA_model_for_NEMO2 (EMC Update) v0.29_NRA_model_for_NEMO2 (EMC Update) v0.29.4_NRA_model_for_NEMO2 (EMC Update) v0.29.5" xfId="245" xr:uid="{00000000-0005-0000-0000-0000F5000000}"/>
    <cellStyle name="%_NRA_model_for_NEMO2 (EMC Update) v0.19_NRA_model_for_NEMO2 (EMC Update) v0.21_NRA_model_for_NEMO2 (EMC Update) v0.29_NRA_model_for_NEMO2 (EMC Update) v0.29.4_NRA_model_for_NEMO2 (EMC Update) v0.29.5_NRA_model_for_NEMO2 (EMC Update) v0 30 1" xfId="246" xr:uid="{00000000-0005-0000-0000-0000F6000000}"/>
    <cellStyle name="%_NRA_model_for_NEMO2 (EMC Update) v0.19_NRA_model_for_NEMO2 (EMC Update) v0.21_NRA_model_for_NEMO2 (EMC Update) v0.29_NRA_model_for_NEMO2 (EMC Update) v0.29.5" xfId="248" xr:uid="{00000000-0005-0000-0000-0000F7000000}"/>
    <cellStyle name="%_NRA_model_for_NEMO2 (EMC Update) v0.19_NRA_model_for_NEMO2 (EMC Update) v0.21_NRA_model_for_NEMO2 (EMC Update) v0.29_NRA_model_for_NEMO2 (EMC Update) v0.29.5_NRA_model_for_NEMO2 (EMC Update) v0 30 1" xfId="249" xr:uid="{00000000-0005-0000-0000-0000F8000000}"/>
    <cellStyle name="%_NRA_model_for_NEMO2 (EMC Update) v0.19_NRA_model_for_NEMO2 (EMC Update) v0.22" xfId="252" xr:uid="{00000000-0005-0000-0000-0000F9000000}"/>
    <cellStyle name="%_NRA_model_for_NEMO2 (EMC Update) v0.19_NRA_model_for_NEMO2 (EMC Update) v0.22_NRA_model_for_NEMO2 (EMC Update) v0 30 1" xfId="392" xr:uid="{00000000-0005-0000-0000-0000FA000000}"/>
    <cellStyle name="%_NRA_model_for_NEMO2 (EMC Update) v0.19_NRA_model_for_NEMO2 (EMC Update) v0.22_NRA_model_for_NEMO2 (EMC Update) v0.25" xfId="253" xr:uid="{00000000-0005-0000-0000-0000FB000000}"/>
    <cellStyle name="%_NRA_model_for_NEMO2 (EMC Update) v0.19_NRA_model_for_NEMO2 (EMC Update) v0.22_NRA_model_for_NEMO2 (EMC Update) v0.25_NRA_model_for_NEMO2 (EMC Update) v0 30 1" xfId="310" xr:uid="{00000000-0005-0000-0000-0000FC000000}"/>
    <cellStyle name="%_NRA_model_for_NEMO2 (EMC Update) v0.19_NRA_model_for_NEMO2 (EMC Update) v0.22_NRA_model_for_NEMO2 (EMC Update) v0.25_NRA_model_for_NEMO2 (EMC Update) v0.26" xfId="254" xr:uid="{00000000-0005-0000-0000-0000FD000000}"/>
    <cellStyle name="%_NRA_model_for_NEMO2 (EMC Update) v0.19_NRA_model_for_NEMO2 (EMC Update) v0.22_NRA_model_for_NEMO2 (EMC Update) v0.25_NRA_model_for_NEMO2 (EMC Update) v0.26_NRA_model_for_NEMO2 (EMC Update) v0 30 1" xfId="274" xr:uid="{00000000-0005-0000-0000-0000FE000000}"/>
    <cellStyle name="%_NRA_model_for_NEMO2 (EMC Update) v0.19_NRA_model_for_NEMO2 (EMC Update) v0.22_NRA_model_for_NEMO2 (EMC Update) v0.25_NRA_model_for_NEMO2 (EMC Update) v0.26_NRA_model_for_NEMO2 (EMC Update) v0.29" xfId="255" xr:uid="{00000000-0005-0000-0000-0000FF000000}"/>
    <cellStyle name="%_NRA_model_for_NEMO2 (EMC Update) v0.19_NRA_model_for_NEMO2 (EMC Update) v0.22_NRA_model_for_NEMO2 (EMC Update) v0.25_NRA_model_for_NEMO2 (EMC Update) v0.26_NRA_model_for_NEMO2 (EMC Update) v0.29.2" xfId="256" xr:uid="{00000000-0005-0000-0000-000000010000}"/>
    <cellStyle name="%_NRA_model_for_NEMO2 (EMC Update) v0.19_NRA_model_for_NEMO2 (EMC Update) v0.22_NRA_model_for_NEMO2 (EMC Update) v0.25_NRA_model_for_NEMO2 (EMC Update) v0.26_NRA_model_for_NEMO2 (EMC Update) v0.29.2_NRA_model_for_NEMO2 (EMC Update) v0 30 1" xfId="260" xr:uid="{00000000-0005-0000-0000-000001010000}"/>
    <cellStyle name="%_NRA_model_for_NEMO2 (EMC Update) v0.19_NRA_model_for_NEMO2 (EMC Update) v0.22_NRA_model_for_NEMO2 (EMC Update) v0.25_NRA_model_for_NEMO2 (EMC Update) v0.26_NRA_model_for_NEMO2 (EMC Update) v0.29.2_NRA_model_for_NEMO2 (EMC Update) v0.29.3" xfId="257" xr:uid="{00000000-0005-0000-0000-000002010000}"/>
    <cellStyle name="%_NRA_model_for_NEMO2 (EMC Update) v0.19_NRA_model_for_NEMO2 (EMC Update) v0.22_NRA_model_for_NEMO2 (EMC Update) v0.25_NRA_model_for_NEMO2 (EMC Update) v0.26_NRA_model_for_NEMO2 (EMC Update) v0.29.2_NRA_model_for_NEMO2 (EMC Update) v0.29.4" xfId="258" xr:uid="{00000000-0005-0000-0000-000003010000}"/>
    <cellStyle name="%_NRA_model_for_NEMO2 (EMC Update) v0.19_NRA_model_for_NEMO2 (EMC Update) v0.22_NRA_model_for_NEMO2 (EMC Update) v0.25_NRA_model_for_NEMO2 (EMC Update) v0.26_NRA_model_for_NEMO2 (EMC Update) v0.29.2_NRA_model_for_NEMO2 (EMC Update) v0.29.5" xfId="259" xr:uid="{00000000-0005-0000-0000-000004010000}"/>
    <cellStyle name="%_NRA_model_for_NEMO2 (EMC Update) v0.19_NRA_model_for_NEMO2 (EMC Update) v0.22_NRA_model_for_NEMO2 (EMC Update) v0.25_NRA_model_for_NEMO2 (EMC Update) v0.26_NRA_model_for_NEMO2 (EMC Update) v0.29.3" xfId="261" xr:uid="{00000000-0005-0000-0000-000005010000}"/>
    <cellStyle name="%_NRA_model_for_NEMO2 (EMC Update) v0.19_NRA_model_for_NEMO2 (EMC Update) v0.22_NRA_model_for_NEMO2 (EMC Update) v0.25_NRA_model_for_NEMO2 (EMC Update) v0.26_NRA_model_for_NEMO2 (EMC Update) v0.29.3_NRA_model_for_NEMO2 (EMC Update) v0 30 1" xfId="263" xr:uid="{00000000-0005-0000-0000-000006010000}"/>
    <cellStyle name="%_NRA_model_for_NEMO2 (EMC Update) v0.19_NRA_model_for_NEMO2 (EMC Update) v0.22_NRA_model_for_NEMO2 (EMC Update) v0.25_NRA_model_for_NEMO2 (EMC Update) v0.26_NRA_model_for_NEMO2 (EMC Update) v0.29.3_NRA_model_for_NEMO2 (EMC Update) v0.29.5" xfId="262" xr:uid="{00000000-0005-0000-0000-000007010000}"/>
    <cellStyle name="%_NRA_model_for_NEMO2 (EMC Update) v0.19_NRA_model_for_NEMO2 (EMC Update) v0.22_NRA_model_for_NEMO2 (EMC Update) v0.25_NRA_model_for_NEMO2 (EMC Update) v0.26_NRA_model_for_NEMO2 (EMC Update) v0.29.4" xfId="264" xr:uid="{00000000-0005-0000-0000-000008010000}"/>
    <cellStyle name="%_NRA_model_for_NEMO2 (EMC Update) v0.19_NRA_model_for_NEMO2 (EMC Update) v0.22_NRA_model_for_NEMO2 (EMC Update) v0.25_NRA_model_for_NEMO2 (EMC Update) v0.26_NRA_model_for_NEMO2 (EMC Update) v0.29.4_NRA_model_for_NEMO2 (EMC Update) v0 30 1" xfId="266" xr:uid="{00000000-0005-0000-0000-000009010000}"/>
    <cellStyle name="%_NRA_model_for_NEMO2 (EMC Update) v0.19_NRA_model_for_NEMO2 (EMC Update) v0.22_NRA_model_for_NEMO2 (EMC Update) v0.25_NRA_model_for_NEMO2 (EMC Update) v0.26_NRA_model_for_NEMO2 (EMC Update) v0.29.4_NRA_model_for_NEMO2 (EMC Update) v0.29.5" xfId="265" xr:uid="{00000000-0005-0000-0000-00000A010000}"/>
    <cellStyle name="%_NRA_model_for_NEMO2 (EMC Update) v0.19_NRA_model_for_NEMO2 (EMC Update) v0.22_NRA_model_for_NEMO2 (EMC Update) v0.25_NRA_model_for_NEMO2 (EMC Update) v0.26_NRA_model_for_NEMO2 (EMC Update) v0.29.5" xfId="267" xr:uid="{00000000-0005-0000-0000-00000B010000}"/>
    <cellStyle name="%_NRA_model_for_NEMO2 (EMC Update) v0.19_NRA_model_for_NEMO2 (EMC Update) v0.22_NRA_model_for_NEMO2 (EMC Update) v0.25_NRA_model_for_NEMO2 (EMC Update) v0.26_NRA_model_for_NEMO2 (EMC Update) v0.29.5_NRA_model_for_NEMO2 (EMC Update) v0 30 1" xfId="268" xr:uid="{00000000-0005-0000-0000-00000C010000}"/>
    <cellStyle name="%_NRA_model_for_NEMO2 (EMC Update) v0.19_NRA_model_for_NEMO2 (EMC Update) v0.22_NRA_model_for_NEMO2 (EMC Update) v0.25_NRA_model_for_NEMO2 (EMC Update) v0.26_NRA_model_for_NEMO2 (EMC Update) v0.29_NRA_model_for_NEMO2 (EMC Update) v0 30 1" xfId="273" xr:uid="{00000000-0005-0000-0000-00000D010000}"/>
    <cellStyle name="%_NRA_model_for_NEMO2 (EMC Update) v0.19_NRA_model_for_NEMO2 (EMC Update) v0.22_NRA_model_for_NEMO2 (EMC Update) v0.25_NRA_model_for_NEMO2 (EMC Update) v0.26_NRA_model_for_NEMO2 (EMC Update) v0.29_NRA_model_for_NEMO2 (EMC Update) v0.29.2" xfId="269" xr:uid="{00000000-0005-0000-0000-00000E010000}"/>
    <cellStyle name="%_NRA_model_for_NEMO2 (EMC Update) v0.19_NRA_model_for_NEMO2 (EMC Update) v0.22_NRA_model_for_NEMO2 (EMC Update) v0.25_NRA_model_for_NEMO2 (EMC Update) v0.26_NRA_model_for_NEMO2 (EMC Update) v0.29_NRA_model_for_NEMO2 (EMC Update) v0.29.3" xfId="270" xr:uid="{00000000-0005-0000-0000-00000F010000}"/>
    <cellStyle name="%_NRA_model_for_NEMO2 (EMC Update) v0.19_NRA_model_for_NEMO2 (EMC Update) v0.22_NRA_model_for_NEMO2 (EMC Update) v0.25_NRA_model_for_NEMO2 (EMC Update) v0.26_NRA_model_for_NEMO2 (EMC Update) v0.29_NRA_model_for_NEMO2 (EMC Update) v0.29.4" xfId="271" xr:uid="{00000000-0005-0000-0000-000010010000}"/>
    <cellStyle name="%_NRA_model_for_NEMO2 (EMC Update) v0.19_NRA_model_for_NEMO2 (EMC Update) v0.22_NRA_model_for_NEMO2 (EMC Update) v0.25_NRA_model_for_NEMO2 (EMC Update) v0.26_NRA_model_for_NEMO2 (EMC Update) v0.29_NRA_model_for_NEMO2 (EMC Update) v0.29.5" xfId="272" xr:uid="{00000000-0005-0000-0000-000011010000}"/>
    <cellStyle name="%_NRA_model_for_NEMO2 (EMC Update) v0.19_NRA_model_for_NEMO2 (EMC Update) v0.22_NRA_model_for_NEMO2 (EMC Update) v0.25_NRA_model_for_NEMO2 (EMC Update) v0.29" xfId="275" xr:uid="{00000000-0005-0000-0000-000012010000}"/>
    <cellStyle name="%_NRA_model_for_NEMO2 (EMC Update) v0.19_NRA_model_for_NEMO2 (EMC Update) v0.22_NRA_model_for_NEMO2 (EMC Update) v0.25_NRA_model_for_NEMO2 (EMC Update) v0.29.2" xfId="276" xr:uid="{00000000-0005-0000-0000-000013010000}"/>
    <cellStyle name="%_NRA_model_for_NEMO2 (EMC Update) v0.19_NRA_model_for_NEMO2 (EMC Update) v0.22_NRA_model_for_NEMO2 (EMC Update) v0.25_NRA_model_for_NEMO2 (EMC Update) v0.29.2_NRA_model_for_NEMO2 (EMC Update) v0 30 1" xfId="285" xr:uid="{00000000-0005-0000-0000-000014010000}"/>
    <cellStyle name="%_NRA_model_for_NEMO2 (EMC Update) v0.19_NRA_model_for_NEMO2 (EMC Update) v0.22_NRA_model_for_NEMO2 (EMC Update) v0.25_NRA_model_for_NEMO2 (EMC Update) v0.29.2_NRA_model_for_NEMO2 (EMC Update) v0.29.3" xfId="277" xr:uid="{00000000-0005-0000-0000-000015010000}"/>
    <cellStyle name="%_NRA_model_for_NEMO2 (EMC Update) v0.19_NRA_model_for_NEMO2 (EMC Update) v0.22_NRA_model_for_NEMO2 (EMC Update) v0.25_NRA_model_for_NEMO2 (EMC Update) v0.29.2_NRA_model_for_NEMO2 (EMC Update) v0.29.3_NRA_model_for_NEMO2 (EMC Update) v0 30 1" xfId="279" xr:uid="{00000000-0005-0000-0000-000016010000}"/>
    <cellStyle name="%_NRA_model_for_NEMO2 (EMC Update) v0.19_NRA_model_for_NEMO2 (EMC Update) v0.22_NRA_model_for_NEMO2 (EMC Update) v0.25_NRA_model_for_NEMO2 (EMC Update) v0.29.2_NRA_model_for_NEMO2 (EMC Update) v0.29.3_NRA_model_for_NEMO2 (EMC Update) v0.29.5" xfId="278" xr:uid="{00000000-0005-0000-0000-000017010000}"/>
    <cellStyle name="%_NRA_model_for_NEMO2 (EMC Update) v0.19_NRA_model_for_NEMO2 (EMC Update) v0.22_NRA_model_for_NEMO2 (EMC Update) v0.25_NRA_model_for_NEMO2 (EMC Update) v0.29.2_NRA_model_for_NEMO2 (EMC Update) v0.29.4" xfId="280" xr:uid="{00000000-0005-0000-0000-000018010000}"/>
    <cellStyle name="%_NRA_model_for_NEMO2 (EMC Update) v0.19_NRA_model_for_NEMO2 (EMC Update) v0.22_NRA_model_for_NEMO2 (EMC Update) v0.25_NRA_model_for_NEMO2 (EMC Update) v0.29.2_NRA_model_for_NEMO2 (EMC Update) v0.29.4_NRA_model_for_NEMO2 (EMC Update) v0 30 1" xfId="282" xr:uid="{00000000-0005-0000-0000-000019010000}"/>
    <cellStyle name="%_NRA_model_for_NEMO2 (EMC Update) v0.19_NRA_model_for_NEMO2 (EMC Update) v0.22_NRA_model_for_NEMO2 (EMC Update) v0.25_NRA_model_for_NEMO2 (EMC Update) v0.29.2_NRA_model_for_NEMO2 (EMC Update) v0.29.4_NRA_model_for_NEMO2 (EMC Update) v0.29.5" xfId="281" xr:uid="{00000000-0005-0000-0000-00001A010000}"/>
    <cellStyle name="%_NRA_model_for_NEMO2 (EMC Update) v0.19_NRA_model_for_NEMO2 (EMC Update) v0.22_NRA_model_for_NEMO2 (EMC Update) v0.25_NRA_model_for_NEMO2 (EMC Update) v0.29.2_NRA_model_for_NEMO2 (EMC Update) v0.29.5" xfId="283" xr:uid="{00000000-0005-0000-0000-00001B010000}"/>
    <cellStyle name="%_NRA_model_for_NEMO2 (EMC Update) v0.19_NRA_model_for_NEMO2 (EMC Update) v0.22_NRA_model_for_NEMO2 (EMC Update) v0.25_NRA_model_for_NEMO2 (EMC Update) v0.29.2_NRA_model_for_NEMO2 (EMC Update) v0.29.5_NRA_model_for_NEMO2 (EMC Update) v0 30 1" xfId="284" xr:uid="{00000000-0005-0000-0000-00001C010000}"/>
    <cellStyle name="%_NRA_model_for_NEMO2 (EMC Update) v0.19_NRA_model_for_NEMO2 (EMC Update) v0.22_NRA_model_for_NEMO2 (EMC Update) v0.25_NRA_model_for_NEMO2 (EMC Update) v0.29.3" xfId="286" xr:uid="{00000000-0005-0000-0000-00001D010000}"/>
    <cellStyle name="%_NRA_model_for_NEMO2 (EMC Update) v0.19_NRA_model_for_NEMO2 (EMC Update) v0.22_NRA_model_for_NEMO2 (EMC Update) v0.25_NRA_model_for_NEMO2 (EMC Update) v0.29.3_NRA_model_for_NEMO2 (EMC Update) v0 30 1" xfId="289" xr:uid="{00000000-0005-0000-0000-00001E010000}"/>
    <cellStyle name="%_NRA_model_for_NEMO2 (EMC Update) v0.19_NRA_model_for_NEMO2 (EMC Update) v0.22_NRA_model_for_NEMO2 (EMC Update) v0.25_NRA_model_for_NEMO2 (EMC Update) v0.29.3_NRA_model_for_NEMO2 (EMC Update) v0.29.5" xfId="287" xr:uid="{00000000-0005-0000-0000-00001F010000}"/>
    <cellStyle name="%_NRA_model_for_NEMO2 (EMC Update) v0.19_NRA_model_for_NEMO2 (EMC Update) v0.22_NRA_model_for_NEMO2 (EMC Update) v0.25_NRA_model_for_NEMO2 (EMC Update) v0.29.3_NRA_model_for_NEMO2 (EMC Update) v0.29.5_NRA_model_for_NEMO2 (EMC Update) v0 30 1" xfId="288" xr:uid="{00000000-0005-0000-0000-000020010000}"/>
    <cellStyle name="%_NRA_model_for_NEMO2 (EMC Update) v0.19_NRA_model_for_NEMO2 (EMC Update) v0.22_NRA_model_for_NEMO2 (EMC Update) v0.25_NRA_model_for_NEMO2 (EMC Update) v0.29.4" xfId="290" xr:uid="{00000000-0005-0000-0000-000021010000}"/>
    <cellStyle name="%_NRA_model_for_NEMO2 (EMC Update) v0.19_NRA_model_for_NEMO2 (EMC Update) v0.22_NRA_model_for_NEMO2 (EMC Update) v0.25_NRA_model_for_NEMO2 (EMC Update) v0.29.4_NRA_model_for_NEMO2 (EMC Update) v0 30 1" xfId="293" xr:uid="{00000000-0005-0000-0000-000022010000}"/>
    <cellStyle name="%_NRA_model_for_NEMO2 (EMC Update) v0.19_NRA_model_for_NEMO2 (EMC Update) v0.22_NRA_model_for_NEMO2 (EMC Update) v0.25_NRA_model_for_NEMO2 (EMC Update) v0.29.4_NRA_model_for_NEMO2 (EMC Update) v0.29.5" xfId="291" xr:uid="{00000000-0005-0000-0000-000023010000}"/>
    <cellStyle name="%_NRA_model_for_NEMO2 (EMC Update) v0.19_NRA_model_for_NEMO2 (EMC Update) v0.22_NRA_model_for_NEMO2 (EMC Update) v0.25_NRA_model_for_NEMO2 (EMC Update) v0.29.4_NRA_model_for_NEMO2 (EMC Update) v0.29.5_NRA_model_for_NEMO2 (EMC Update) v0 30 1" xfId="292" xr:uid="{00000000-0005-0000-0000-000024010000}"/>
    <cellStyle name="%_NRA_model_for_NEMO2 (EMC Update) v0.19_NRA_model_for_NEMO2 (EMC Update) v0.22_NRA_model_for_NEMO2 (EMC Update) v0.25_NRA_model_for_NEMO2 (EMC Update) v0.29.5" xfId="294" xr:uid="{00000000-0005-0000-0000-000025010000}"/>
    <cellStyle name="%_NRA_model_for_NEMO2 (EMC Update) v0.19_NRA_model_for_NEMO2 (EMC Update) v0.22_NRA_model_for_NEMO2 (EMC Update) v0.25_NRA_model_for_NEMO2 (EMC Update) v0.29.5_NRA_model_for_NEMO2 (EMC Update) v0 30 1" xfId="295" xr:uid="{00000000-0005-0000-0000-000026010000}"/>
    <cellStyle name="%_NRA_model_for_NEMO2 (EMC Update) v0.19_NRA_model_for_NEMO2 (EMC Update) v0.22_NRA_model_for_NEMO2 (EMC Update) v0.25_NRA_model_for_NEMO2 (EMC Update) v0.29_NRA_model_for_NEMO2 (EMC Update) v0 30 1" xfId="309" xr:uid="{00000000-0005-0000-0000-000027010000}"/>
    <cellStyle name="%_NRA_model_for_NEMO2 (EMC Update) v0.19_NRA_model_for_NEMO2 (EMC Update) v0.22_NRA_model_for_NEMO2 (EMC Update) v0.25_NRA_model_for_NEMO2 (EMC Update) v0.29_NRA_model_for_NEMO2 (EMC Update) v0.29.2" xfId="296" xr:uid="{00000000-0005-0000-0000-000028010000}"/>
    <cellStyle name="%_NRA_model_for_NEMO2 (EMC Update) v0.19_NRA_model_for_NEMO2 (EMC Update) v0.22_NRA_model_for_NEMO2 (EMC Update) v0.25_NRA_model_for_NEMO2 (EMC Update) v0.29_NRA_model_for_NEMO2 (EMC Update) v0.29.2_NRA_model_for_NEMO2 (EMC Update) v0 30 1" xfId="300" xr:uid="{00000000-0005-0000-0000-000029010000}"/>
    <cellStyle name="%_NRA_model_for_NEMO2 (EMC Update) v0.19_NRA_model_for_NEMO2 (EMC Update) v0.22_NRA_model_for_NEMO2 (EMC Update) v0.25_NRA_model_for_NEMO2 (EMC Update) v0.29_NRA_model_for_NEMO2 (EMC Update) v0.29.2_NRA_model_for_NEMO2 (EMC Update) v0.29.3" xfId="297" xr:uid="{00000000-0005-0000-0000-00002A010000}"/>
    <cellStyle name="%_NRA_model_for_NEMO2 (EMC Update) v0.19_NRA_model_for_NEMO2 (EMC Update) v0.22_NRA_model_for_NEMO2 (EMC Update) v0.25_NRA_model_for_NEMO2 (EMC Update) v0.29_NRA_model_for_NEMO2 (EMC Update) v0.29.2_NRA_model_for_NEMO2 (EMC Update) v0.29.4" xfId="298" xr:uid="{00000000-0005-0000-0000-00002B010000}"/>
    <cellStyle name="%_NRA_model_for_NEMO2 (EMC Update) v0.19_NRA_model_for_NEMO2 (EMC Update) v0.22_NRA_model_for_NEMO2 (EMC Update) v0.25_NRA_model_for_NEMO2 (EMC Update) v0.29_NRA_model_for_NEMO2 (EMC Update) v0.29.2_NRA_model_for_NEMO2 (EMC Update) v0.29.5" xfId="299" xr:uid="{00000000-0005-0000-0000-00002C010000}"/>
    <cellStyle name="%_NRA_model_for_NEMO2 (EMC Update) v0.19_NRA_model_for_NEMO2 (EMC Update) v0.22_NRA_model_for_NEMO2 (EMC Update) v0.25_NRA_model_for_NEMO2 (EMC Update) v0.29_NRA_model_for_NEMO2 (EMC Update) v0.29.3" xfId="301" xr:uid="{00000000-0005-0000-0000-00002D010000}"/>
    <cellStyle name="%_NRA_model_for_NEMO2 (EMC Update) v0.19_NRA_model_for_NEMO2 (EMC Update) v0.22_NRA_model_for_NEMO2 (EMC Update) v0.25_NRA_model_for_NEMO2 (EMC Update) v0.29_NRA_model_for_NEMO2 (EMC Update) v0.29.3_NRA_model_for_NEMO2 (EMC Update) v0 30 1" xfId="303" xr:uid="{00000000-0005-0000-0000-00002E010000}"/>
    <cellStyle name="%_NRA_model_for_NEMO2 (EMC Update) v0.19_NRA_model_for_NEMO2 (EMC Update) v0.22_NRA_model_for_NEMO2 (EMC Update) v0.25_NRA_model_for_NEMO2 (EMC Update) v0.29_NRA_model_for_NEMO2 (EMC Update) v0.29.3_NRA_model_for_NEMO2 (EMC Update) v0.29.5" xfId="302" xr:uid="{00000000-0005-0000-0000-00002F010000}"/>
    <cellStyle name="%_NRA_model_for_NEMO2 (EMC Update) v0.19_NRA_model_for_NEMO2 (EMC Update) v0.22_NRA_model_for_NEMO2 (EMC Update) v0.25_NRA_model_for_NEMO2 (EMC Update) v0.29_NRA_model_for_NEMO2 (EMC Update) v0.29.4" xfId="304" xr:uid="{00000000-0005-0000-0000-000030010000}"/>
    <cellStyle name="%_NRA_model_for_NEMO2 (EMC Update) v0.19_NRA_model_for_NEMO2 (EMC Update) v0.22_NRA_model_for_NEMO2 (EMC Update) v0.25_NRA_model_for_NEMO2 (EMC Update) v0.29_NRA_model_for_NEMO2 (EMC Update) v0.29.4_NRA_model_for_NEMO2 (EMC Update) v0 30 1" xfId="306" xr:uid="{00000000-0005-0000-0000-000031010000}"/>
    <cellStyle name="%_NRA_model_for_NEMO2 (EMC Update) v0.19_NRA_model_for_NEMO2 (EMC Update) v0.22_NRA_model_for_NEMO2 (EMC Update) v0.25_NRA_model_for_NEMO2 (EMC Update) v0.29_NRA_model_for_NEMO2 (EMC Update) v0.29.4_NRA_model_for_NEMO2 (EMC Update) v0.29.5" xfId="305" xr:uid="{00000000-0005-0000-0000-000032010000}"/>
    <cellStyle name="%_NRA_model_for_NEMO2 (EMC Update) v0.19_NRA_model_for_NEMO2 (EMC Update) v0.22_NRA_model_for_NEMO2 (EMC Update) v0.25_NRA_model_for_NEMO2 (EMC Update) v0.29_NRA_model_for_NEMO2 (EMC Update) v0.29.5" xfId="307" xr:uid="{00000000-0005-0000-0000-000033010000}"/>
    <cellStyle name="%_NRA_model_for_NEMO2 (EMC Update) v0.19_NRA_model_for_NEMO2 (EMC Update) v0.22_NRA_model_for_NEMO2 (EMC Update) v0.25_NRA_model_for_NEMO2 (EMC Update) v0.29_NRA_model_for_NEMO2 (EMC Update) v0.29.5_NRA_model_for_NEMO2 (EMC Update) v0 30 1" xfId="308" xr:uid="{00000000-0005-0000-0000-000034010000}"/>
    <cellStyle name="%_NRA_model_for_NEMO2 (EMC Update) v0.19_NRA_model_for_NEMO2 (EMC Update) v0.22_NRA_model_for_NEMO2 (EMC Update) v0.26" xfId="311" xr:uid="{00000000-0005-0000-0000-000035010000}"/>
    <cellStyle name="%_NRA_model_for_NEMO2 (EMC Update) v0.19_NRA_model_for_NEMO2 (EMC Update) v0.22_NRA_model_for_NEMO2 (EMC Update) v0.26_NRA_model_for_NEMO2 (EMC Update) v0 30 1" xfId="347" xr:uid="{00000000-0005-0000-0000-000036010000}"/>
    <cellStyle name="%_NRA_model_for_NEMO2 (EMC Update) v0.19_NRA_model_for_NEMO2 (EMC Update) v0.22_NRA_model_for_NEMO2 (EMC Update) v0.26_NRA_model_for_NEMO2 (EMC Update) v0.29" xfId="312" xr:uid="{00000000-0005-0000-0000-000037010000}"/>
    <cellStyle name="%_NRA_model_for_NEMO2 (EMC Update) v0.19_NRA_model_for_NEMO2 (EMC Update) v0.22_NRA_model_for_NEMO2 (EMC Update) v0.26_NRA_model_for_NEMO2 (EMC Update) v0.29.2" xfId="313" xr:uid="{00000000-0005-0000-0000-000038010000}"/>
    <cellStyle name="%_NRA_model_for_NEMO2 (EMC Update) v0.19_NRA_model_for_NEMO2 (EMC Update) v0.22_NRA_model_for_NEMO2 (EMC Update) v0.26_NRA_model_for_NEMO2 (EMC Update) v0.29.2_NRA_model_for_NEMO2 (EMC Update) v0 30 1" xfId="322" xr:uid="{00000000-0005-0000-0000-000039010000}"/>
    <cellStyle name="%_NRA_model_for_NEMO2 (EMC Update) v0.19_NRA_model_for_NEMO2 (EMC Update) v0.22_NRA_model_for_NEMO2 (EMC Update) v0.26_NRA_model_for_NEMO2 (EMC Update) v0.29.2_NRA_model_for_NEMO2 (EMC Update) v0.29.3" xfId="314" xr:uid="{00000000-0005-0000-0000-00003A010000}"/>
    <cellStyle name="%_NRA_model_for_NEMO2 (EMC Update) v0.19_NRA_model_for_NEMO2 (EMC Update) v0.22_NRA_model_for_NEMO2 (EMC Update) v0.26_NRA_model_for_NEMO2 (EMC Update) v0.29.2_NRA_model_for_NEMO2 (EMC Update) v0.29.3_NRA_model_for_NEMO2 (EMC Update) v0 30 1" xfId="316" xr:uid="{00000000-0005-0000-0000-00003B010000}"/>
    <cellStyle name="%_NRA_model_for_NEMO2 (EMC Update) v0.19_NRA_model_for_NEMO2 (EMC Update) v0.22_NRA_model_for_NEMO2 (EMC Update) v0.26_NRA_model_for_NEMO2 (EMC Update) v0.29.2_NRA_model_for_NEMO2 (EMC Update) v0.29.3_NRA_model_for_NEMO2 (EMC Update) v0.29.5" xfId="315" xr:uid="{00000000-0005-0000-0000-00003C010000}"/>
    <cellStyle name="%_NRA_model_for_NEMO2 (EMC Update) v0.19_NRA_model_for_NEMO2 (EMC Update) v0.22_NRA_model_for_NEMO2 (EMC Update) v0.26_NRA_model_for_NEMO2 (EMC Update) v0.29.2_NRA_model_for_NEMO2 (EMC Update) v0.29.4" xfId="317" xr:uid="{00000000-0005-0000-0000-00003D010000}"/>
    <cellStyle name="%_NRA_model_for_NEMO2 (EMC Update) v0.19_NRA_model_for_NEMO2 (EMC Update) v0.22_NRA_model_for_NEMO2 (EMC Update) v0.26_NRA_model_for_NEMO2 (EMC Update) v0.29.2_NRA_model_for_NEMO2 (EMC Update) v0.29.4_NRA_model_for_NEMO2 (EMC Update) v0 30 1" xfId="319" xr:uid="{00000000-0005-0000-0000-00003E010000}"/>
    <cellStyle name="%_NRA_model_for_NEMO2 (EMC Update) v0.19_NRA_model_for_NEMO2 (EMC Update) v0.22_NRA_model_for_NEMO2 (EMC Update) v0.26_NRA_model_for_NEMO2 (EMC Update) v0.29.2_NRA_model_for_NEMO2 (EMC Update) v0.29.4_NRA_model_for_NEMO2 (EMC Update) v0.29.5" xfId="318" xr:uid="{00000000-0005-0000-0000-00003F010000}"/>
    <cellStyle name="%_NRA_model_for_NEMO2 (EMC Update) v0.19_NRA_model_for_NEMO2 (EMC Update) v0.22_NRA_model_for_NEMO2 (EMC Update) v0.26_NRA_model_for_NEMO2 (EMC Update) v0.29.2_NRA_model_for_NEMO2 (EMC Update) v0.29.5" xfId="320" xr:uid="{00000000-0005-0000-0000-000040010000}"/>
    <cellStyle name="%_NRA_model_for_NEMO2 (EMC Update) v0.19_NRA_model_for_NEMO2 (EMC Update) v0.22_NRA_model_for_NEMO2 (EMC Update) v0.26_NRA_model_for_NEMO2 (EMC Update) v0.29.2_NRA_model_for_NEMO2 (EMC Update) v0.29.5_NRA_model_for_NEMO2 (EMC Update) v0 30 1" xfId="321" xr:uid="{00000000-0005-0000-0000-000041010000}"/>
    <cellStyle name="%_NRA_model_for_NEMO2 (EMC Update) v0.19_NRA_model_for_NEMO2 (EMC Update) v0.22_NRA_model_for_NEMO2 (EMC Update) v0.26_NRA_model_for_NEMO2 (EMC Update) v0.29.3" xfId="323" xr:uid="{00000000-0005-0000-0000-000042010000}"/>
    <cellStyle name="%_NRA_model_for_NEMO2 (EMC Update) v0.19_NRA_model_for_NEMO2 (EMC Update) v0.22_NRA_model_for_NEMO2 (EMC Update) v0.26_NRA_model_for_NEMO2 (EMC Update) v0.29.3_NRA_model_for_NEMO2 (EMC Update) v0 30 1" xfId="326" xr:uid="{00000000-0005-0000-0000-000043010000}"/>
    <cellStyle name="%_NRA_model_for_NEMO2 (EMC Update) v0.19_NRA_model_for_NEMO2 (EMC Update) v0.22_NRA_model_for_NEMO2 (EMC Update) v0.26_NRA_model_for_NEMO2 (EMC Update) v0.29.3_NRA_model_for_NEMO2 (EMC Update) v0.29.5" xfId="324" xr:uid="{00000000-0005-0000-0000-000044010000}"/>
    <cellStyle name="%_NRA_model_for_NEMO2 (EMC Update) v0.19_NRA_model_for_NEMO2 (EMC Update) v0.22_NRA_model_for_NEMO2 (EMC Update) v0.26_NRA_model_for_NEMO2 (EMC Update) v0.29.3_NRA_model_for_NEMO2 (EMC Update) v0.29.5_NRA_model_for_NEMO2 (EMC Update) v0 30 1" xfId="325" xr:uid="{00000000-0005-0000-0000-000045010000}"/>
    <cellStyle name="%_NRA_model_for_NEMO2 (EMC Update) v0.19_NRA_model_for_NEMO2 (EMC Update) v0.22_NRA_model_for_NEMO2 (EMC Update) v0.26_NRA_model_for_NEMO2 (EMC Update) v0.29.4" xfId="327" xr:uid="{00000000-0005-0000-0000-000046010000}"/>
    <cellStyle name="%_NRA_model_for_NEMO2 (EMC Update) v0.19_NRA_model_for_NEMO2 (EMC Update) v0.22_NRA_model_for_NEMO2 (EMC Update) v0.26_NRA_model_for_NEMO2 (EMC Update) v0.29.4_NRA_model_for_NEMO2 (EMC Update) v0 30 1" xfId="330" xr:uid="{00000000-0005-0000-0000-000047010000}"/>
    <cellStyle name="%_NRA_model_for_NEMO2 (EMC Update) v0.19_NRA_model_for_NEMO2 (EMC Update) v0.22_NRA_model_for_NEMO2 (EMC Update) v0.26_NRA_model_for_NEMO2 (EMC Update) v0.29.4_NRA_model_for_NEMO2 (EMC Update) v0.29.5" xfId="328" xr:uid="{00000000-0005-0000-0000-000048010000}"/>
    <cellStyle name="%_NRA_model_for_NEMO2 (EMC Update) v0.19_NRA_model_for_NEMO2 (EMC Update) v0.22_NRA_model_for_NEMO2 (EMC Update) v0.26_NRA_model_for_NEMO2 (EMC Update) v0.29.4_NRA_model_for_NEMO2 (EMC Update) v0.29.5_NRA_model_for_NEMO2 (EMC Update) v0 30 1" xfId="329" xr:uid="{00000000-0005-0000-0000-000049010000}"/>
    <cellStyle name="%_NRA_model_for_NEMO2 (EMC Update) v0.19_NRA_model_for_NEMO2 (EMC Update) v0.22_NRA_model_for_NEMO2 (EMC Update) v0.26_NRA_model_for_NEMO2 (EMC Update) v0.29.5" xfId="331" xr:uid="{00000000-0005-0000-0000-00004A010000}"/>
    <cellStyle name="%_NRA_model_for_NEMO2 (EMC Update) v0.19_NRA_model_for_NEMO2 (EMC Update) v0.22_NRA_model_for_NEMO2 (EMC Update) v0.26_NRA_model_for_NEMO2 (EMC Update) v0.29.5_NRA_model_for_NEMO2 (EMC Update) v0 30 1" xfId="332" xr:uid="{00000000-0005-0000-0000-00004B010000}"/>
    <cellStyle name="%_NRA_model_for_NEMO2 (EMC Update) v0.19_NRA_model_for_NEMO2 (EMC Update) v0.22_NRA_model_for_NEMO2 (EMC Update) v0.26_NRA_model_for_NEMO2 (EMC Update) v0.29_NRA_model_for_NEMO2 (EMC Update) v0 30 1" xfId="346" xr:uid="{00000000-0005-0000-0000-00004C010000}"/>
    <cellStyle name="%_NRA_model_for_NEMO2 (EMC Update) v0.19_NRA_model_for_NEMO2 (EMC Update) v0.22_NRA_model_for_NEMO2 (EMC Update) v0.26_NRA_model_for_NEMO2 (EMC Update) v0.29_NRA_model_for_NEMO2 (EMC Update) v0.29.2" xfId="333" xr:uid="{00000000-0005-0000-0000-00004D010000}"/>
    <cellStyle name="%_NRA_model_for_NEMO2 (EMC Update) v0.19_NRA_model_for_NEMO2 (EMC Update) v0.22_NRA_model_for_NEMO2 (EMC Update) v0.26_NRA_model_for_NEMO2 (EMC Update) v0.29_NRA_model_for_NEMO2 (EMC Update) v0.29.2_NRA_model_for_NEMO2 (EMC Update) v0 30 1" xfId="337" xr:uid="{00000000-0005-0000-0000-00004E010000}"/>
    <cellStyle name="%_NRA_model_for_NEMO2 (EMC Update) v0.19_NRA_model_for_NEMO2 (EMC Update) v0.22_NRA_model_for_NEMO2 (EMC Update) v0.26_NRA_model_for_NEMO2 (EMC Update) v0.29_NRA_model_for_NEMO2 (EMC Update) v0.29.2_NRA_model_for_NEMO2 (EMC Update) v0.29.3" xfId="334" xr:uid="{00000000-0005-0000-0000-00004F010000}"/>
    <cellStyle name="%_NRA_model_for_NEMO2 (EMC Update) v0.19_NRA_model_for_NEMO2 (EMC Update) v0.22_NRA_model_for_NEMO2 (EMC Update) v0.26_NRA_model_for_NEMO2 (EMC Update) v0.29_NRA_model_for_NEMO2 (EMC Update) v0.29.2_NRA_model_for_NEMO2 (EMC Update) v0.29.4" xfId="335" xr:uid="{00000000-0005-0000-0000-000050010000}"/>
    <cellStyle name="%_NRA_model_for_NEMO2 (EMC Update) v0.19_NRA_model_for_NEMO2 (EMC Update) v0.22_NRA_model_for_NEMO2 (EMC Update) v0.26_NRA_model_for_NEMO2 (EMC Update) v0.29_NRA_model_for_NEMO2 (EMC Update) v0.29.2_NRA_model_for_NEMO2 (EMC Update) v0.29.5" xfId="336" xr:uid="{00000000-0005-0000-0000-000051010000}"/>
    <cellStyle name="%_NRA_model_for_NEMO2 (EMC Update) v0.19_NRA_model_for_NEMO2 (EMC Update) v0.22_NRA_model_for_NEMO2 (EMC Update) v0.26_NRA_model_for_NEMO2 (EMC Update) v0.29_NRA_model_for_NEMO2 (EMC Update) v0.29.3" xfId="338" xr:uid="{00000000-0005-0000-0000-000052010000}"/>
    <cellStyle name="%_NRA_model_for_NEMO2 (EMC Update) v0.19_NRA_model_for_NEMO2 (EMC Update) v0.22_NRA_model_for_NEMO2 (EMC Update) v0.26_NRA_model_for_NEMO2 (EMC Update) v0.29_NRA_model_for_NEMO2 (EMC Update) v0.29.3_NRA_model_for_NEMO2 (EMC Update) v0 30 1" xfId="340" xr:uid="{00000000-0005-0000-0000-000053010000}"/>
    <cellStyle name="%_NRA_model_for_NEMO2 (EMC Update) v0.19_NRA_model_for_NEMO2 (EMC Update) v0.22_NRA_model_for_NEMO2 (EMC Update) v0.26_NRA_model_for_NEMO2 (EMC Update) v0.29_NRA_model_for_NEMO2 (EMC Update) v0.29.3_NRA_model_for_NEMO2 (EMC Update) v0.29.5" xfId="339" xr:uid="{00000000-0005-0000-0000-000054010000}"/>
    <cellStyle name="%_NRA_model_for_NEMO2 (EMC Update) v0.19_NRA_model_for_NEMO2 (EMC Update) v0.22_NRA_model_for_NEMO2 (EMC Update) v0.26_NRA_model_for_NEMO2 (EMC Update) v0.29_NRA_model_for_NEMO2 (EMC Update) v0.29.4" xfId="341" xr:uid="{00000000-0005-0000-0000-000055010000}"/>
    <cellStyle name="%_NRA_model_for_NEMO2 (EMC Update) v0.19_NRA_model_for_NEMO2 (EMC Update) v0.22_NRA_model_for_NEMO2 (EMC Update) v0.26_NRA_model_for_NEMO2 (EMC Update) v0.29_NRA_model_for_NEMO2 (EMC Update) v0.29.4_NRA_model_for_NEMO2 (EMC Update) v0 30 1" xfId="343" xr:uid="{00000000-0005-0000-0000-000056010000}"/>
    <cellStyle name="%_NRA_model_for_NEMO2 (EMC Update) v0.19_NRA_model_for_NEMO2 (EMC Update) v0.22_NRA_model_for_NEMO2 (EMC Update) v0.26_NRA_model_for_NEMO2 (EMC Update) v0.29_NRA_model_for_NEMO2 (EMC Update) v0.29.4_NRA_model_for_NEMO2 (EMC Update) v0.29.5" xfId="342" xr:uid="{00000000-0005-0000-0000-000057010000}"/>
    <cellStyle name="%_NRA_model_for_NEMO2 (EMC Update) v0.19_NRA_model_for_NEMO2 (EMC Update) v0.22_NRA_model_for_NEMO2 (EMC Update) v0.26_NRA_model_for_NEMO2 (EMC Update) v0.29_NRA_model_for_NEMO2 (EMC Update) v0.29.5" xfId="344" xr:uid="{00000000-0005-0000-0000-000058010000}"/>
    <cellStyle name="%_NRA_model_for_NEMO2 (EMC Update) v0.19_NRA_model_for_NEMO2 (EMC Update) v0.22_NRA_model_for_NEMO2 (EMC Update) v0.26_NRA_model_for_NEMO2 (EMC Update) v0.29_NRA_model_for_NEMO2 (EMC Update) v0.29.5_NRA_model_for_NEMO2 (EMC Update) v0 30 1" xfId="345" xr:uid="{00000000-0005-0000-0000-000059010000}"/>
    <cellStyle name="%_NRA_model_for_NEMO2 (EMC Update) v0.19_NRA_model_for_NEMO2 (EMC Update) v0.22_NRA_model_for_NEMO2 (EMC Update) v0.29" xfId="348" xr:uid="{00000000-0005-0000-0000-00005A010000}"/>
    <cellStyle name="%_NRA_model_for_NEMO2 (EMC Update) v0.19_NRA_model_for_NEMO2 (EMC Update) v0.22_NRA_model_for_NEMO2 (EMC Update) v0.29.2" xfId="349" xr:uid="{00000000-0005-0000-0000-00005B010000}"/>
    <cellStyle name="%_NRA_model_for_NEMO2 (EMC Update) v0.19_NRA_model_for_NEMO2 (EMC Update) v0.22_NRA_model_for_NEMO2 (EMC Update) v0.29.2_NRA_model_for_NEMO2 (EMC Update) v0 30 1" xfId="360" xr:uid="{00000000-0005-0000-0000-00005C010000}"/>
    <cellStyle name="%_NRA_model_for_NEMO2 (EMC Update) v0.19_NRA_model_for_NEMO2 (EMC Update) v0.22_NRA_model_for_NEMO2 (EMC Update) v0.29.2_NRA_model_for_NEMO2 (EMC Update) v0.29.3" xfId="350" xr:uid="{00000000-0005-0000-0000-00005D010000}"/>
    <cellStyle name="%_NRA_model_for_NEMO2 (EMC Update) v0.19_NRA_model_for_NEMO2 (EMC Update) v0.22_NRA_model_for_NEMO2 (EMC Update) v0.29.2_NRA_model_for_NEMO2 (EMC Update) v0.29.3_NRA_model_for_NEMO2 (EMC Update) v0 30 1" xfId="353" xr:uid="{00000000-0005-0000-0000-00005E010000}"/>
    <cellStyle name="%_NRA_model_for_NEMO2 (EMC Update) v0.19_NRA_model_for_NEMO2 (EMC Update) v0.22_NRA_model_for_NEMO2 (EMC Update) v0.29.2_NRA_model_for_NEMO2 (EMC Update) v0.29.3_NRA_model_for_NEMO2 (EMC Update) v0.29.5" xfId="351" xr:uid="{00000000-0005-0000-0000-00005F010000}"/>
    <cellStyle name="%_NRA_model_for_NEMO2 (EMC Update) v0.19_NRA_model_for_NEMO2 (EMC Update) v0.22_NRA_model_for_NEMO2 (EMC Update) v0.29.2_NRA_model_for_NEMO2 (EMC Update) v0.29.3_NRA_model_for_NEMO2 (EMC Update) v0.29.5_NRA_model_for_NEMO2 (EMC Update) v0 30 1" xfId="352" xr:uid="{00000000-0005-0000-0000-000060010000}"/>
    <cellStyle name="%_NRA_model_for_NEMO2 (EMC Update) v0.19_NRA_model_for_NEMO2 (EMC Update) v0.22_NRA_model_for_NEMO2 (EMC Update) v0.29.2_NRA_model_for_NEMO2 (EMC Update) v0.29.4" xfId="354" xr:uid="{00000000-0005-0000-0000-000061010000}"/>
    <cellStyle name="%_NRA_model_for_NEMO2 (EMC Update) v0.19_NRA_model_for_NEMO2 (EMC Update) v0.22_NRA_model_for_NEMO2 (EMC Update) v0.29.2_NRA_model_for_NEMO2 (EMC Update) v0.29.4_NRA_model_for_NEMO2 (EMC Update) v0 30 1" xfId="357" xr:uid="{00000000-0005-0000-0000-000062010000}"/>
    <cellStyle name="%_NRA_model_for_NEMO2 (EMC Update) v0.19_NRA_model_for_NEMO2 (EMC Update) v0.22_NRA_model_for_NEMO2 (EMC Update) v0.29.2_NRA_model_for_NEMO2 (EMC Update) v0.29.4_NRA_model_for_NEMO2 (EMC Update) v0.29.5" xfId="355" xr:uid="{00000000-0005-0000-0000-000063010000}"/>
    <cellStyle name="%_NRA_model_for_NEMO2 (EMC Update) v0.19_NRA_model_for_NEMO2 (EMC Update) v0.22_NRA_model_for_NEMO2 (EMC Update) v0.29.2_NRA_model_for_NEMO2 (EMC Update) v0.29.4_NRA_model_for_NEMO2 (EMC Update) v0.29.5_NRA_model_for_NEMO2 (EMC Update) v0 30 1" xfId="356" xr:uid="{00000000-0005-0000-0000-000064010000}"/>
    <cellStyle name="%_NRA_model_for_NEMO2 (EMC Update) v0.19_NRA_model_for_NEMO2 (EMC Update) v0.22_NRA_model_for_NEMO2 (EMC Update) v0.29.2_NRA_model_for_NEMO2 (EMC Update) v0.29.5" xfId="358" xr:uid="{00000000-0005-0000-0000-000065010000}"/>
    <cellStyle name="%_NRA_model_for_NEMO2 (EMC Update) v0.19_NRA_model_for_NEMO2 (EMC Update) v0.22_NRA_model_for_NEMO2 (EMC Update) v0.29.2_NRA_model_for_NEMO2 (EMC Update) v0.29.5_NRA_model_for_NEMO2 (EMC Update) v0 30 1" xfId="359" xr:uid="{00000000-0005-0000-0000-000066010000}"/>
    <cellStyle name="%_NRA_model_for_NEMO2 (EMC Update) v0.19_NRA_model_for_NEMO2 (EMC Update) v0.22_NRA_model_for_NEMO2 (EMC Update) v0.29.3" xfId="361" xr:uid="{00000000-0005-0000-0000-000067010000}"/>
    <cellStyle name="%_NRA_model_for_NEMO2 (EMC Update) v0.19_NRA_model_for_NEMO2 (EMC Update) v0.22_NRA_model_for_NEMO2 (EMC Update) v0.29.3_NRA_model_for_NEMO2 (EMC Update) v0 30 1" xfId="364" xr:uid="{00000000-0005-0000-0000-000068010000}"/>
    <cellStyle name="%_NRA_model_for_NEMO2 (EMC Update) v0.19_NRA_model_for_NEMO2 (EMC Update) v0.22_NRA_model_for_NEMO2 (EMC Update) v0.29.3_NRA_model_for_NEMO2 (EMC Update) v0.29.5" xfId="362" xr:uid="{00000000-0005-0000-0000-000069010000}"/>
    <cellStyle name="%_NRA_model_for_NEMO2 (EMC Update) v0.19_NRA_model_for_NEMO2 (EMC Update) v0.22_NRA_model_for_NEMO2 (EMC Update) v0.29.3_NRA_model_for_NEMO2 (EMC Update) v0.29.5_NRA_model_for_NEMO2 (EMC Update) v0 30 1" xfId="363" xr:uid="{00000000-0005-0000-0000-00006A010000}"/>
    <cellStyle name="%_NRA_model_for_NEMO2 (EMC Update) v0.19_NRA_model_for_NEMO2 (EMC Update) v0.22_NRA_model_for_NEMO2 (EMC Update) v0.29.4" xfId="365" xr:uid="{00000000-0005-0000-0000-00006B010000}"/>
    <cellStyle name="%_NRA_model_for_NEMO2 (EMC Update) v0.19_NRA_model_for_NEMO2 (EMC Update) v0.22_NRA_model_for_NEMO2 (EMC Update) v0.29.4_NRA_model_for_NEMO2 (EMC Update) v0 30 1" xfId="368" xr:uid="{00000000-0005-0000-0000-00006C010000}"/>
    <cellStyle name="%_NRA_model_for_NEMO2 (EMC Update) v0.19_NRA_model_for_NEMO2 (EMC Update) v0.22_NRA_model_for_NEMO2 (EMC Update) v0.29.4_NRA_model_for_NEMO2 (EMC Update) v0.29.5" xfId="366" xr:uid="{00000000-0005-0000-0000-00006D010000}"/>
    <cellStyle name="%_NRA_model_for_NEMO2 (EMC Update) v0.19_NRA_model_for_NEMO2 (EMC Update) v0.22_NRA_model_for_NEMO2 (EMC Update) v0.29.4_NRA_model_for_NEMO2 (EMC Update) v0.29.5_NRA_model_for_NEMO2 (EMC Update) v0 30 1" xfId="367" xr:uid="{00000000-0005-0000-0000-00006E010000}"/>
    <cellStyle name="%_NRA_model_for_NEMO2 (EMC Update) v0.19_NRA_model_for_NEMO2 (EMC Update) v0.22_NRA_model_for_NEMO2 (EMC Update) v0.29.5" xfId="369" xr:uid="{00000000-0005-0000-0000-00006F010000}"/>
    <cellStyle name="%_NRA_model_for_NEMO2 (EMC Update) v0.19_NRA_model_for_NEMO2 (EMC Update) v0.22_NRA_model_for_NEMO2 (EMC Update) v0.29.5_NRA_model_for_NEMO2 (EMC Update) v0 30 1" xfId="370" xr:uid="{00000000-0005-0000-0000-000070010000}"/>
    <cellStyle name="%_NRA_model_for_NEMO2 (EMC Update) v0.19_NRA_model_for_NEMO2 (EMC Update) v0.22_NRA_model_for_NEMO2 (EMC Update) v0.29_NRA_model_for_NEMO2 (EMC Update) v0 30 1" xfId="391" xr:uid="{00000000-0005-0000-0000-000071010000}"/>
    <cellStyle name="%_NRA_model_for_NEMO2 (EMC Update) v0.19_NRA_model_for_NEMO2 (EMC Update) v0.22_NRA_model_for_NEMO2 (EMC Update) v0.29_NRA_model_for_NEMO2 (EMC Update) v0.29.2" xfId="371" xr:uid="{00000000-0005-0000-0000-000072010000}"/>
    <cellStyle name="%_NRA_model_for_NEMO2 (EMC Update) v0.19_NRA_model_for_NEMO2 (EMC Update) v0.22_NRA_model_for_NEMO2 (EMC Update) v0.29_NRA_model_for_NEMO2 (EMC Update) v0.29.2_NRA_model_for_NEMO2 (EMC Update) v0 30 1" xfId="380" xr:uid="{00000000-0005-0000-0000-000073010000}"/>
    <cellStyle name="%_NRA_model_for_NEMO2 (EMC Update) v0.19_NRA_model_for_NEMO2 (EMC Update) v0.22_NRA_model_for_NEMO2 (EMC Update) v0.29_NRA_model_for_NEMO2 (EMC Update) v0.29.2_NRA_model_for_NEMO2 (EMC Update) v0.29.3" xfId="372" xr:uid="{00000000-0005-0000-0000-000074010000}"/>
    <cellStyle name="%_NRA_model_for_NEMO2 (EMC Update) v0.19_NRA_model_for_NEMO2 (EMC Update) v0.22_NRA_model_for_NEMO2 (EMC Update) v0.29_NRA_model_for_NEMO2 (EMC Update) v0.29.2_NRA_model_for_NEMO2 (EMC Update) v0.29.3_NRA_model_for_NEMO2 (EMC Update) v0 30 1" xfId="374" xr:uid="{00000000-0005-0000-0000-000075010000}"/>
    <cellStyle name="%_NRA_model_for_NEMO2 (EMC Update) v0.19_NRA_model_for_NEMO2 (EMC Update) v0.22_NRA_model_for_NEMO2 (EMC Update) v0.29_NRA_model_for_NEMO2 (EMC Update) v0.29.2_NRA_model_for_NEMO2 (EMC Update) v0.29.3_NRA_model_for_NEMO2 (EMC Update) v0.29.5" xfId="373" xr:uid="{00000000-0005-0000-0000-000076010000}"/>
    <cellStyle name="%_NRA_model_for_NEMO2 (EMC Update) v0.19_NRA_model_for_NEMO2 (EMC Update) v0.22_NRA_model_for_NEMO2 (EMC Update) v0.29_NRA_model_for_NEMO2 (EMC Update) v0.29.2_NRA_model_for_NEMO2 (EMC Update) v0.29.4" xfId="375" xr:uid="{00000000-0005-0000-0000-000077010000}"/>
    <cellStyle name="%_NRA_model_for_NEMO2 (EMC Update) v0.19_NRA_model_for_NEMO2 (EMC Update) v0.22_NRA_model_for_NEMO2 (EMC Update) v0.29_NRA_model_for_NEMO2 (EMC Update) v0.29.2_NRA_model_for_NEMO2 (EMC Update) v0.29.4_NRA_model_for_NEMO2 (EMC Update) v0 30 1" xfId="377" xr:uid="{00000000-0005-0000-0000-000078010000}"/>
    <cellStyle name="%_NRA_model_for_NEMO2 (EMC Update) v0.19_NRA_model_for_NEMO2 (EMC Update) v0.22_NRA_model_for_NEMO2 (EMC Update) v0.29_NRA_model_for_NEMO2 (EMC Update) v0.29.2_NRA_model_for_NEMO2 (EMC Update) v0.29.4_NRA_model_for_NEMO2 (EMC Update) v0.29.5" xfId="376" xr:uid="{00000000-0005-0000-0000-000079010000}"/>
    <cellStyle name="%_NRA_model_for_NEMO2 (EMC Update) v0.19_NRA_model_for_NEMO2 (EMC Update) v0.22_NRA_model_for_NEMO2 (EMC Update) v0.29_NRA_model_for_NEMO2 (EMC Update) v0.29.2_NRA_model_for_NEMO2 (EMC Update) v0.29.5" xfId="378" xr:uid="{00000000-0005-0000-0000-00007A010000}"/>
    <cellStyle name="%_NRA_model_for_NEMO2 (EMC Update) v0.19_NRA_model_for_NEMO2 (EMC Update) v0.22_NRA_model_for_NEMO2 (EMC Update) v0.29_NRA_model_for_NEMO2 (EMC Update) v0.29.2_NRA_model_for_NEMO2 (EMC Update) v0.29.5_NRA_model_for_NEMO2 (EMC Update) v0 30 1" xfId="379" xr:uid="{00000000-0005-0000-0000-00007B010000}"/>
    <cellStyle name="%_NRA_model_for_NEMO2 (EMC Update) v0.19_NRA_model_for_NEMO2 (EMC Update) v0.22_NRA_model_for_NEMO2 (EMC Update) v0.29_NRA_model_for_NEMO2 (EMC Update) v0.29.3" xfId="381" xr:uid="{00000000-0005-0000-0000-00007C010000}"/>
    <cellStyle name="%_NRA_model_for_NEMO2 (EMC Update) v0.19_NRA_model_for_NEMO2 (EMC Update) v0.22_NRA_model_for_NEMO2 (EMC Update) v0.29_NRA_model_for_NEMO2 (EMC Update) v0.29.3_NRA_model_for_NEMO2 (EMC Update) v0 30 1" xfId="384" xr:uid="{00000000-0005-0000-0000-00007D010000}"/>
    <cellStyle name="%_NRA_model_for_NEMO2 (EMC Update) v0.19_NRA_model_for_NEMO2 (EMC Update) v0.22_NRA_model_for_NEMO2 (EMC Update) v0.29_NRA_model_for_NEMO2 (EMC Update) v0.29.3_NRA_model_for_NEMO2 (EMC Update) v0.29.5" xfId="382" xr:uid="{00000000-0005-0000-0000-00007E010000}"/>
    <cellStyle name="%_NRA_model_for_NEMO2 (EMC Update) v0.19_NRA_model_for_NEMO2 (EMC Update) v0.22_NRA_model_for_NEMO2 (EMC Update) v0.29_NRA_model_for_NEMO2 (EMC Update) v0.29.3_NRA_model_for_NEMO2 (EMC Update) v0.29.5_NRA_model_for_NEMO2 (EMC Update) v0 30 1" xfId="383" xr:uid="{00000000-0005-0000-0000-00007F010000}"/>
    <cellStyle name="%_NRA_model_for_NEMO2 (EMC Update) v0.19_NRA_model_for_NEMO2 (EMC Update) v0.22_NRA_model_for_NEMO2 (EMC Update) v0.29_NRA_model_for_NEMO2 (EMC Update) v0.29.4" xfId="385" xr:uid="{00000000-0005-0000-0000-000080010000}"/>
    <cellStyle name="%_NRA_model_for_NEMO2 (EMC Update) v0.19_NRA_model_for_NEMO2 (EMC Update) v0.22_NRA_model_for_NEMO2 (EMC Update) v0.29_NRA_model_for_NEMO2 (EMC Update) v0.29.4_NRA_model_for_NEMO2 (EMC Update) v0 30 1" xfId="388" xr:uid="{00000000-0005-0000-0000-000081010000}"/>
    <cellStyle name="%_NRA_model_for_NEMO2 (EMC Update) v0.19_NRA_model_for_NEMO2 (EMC Update) v0.22_NRA_model_for_NEMO2 (EMC Update) v0.29_NRA_model_for_NEMO2 (EMC Update) v0.29.4_NRA_model_for_NEMO2 (EMC Update) v0.29.5" xfId="386" xr:uid="{00000000-0005-0000-0000-000082010000}"/>
    <cellStyle name="%_NRA_model_for_NEMO2 (EMC Update) v0.19_NRA_model_for_NEMO2 (EMC Update) v0.22_NRA_model_for_NEMO2 (EMC Update) v0.29_NRA_model_for_NEMO2 (EMC Update) v0.29.4_NRA_model_for_NEMO2 (EMC Update) v0.29.5_NRA_model_for_NEMO2 (EMC Update) v0 30 1" xfId="387" xr:uid="{00000000-0005-0000-0000-000083010000}"/>
    <cellStyle name="%_NRA_model_for_NEMO2 (EMC Update) v0.19_NRA_model_for_NEMO2 (EMC Update) v0.22_NRA_model_for_NEMO2 (EMC Update) v0.29_NRA_model_for_NEMO2 (EMC Update) v0.29.5" xfId="389" xr:uid="{00000000-0005-0000-0000-000084010000}"/>
    <cellStyle name="%_NRA_model_for_NEMO2 (EMC Update) v0.19_NRA_model_for_NEMO2 (EMC Update) v0.22_NRA_model_for_NEMO2 (EMC Update) v0.29_NRA_model_for_NEMO2 (EMC Update) v0.29.5_NRA_model_for_NEMO2 (EMC Update) v0 30 1" xfId="390" xr:uid="{00000000-0005-0000-0000-000085010000}"/>
    <cellStyle name="%_NRA_model_for_NEMO2 (EMC Update) v0.19_NRA_model_for_NEMO2 (EMC Update) v0.25" xfId="393" xr:uid="{00000000-0005-0000-0000-000086010000}"/>
    <cellStyle name="%_NRA_model_for_NEMO2 (EMC Update) v0.19_NRA_model_for_NEMO2 (EMC Update) v0.25_NRA_model_for_NEMO2 (EMC Update) v0 30 1" xfId="475" xr:uid="{00000000-0005-0000-0000-000087010000}"/>
    <cellStyle name="%_NRA_model_for_NEMO2 (EMC Update) v0.19_NRA_model_for_NEMO2 (EMC Update) v0.25_NRA_model_for_NEMO2 (EMC Update) v0.26" xfId="394" xr:uid="{00000000-0005-0000-0000-000088010000}"/>
    <cellStyle name="%_NRA_model_for_NEMO2 (EMC Update) v0.19_NRA_model_for_NEMO2 (EMC Update) v0.25_NRA_model_for_NEMO2 (EMC Update) v0.26_NRA_model_for_NEMO2 (EMC Update) v0 30 1" xfId="430" xr:uid="{00000000-0005-0000-0000-000089010000}"/>
    <cellStyle name="%_NRA_model_for_NEMO2 (EMC Update) v0.19_NRA_model_for_NEMO2 (EMC Update) v0.25_NRA_model_for_NEMO2 (EMC Update) v0.26_NRA_model_for_NEMO2 (EMC Update) v0.29" xfId="395" xr:uid="{00000000-0005-0000-0000-00008A010000}"/>
    <cellStyle name="%_NRA_model_for_NEMO2 (EMC Update) v0.19_NRA_model_for_NEMO2 (EMC Update) v0.25_NRA_model_for_NEMO2 (EMC Update) v0.26_NRA_model_for_NEMO2 (EMC Update) v0.29.2" xfId="396" xr:uid="{00000000-0005-0000-0000-00008B010000}"/>
    <cellStyle name="%_NRA_model_for_NEMO2 (EMC Update) v0.19_NRA_model_for_NEMO2 (EMC Update) v0.25_NRA_model_for_NEMO2 (EMC Update) v0.26_NRA_model_for_NEMO2 (EMC Update) v0.29.2_NRA_model_for_NEMO2 (EMC Update) v0 30 1" xfId="405" xr:uid="{00000000-0005-0000-0000-00008C010000}"/>
    <cellStyle name="%_NRA_model_for_NEMO2 (EMC Update) v0.19_NRA_model_for_NEMO2 (EMC Update) v0.25_NRA_model_for_NEMO2 (EMC Update) v0.26_NRA_model_for_NEMO2 (EMC Update) v0.29.2_NRA_model_for_NEMO2 (EMC Update) v0.29.3" xfId="397" xr:uid="{00000000-0005-0000-0000-00008D010000}"/>
    <cellStyle name="%_NRA_model_for_NEMO2 (EMC Update) v0.19_NRA_model_for_NEMO2 (EMC Update) v0.25_NRA_model_for_NEMO2 (EMC Update) v0.26_NRA_model_for_NEMO2 (EMC Update) v0.29.2_NRA_model_for_NEMO2 (EMC Update) v0.29.3_NRA_model_for_NEMO2 (EMC Update) v0 30 1" xfId="399" xr:uid="{00000000-0005-0000-0000-00008E010000}"/>
    <cellStyle name="%_NRA_model_for_NEMO2 (EMC Update) v0.19_NRA_model_for_NEMO2 (EMC Update) v0.25_NRA_model_for_NEMO2 (EMC Update) v0.26_NRA_model_for_NEMO2 (EMC Update) v0.29.2_NRA_model_for_NEMO2 (EMC Update) v0.29.3_NRA_model_for_NEMO2 (EMC Update) v0.29.5" xfId="398" xr:uid="{00000000-0005-0000-0000-00008F010000}"/>
    <cellStyle name="%_NRA_model_for_NEMO2 (EMC Update) v0.19_NRA_model_for_NEMO2 (EMC Update) v0.25_NRA_model_for_NEMO2 (EMC Update) v0.26_NRA_model_for_NEMO2 (EMC Update) v0.29.2_NRA_model_for_NEMO2 (EMC Update) v0.29.4" xfId="400" xr:uid="{00000000-0005-0000-0000-000090010000}"/>
    <cellStyle name="%_NRA_model_for_NEMO2 (EMC Update) v0.19_NRA_model_for_NEMO2 (EMC Update) v0.25_NRA_model_for_NEMO2 (EMC Update) v0.26_NRA_model_for_NEMO2 (EMC Update) v0.29.2_NRA_model_for_NEMO2 (EMC Update) v0.29.4_NRA_model_for_NEMO2 (EMC Update) v0 30 1" xfId="402" xr:uid="{00000000-0005-0000-0000-000091010000}"/>
    <cellStyle name="%_NRA_model_for_NEMO2 (EMC Update) v0.19_NRA_model_for_NEMO2 (EMC Update) v0.25_NRA_model_for_NEMO2 (EMC Update) v0.26_NRA_model_for_NEMO2 (EMC Update) v0.29.2_NRA_model_for_NEMO2 (EMC Update) v0.29.4_NRA_model_for_NEMO2 (EMC Update) v0.29.5" xfId="401" xr:uid="{00000000-0005-0000-0000-000092010000}"/>
    <cellStyle name="%_NRA_model_for_NEMO2 (EMC Update) v0.19_NRA_model_for_NEMO2 (EMC Update) v0.25_NRA_model_for_NEMO2 (EMC Update) v0.26_NRA_model_for_NEMO2 (EMC Update) v0.29.2_NRA_model_for_NEMO2 (EMC Update) v0.29.5" xfId="403" xr:uid="{00000000-0005-0000-0000-000093010000}"/>
    <cellStyle name="%_NRA_model_for_NEMO2 (EMC Update) v0.19_NRA_model_for_NEMO2 (EMC Update) v0.25_NRA_model_for_NEMO2 (EMC Update) v0.26_NRA_model_for_NEMO2 (EMC Update) v0.29.2_NRA_model_for_NEMO2 (EMC Update) v0.29.5_NRA_model_for_NEMO2 (EMC Update) v0 30 1" xfId="404" xr:uid="{00000000-0005-0000-0000-000094010000}"/>
    <cellStyle name="%_NRA_model_for_NEMO2 (EMC Update) v0.19_NRA_model_for_NEMO2 (EMC Update) v0.25_NRA_model_for_NEMO2 (EMC Update) v0.26_NRA_model_for_NEMO2 (EMC Update) v0.29.3" xfId="406" xr:uid="{00000000-0005-0000-0000-000095010000}"/>
    <cellStyle name="%_NRA_model_for_NEMO2 (EMC Update) v0.19_NRA_model_for_NEMO2 (EMC Update) v0.25_NRA_model_for_NEMO2 (EMC Update) v0.26_NRA_model_for_NEMO2 (EMC Update) v0.29.3_NRA_model_for_NEMO2 (EMC Update) v0 30 1" xfId="409" xr:uid="{00000000-0005-0000-0000-000096010000}"/>
    <cellStyle name="%_NRA_model_for_NEMO2 (EMC Update) v0.19_NRA_model_for_NEMO2 (EMC Update) v0.25_NRA_model_for_NEMO2 (EMC Update) v0.26_NRA_model_for_NEMO2 (EMC Update) v0.29.3_NRA_model_for_NEMO2 (EMC Update) v0.29.5" xfId="407" xr:uid="{00000000-0005-0000-0000-000097010000}"/>
    <cellStyle name="%_NRA_model_for_NEMO2 (EMC Update) v0.19_NRA_model_for_NEMO2 (EMC Update) v0.25_NRA_model_for_NEMO2 (EMC Update) v0.26_NRA_model_for_NEMO2 (EMC Update) v0.29.3_NRA_model_for_NEMO2 (EMC Update) v0.29.5_NRA_model_for_NEMO2 (EMC Update) v0 30 1" xfId="408" xr:uid="{00000000-0005-0000-0000-000098010000}"/>
    <cellStyle name="%_NRA_model_for_NEMO2 (EMC Update) v0.19_NRA_model_for_NEMO2 (EMC Update) v0.25_NRA_model_for_NEMO2 (EMC Update) v0.26_NRA_model_for_NEMO2 (EMC Update) v0.29.4" xfId="410" xr:uid="{00000000-0005-0000-0000-000099010000}"/>
    <cellStyle name="%_NRA_model_for_NEMO2 (EMC Update) v0.19_NRA_model_for_NEMO2 (EMC Update) v0.25_NRA_model_for_NEMO2 (EMC Update) v0.26_NRA_model_for_NEMO2 (EMC Update) v0.29.4_NRA_model_for_NEMO2 (EMC Update) v0 30 1" xfId="413" xr:uid="{00000000-0005-0000-0000-00009A010000}"/>
    <cellStyle name="%_NRA_model_for_NEMO2 (EMC Update) v0.19_NRA_model_for_NEMO2 (EMC Update) v0.25_NRA_model_for_NEMO2 (EMC Update) v0.26_NRA_model_for_NEMO2 (EMC Update) v0.29.4_NRA_model_for_NEMO2 (EMC Update) v0.29.5" xfId="411" xr:uid="{00000000-0005-0000-0000-00009B010000}"/>
    <cellStyle name="%_NRA_model_for_NEMO2 (EMC Update) v0.19_NRA_model_for_NEMO2 (EMC Update) v0.25_NRA_model_for_NEMO2 (EMC Update) v0.26_NRA_model_for_NEMO2 (EMC Update) v0.29.4_NRA_model_for_NEMO2 (EMC Update) v0.29.5_NRA_model_for_NEMO2 (EMC Update) v0 30 1" xfId="412" xr:uid="{00000000-0005-0000-0000-00009C010000}"/>
    <cellStyle name="%_NRA_model_for_NEMO2 (EMC Update) v0.19_NRA_model_for_NEMO2 (EMC Update) v0.25_NRA_model_for_NEMO2 (EMC Update) v0.26_NRA_model_for_NEMO2 (EMC Update) v0.29.5" xfId="414" xr:uid="{00000000-0005-0000-0000-00009D010000}"/>
    <cellStyle name="%_NRA_model_for_NEMO2 (EMC Update) v0.19_NRA_model_for_NEMO2 (EMC Update) v0.25_NRA_model_for_NEMO2 (EMC Update) v0.26_NRA_model_for_NEMO2 (EMC Update) v0.29.5_NRA_model_for_NEMO2 (EMC Update) v0 30 1" xfId="415" xr:uid="{00000000-0005-0000-0000-00009E010000}"/>
    <cellStyle name="%_NRA_model_for_NEMO2 (EMC Update) v0.19_NRA_model_for_NEMO2 (EMC Update) v0.25_NRA_model_for_NEMO2 (EMC Update) v0.26_NRA_model_for_NEMO2 (EMC Update) v0.29_NRA_model_for_NEMO2 (EMC Update) v0 30 1" xfId="429" xr:uid="{00000000-0005-0000-0000-00009F010000}"/>
    <cellStyle name="%_NRA_model_for_NEMO2 (EMC Update) v0.19_NRA_model_for_NEMO2 (EMC Update) v0.25_NRA_model_for_NEMO2 (EMC Update) v0.26_NRA_model_for_NEMO2 (EMC Update) v0.29_NRA_model_for_NEMO2 (EMC Update) v0.29.2" xfId="416" xr:uid="{00000000-0005-0000-0000-0000A0010000}"/>
    <cellStyle name="%_NRA_model_for_NEMO2 (EMC Update) v0.19_NRA_model_for_NEMO2 (EMC Update) v0.25_NRA_model_for_NEMO2 (EMC Update) v0.26_NRA_model_for_NEMO2 (EMC Update) v0.29_NRA_model_for_NEMO2 (EMC Update) v0.29.2_NRA_model_for_NEMO2 (EMC Update) v0 30 1" xfId="420" xr:uid="{00000000-0005-0000-0000-0000A1010000}"/>
    <cellStyle name="%_NRA_model_for_NEMO2 (EMC Update) v0.19_NRA_model_for_NEMO2 (EMC Update) v0.25_NRA_model_for_NEMO2 (EMC Update) v0.26_NRA_model_for_NEMO2 (EMC Update) v0.29_NRA_model_for_NEMO2 (EMC Update) v0.29.2_NRA_model_for_NEMO2 (EMC Update) v0.29.3" xfId="417" xr:uid="{00000000-0005-0000-0000-0000A2010000}"/>
    <cellStyle name="%_NRA_model_for_NEMO2 (EMC Update) v0.19_NRA_model_for_NEMO2 (EMC Update) v0.25_NRA_model_for_NEMO2 (EMC Update) v0.26_NRA_model_for_NEMO2 (EMC Update) v0.29_NRA_model_for_NEMO2 (EMC Update) v0.29.2_NRA_model_for_NEMO2 (EMC Update) v0.29.4" xfId="418" xr:uid="{00000000-0005-0000-0000-0000A3010000}"/>
    <cellStyle name="%_NRA_model_for_NEMO2 (EMC Update) v0.19_NRA_model_for_NEMO2 (EMC Update) v0.25_NRA_model_for_NEMO2 (EMC Update) v0.26_NRA_model_for_NEMO2 (EMC Update) v0.29_NRA_model_for_NEMO2 (EMC Update) v0.29.2_NRA_model_for_NEMO2 (EMC Update) v0.29.5" xfId="419" xr:uid="{00000000-0005-0000-0000-0000A4010000}"/>
    <cellStyle name="%_NRA_model_for_NEMO2 (EMC Update) v0.19_NRA_model_for_NEMO2 (EMC Update) v0.25_NRA_model_for_NEMO2 (EMC Update) v0.26_NRA_model_for_NEMO2 (EMC Update) v0.29_NRA_model_for_NEMO2 (EMC Update) v0.29.3" xfId="421" xr:uid="{00000000-0005-0000-0000-0000A5010000}"/>
    <cellStyle name="%_NRA_model_for_NEMO2 (EMC Update) v0.19_NRA_model_for_NEMO2 (EMC Update) v0.25_NRA_model_for_NEMO2 (EMC Update) v0.26_NRA_model_for_NEMO2 (EMC Update) v0.29_NRA_model_for_NEMO2 (EMC Update) v0.29.3_NRA_model_for_NEMO2 (EMC Update) v0 30 1" xfId="423" xr:uid="{00000000-0005-0000-0000-0000A6010000}"/>
    <cellStyle name="%_NRA_model_for_NEMO2 (EMC Update) v0.19_NRA_model_for_NEMO2 (EMC Update) v0.25_NRA_model_for_NEMO2 (EMC Update) v0.26_NRA_model_for_NEMO2 (EMC Update) v0.29_NRA_model_for_NEMO2 (EMC Update) v0.29.3_NRA_model_for_NEMO2 (EMC Update) v0.29.5" xfId="422" xr:uid="{00000000-0005-0000-0000-0000A7010000}"/>
    <cellStyle name="%_NRA_model_for_NEMO2 (EMC Update) v0.19_NRA_model_for_NEMO2 (EMC Update) v0.25_NRA_model_for_NEMO2 (EMC Update) v0.26_NRA_model_for_NEMO2 (EMC Update) v0.29_NRA_model_for_NEMO2 (EMC Update) v0.29.4" xfId="424" xr:uid="{00000000-0005-0000-0000-0000A8010000}"/>
    <cellStyle name="%_NRA_model_for_NEMO2 (EMC Update) v0.19_NRA_model_for_NEMO2 (EMC Update) v0.25_NRA_model_for_NEMO2 (EMC Update) v0.26_NRA_model_for_NEMO2 (EMC Update) v0.29_NRA_model_for_NEMO2 (EMC Update) v0.29.4_NRA_model_for_NEMO2 (EMC Update) v0 30 1" xfId="426" xr:uid="{00000000-0005-0000-0000-0000A9010000}"/>
    <cellStyle name="%_NRA_model_for_NEMO2 (EMC Update) v0.19_NRA_model_for_NEMO2 (EMC Update) v0.25_NRA_model_for_NEMO2 (EMC Update) v0.26_NRA_model_for_NEMO2 (EMC Update) v0.29_NRA_model_for_NEMO2 (EMC Update) v0.29.4_NRA_model_for_NEMO2 (EMC Update) v0.29.5" xfId="425" xr:uid="{00000000-0005-0000-0000-0000AA010000}"/>
    <cellStyle name="%_NRA_model_for_NEMO2 (EMC Update) v0.19_NRA_model_for_NEMO2 (EMC Update) v0.25_NRA_model_for_NEMO2 (EMC Update) v0.26_NRA_model_for_NEMO2 (EMC Update) v0.29_NRA_model_for_NEMO2 (EMC Update) v0.29.5" xfId="427" xr:uid="{00000000-0005-0000-0000-0000AB010000}"/>
    <cellStyle name="%_NRA_model_for_NEMO2 (EMC Update) v0.19_NRA_model_for_NEMO2 (EMC Update) v0.25_NRA_model_for_NEMO2 (EMC Update) v0.26_NRA_model_for_NEMO2 (EMC Update) v0.29_NRA_model_for_NEMO2 (EMC Update) v0.29.5_NRA_model_for_NEMO2 (EMC Update) v0 30 1" xfId="428" xr:uid="{00000000-0005-0000-0000-0000AC010000}"/>
    <cellStyle name="%_NRA_model_for_NEMO2 (EMC Update) v0.19_NRA_model_for_NEMO2 (EMC Update) v0.25_NRA_model_for_NEMO2 (EMC Update) v0.29" xfId="431" xr:uid="{00000000-0005-0000-0000-0000AD010000}"/>
    <cellStyle name="%_NRA_model_for_NEMO2 (EMC Update) v0.19_NRA_model_for_NEMO2 (EMC Update) v0.25_NRA_model_for_NEMO2 (EMC Update) v0.29.2" xfId="432" xr:uid="{00000000-0005-0000-0000-0000AE010000}"/>
    <cellStyle name="%_NRA_model_for_NEMO2 (EMC Update) v0.19_NRA_model_for_NEMO2 (EMC Update) v0.25_NRA_model_for_NEMO2 (EMC Update) v0.29.2_NRA_model_for_NEMO2 (EMC Update) v0 30 1" xfId="443" xr:uid="{00000000-0005-0000-0000-0000AF010000}"/>
    <cellStyle name="%_NRA_model_for_NEMO2 (EMC Update) v0.19_NRA_model_for_NEMO2 (EMC Update) v0.25_NRA_model_for_NEMO2 (EMC Update) v0.29.2_NRA_model_for_NEMO2 (EMC Update) v0.29.3" xfId="433" xr:uid="{00000000-0005-0000-0000-0000B0010000}"/>
    <cellStyle name="%_NRA_model_for_NEMO2 (EMC Update) v0.19_NRA_model_for_NEMO2 (EMC Update) v0.25_NRA_model_for_NEMO2 (EMC Update) v0.29.2_NRA_model_for_NEMO2 (EMC Update) v0.29.3_NRA_model_for_NEMO2 (EMC Update) v0 30 1" xfId="436" xr:uid="{00000000-0005-0000-0000-0000B1010000}"/>
    <cellStyle name="%_NRA_model_for_NEMO2 (EMC Update) v0.19_NRA_model_for_NEMO2 (EMC Update) v0.25_NRA_model_for_NEMO2 (EMC Update) v0.29.2_NRA_model_for_NEMO2 (EMC Update) v0.29.3_NRA_model_for_NEMO2 (EMC Update) v0.29.5" xfId="434" xr:uid="{00000000-0005-0000-0000-0000B2010000}"/>
    <cellStyle name="%_NRA_model_for_NEMO2 (EMC Update) v0.19_NRA_model_for_NEMO2 (EMC Update) v0.25_NRA_model_for_NEMO2 (EMC Update) v0.29.2_NRA_model_for_NEMO2 (EMC Update) v0.29.3_NRA_model_for_NEMO2 (EMC Update) v0.29.5_NRA_model_for_NEMO2 (EMC Update) v0 30 1" xfId="435" xr:uid="{00000000-0005-0000-0000-0000B3010000}"/>
    <cellStyle name="%_NRA_model_for_NEMO2 (EMC Update) v0.19_NRA_model_for_NEMO2 (EMC Update) v0.25_NRA_model_for_NEMO2 (EMC Update) v0.29.2_NRA_model_for_NEMO2 (EMC Update) v0.29.4" xfId="437" xr:uid="{00000000-0005-0000-0000-0000B4010000}"/>
    <cellStyle name="%_NRA_model_for_NEMO2 (EMC Update) v0.19_NRA_model_for_NEMO2 (EMC Update) v0.25_NRA_model_for_NEMO2 (EMC Update) v0.29.2_NRA_model_for_NEMO2 (EMC Update) v0.29.4_NRA_model_for_NEMO2 (EMC Update) v0 30 1" xfId="440" xr:uid="{00000000-0005-0000-0000-0000B5010000}"/>
    <cellStyle name="%_NRA_model_for_NEMO2 (EMC Update) v0.19_NRA_model_for_NEMO2 (EMC Update) v0.25_NRA_model_for_NEMO2 (EMC Update) v0.29.2_NRA_model_for_NEMO2 (EMC Update) v0.29.4_NRA_model_for_NEMO2 (EMC Update) v0.29.5" xfId="438" xr:uid="{00000000-0005-0000-0000-0000B6010000}"/>
    <cellStyle name="%_NRA_model_for_NEMO2 (EMC Update) v0.19_NRA_model_for_NEMO2 (EMC Update) v0.25_NRA_model_for_NEMO2 (EMC Update) v0.29.2_NRA_model_for_NEMO2 (EMC Update) v0.29.4_NRA_model_for_NEMO2 (EMC Update) v0.29.5_NRA_model_for_NEMO2 (EMC Update) v0 30 1" xfId="439" xr:uid="{00000000-0005-0000-0000-0000B7010000}"/>
    <cellStyle name="%_NRA_model_for_NEMO2 (EMC Update) v0.19_NRA_model_for_NEMO2 (EMC Update) v0.25_NRA_model_for_NEMO2 (EMC Update) v0.29.2_NRA_model_for_NEMO2 (EMC Update) v0.29.5" xfId="441" xr:uid="{00000000-0005-0000-0000-0000B8010000}"/>
    <cellStyle name="%_NRA_model_for_NEMO2 (EMC Update) v0.19_NRA_model_for_NEMO2 (EMC Update) v0.25_NRA_model_for_NEMO2 (EMC Update) v0.29.2_NRA_model_for_NEMO2 (EMC Update) v0.29.5_NRA_model_for_NEMO2 (EMC Update) v0 30 1" xfId="442" xr:uid="{00000000-0005-0000-0000-0000B9010000}"/>
    <cellStyle name="%_NRA_model_for_NEMO2 (EMC Update) v0.19_NRA_model_for_NEMO2 (EMC Update) v0.25_NRA_model_for_NEMO2 (EMC Update) v0.29.3" xfId="444" xr:uid="{00000000-0005-0000-0000-0000BA010000}"/>
    <cellStyle name="%_NRA_model_for_NEMO2 (EMC Update) v0.19_NRA_model_for_NEMO2 (EMC Update) v0.25_NRA_model_for_NEMO2 (EMC Update) v0.29.3_NRA_model_for_NEMO2 (EMC Update) v0 30 1" xfId="447" xr:uid="{00000000-0005-0000-0000-0000BB010000}"/>
    <cellStyle name="%_NRA_model_for_NEMO2 (EMC Update) v0.19_NRA_model_for_NEMO2 (EMC Update) v0.25_NRA_model_for_NEMO2 (EMC Update) v0.29.3_NRA_model_for_NEMO2 (EMC Update) v0.29.5" xfId="445" xr:uid="{00000000-0005-0000-0000-0000BC010000}"/>
    <cellStyle name="%_NRA_model_for_NEMO2 (EMC Update) v0.19_NRA_model_for_NEMO2 (EMC Update) v0.25_NRA_model_for_NEMO2 (EMC Update) v0.29.3_NRA_model_for_NEMO2 (EMC Update) v0.29.5_NRA_model_for_NEMO2 (EMC Update) v0 30 1" xfId="446" xr:uid="{00000000-0005-0000-0000-0000BD010000}"/>
    <cellStyle name="%_NRA_model_for_NEMO2 (EMC Update) v0.19_NRA_model_for_NEMO2 (EMC Update) v0.25_NRA_model_for_NEMO2 (EMC Update) v0.29.4" xfId="448" xr:uid="{00000000-0005-0000-0000-0000BE010000}"/>
    <cellStyle name="%_NRA_model_for_NEMO2 (EMC Update) v0.19_NRA_model_for_NEMO2 (EMC Update) v0.25_NRA_model_for_NEMO2 (EMC Update) v0.29.4_NRA_model_for_NEMO2 (EMC Update) v0 30 1" xfId="451" xr:uid="{00000000-0005-0000-0000-0000BF010000}"/>
    <cellStyle name="%_NRA_model_for_NEMO2 (EMC Update) v0.19_NRA_model_for_NEMO2 (EMC Update) v0.25_NRA_model_for_NEMO2 (EMC Update) v0.29.4_NRA_model_for_NEMO2 (EMC Update) v0.29.5" xfId="449" xr:uid="{00000000-0005-0000-0000-0000C0010000}"/>
    <cellStyle name="%_NRA_model_for_NEMO2 (EMC Update) v0.19_NRA_model_for_NEMO2 (EMC Update) v0.25_NRA_model_for_NEMO2 (EMC Update) v0.29.4_NRA_model_for_NEMO2 (EMC Update) v0.29.5_NRA_model_for_NEMO2 (EMC Update) v0 30 1" xfId="450" xr:uid="{00000000-0005-0000-0000-0000C1010000}"/>
    <cellStyle name="%_NRA_model_for_NEMO2 (EMC Update) v0.19_NRA_model_for_NEMO2 (EMC Update) v0.25_NRA_model_for_NEMO2 (EMC Update) v0.29.5" xfId="452" xr:uid="{00000000-0005-0000-0000-0000C2010000}"/>
    <cellStyle name="%_NRA_model_for_NEMO2 (EMC Update) v0.19_NRA_model_for_NEMO2 (EMC Update) v0.25_NRA_model_for_NEMO2 (EMC Update) v0.29.5_NRA_model_for_NEMO2 (EMC Update) v0 30 1" xfId="453" xr:uid="{00000000-0005-0000-0000-0000C3010000}"/>
    <cellStyle name="%_NRA_model_for_NEMO2 (EMC Update) v0.19_NRA_model_for_NEMO2 (EMC Update) v0.25_NRA_model_for_NEMO2 (EMC Update) v0.29_NRA_model_for_NEMO2 (EMC Update) v0 30 1" xfId="474" xr:uid="{00000000-0005-0000-0000-0000C4010000}"/>
    <cellStyle name="%_NRA_model_for_NEMO2 (EMC Update) v0.19_NRA_model_for_NEMO2 (EMC Update) v0.25_NRA_model_for_NEMO2 (EMC Update) v0.29_NRA_model_for_NEMO2 (EMC Update) v0.29.2" xfId="454" xr:uid="{00000000-0005-0000-0000-0000C5010000}"/>
    <cellStyle name="%_NRA_model_for_NEMO2 (EMC Update) v0.19_NRA_model_for_NEMO2 (EMC Update) v0.25_NRA_model_for_NEMO2 (EMC Update) v0.29_NRA_model_for_NEMO2 (EMC Update) v0.29.2_NRA_model_for_NEMO2 (EMC Update) v0 30 1" xfId="463" xr:uid="{00000000-0005-0000-0000-0000C6010000}"/>
    <cellStyle name="%_NRA_model_for_NEMO2 (EMC Update) v0.19_NRA_model_for_NEMO2 (EMC Update) v0.25_NRA_model_for_NEMO2 (EMC Update) v0.29_NRA_model_for_NEMO2 (EMC Update) v0.29.2_NRA_model_for_NEMO2 (EMC Update) v0.29.3" xfId="455" xr:uid="{00000000-0005-0000-0000-0000C7010000}"/>
    <cellStyle name="%_NRA_model_for_NEMO2 (EMC Update) v0.19_NRA_model_for_NEMO2 (EMC Update) v0.25_NRA_model_for_NEMO2 (EMC Update) v0.29_NRA_model_for_NEMO2 (EMC Update) v0.29.2_NRA_model_for_NEMO2 (EMC Update) v0.29.3_NRA_model_for_NEMO2 (EMC Update) v0 30 1" xfId="457" xr:uid="{00000000-0005-0000-0000-0000C8010000}"/>
    <cellStyle name="%_NRA_model_for_NEMO2 (EMC Update) v0.19_NRA_model_for_NEMO2 (EMC Update) v0.25_NRA_model_for_NEMO2 (EMC Update) v0.29_NRA_model_for_NEMO2 (EMC Update) v0.29.2_NRA_model_for_NEMO2 (EMC Update) v0.29.3_NRA_model_for_NEMO2 (EMC Update) v0.29.5" xfId="456" xr:uid="{00000000-0005-0000-0000-0000C9010000}"/>
    <cellStyle name="%_NRA_model_for_NEMO2 (EMC Update) v0.19_NRA_model_for_NEMO2 (EMC Update) v0.25_NRA_model_for_NEMO2 (EMC Update) v0.29_NRA_model_for_NEMO2 (EMC Update) v0.29.2_NRA_model_for_NEMO2 (EMC Update) v0.29.4" xfId="458" xr:uid="{00000000-0005-0000-0000-0000CA010000}"/>
    <cellStyle name="%_NRA_model_for_NEMO2 (EMC Update) v0.19_NRA_model_for_NEMO2 (EMC Update) v0.25_NRA_model_for_NEMO2 (EMC Update) v0.29_NRA_model_for_NEMO2 (EMC Update) v0.29.2_NRA_model_for_NEMO2 (EMC Update) v0.29.4_NRA_model_for_NEMO2 (EMC Update) v0 30 1" xfId="460" xr:uid="{00000000-0005-0000-0000-0000CB010000}"/>
    <cellStyle name="%_NRA_model_for_NEMO2 (EMC Update) v0.19_NRA_model_for_NEMO2 (EMC Update) v0.25_NRA_model_for_NEMO2 (EMC Update) v0.29_NRA_model_for_NEMO2 (EMC Update) v0.29.2_NRA_model_for_NEMO2 (EMC Update) v0.29.4_NRA_model_for_NEMO2 (EMC Update) v0.29.5" xfId="459" xr:uid="{00000000-0005-0000-0000-0000CC010000}"/>
    <cellStyle name="%_NRA_model_for_NEMO2 (EMC Update) v0.19_NRA_model_for_NEMO2 (EMC Update) v0.25_NRA_model_for_NEMO2 (EMC Update) v0.29_NRA_model_for_NEMO2 (EMC Update) v0.29.2_NRA_model_for_NEMO2 (EMC Update) v0.29.5" xfId="461" xr:uid="{00000000-0005-0000-0000-0000CD010000}"/>
    <cellStyle name="%_NRA_model_for_NEMO2 (EMC Update) v0.19_NRA_model_for_NEMO2 (EMC Update) v0.25_NRA_model_for_NEMO2 (EMC Update) v0.29_NRA_model_for_NEMO2 (EMC Update) v0.29.2_NRA_model_for_NEMO2 (EMC Update) v0.29.5_NRA_model_for_NEMO2 (EMC Update) v0 30 1" xfId="462" xr:uid="{00000000-0005-0000-0000-0000CE010000}"/>
    <cellStyle name="%_NRA_model_for_NEMO2 (EMC Update) v0.19_NRA_model_for_NEMO2 (EMC Update) v0.25_NRA_model_for_NEMO2 (EMC Update) v0.29_NRA_model_for_NEMO2 (EMC Update) v0.29.3" xfId="464" xr:uid="{00000000-0005-0000-0000-0000CF010000}"/>
    <cellStyle name="%_NRA_model_for_NEMO2 (EMC Update) v0.19_NRA_model_for_NEMO2 (EMC Update) v0.25_NRA_model_for_NEMO2 (EMC Update) v0.29_NRA_model_for_NEMO2 (EMC Update) v0.29.3_NRA_model_for_NEMO2 (EMC Update) v0 30 1" xfId="467" xr:uid="{00000000-0005-0000-0000-0000D0010000}"/>
    <cellStyle name="%_NRA_model_for_NEMO2 (EMC Update) v0.19_NRA_model_for_NEMO2 (EMC Update) v0.25_NRA_model_for_NEMO2 (EMC Update) v0.29_NRA_model_for_NEMO2 (EMC Update) v0.29.3_NRA_model_for_NEMO2 (EMC Update) v0.29.5" xfId="465" xr:uid="{00000000-0005-0000-0000-0000D1010000}"/>
    <cellStyle name="%_NRA_model_for_NEMO2 (EMC Update) v0.19_NRA_model_for_NEMO2 (EMC Update) v0.25_NRA_model_for_NEMO2 (EMC Update) v0.29_NRA_model_for_NEMO2 (EMC Update) v0.29.3_NRA_model_for_NEMO2 (EMC Update) v0.29.5_NRA_model_for_NEMO2 (EMC Update) v0 30 1" xfId="466" xr:uid="{00000000-0005-0000-0000-0000D2010000}"/>
    <cellStyle name="%_NRA_model_for_NEMO2 (EMC Update) v0.19_NRA_model_for_NEMO2 (EMC Update) v0.25_NRA_model_for_NEMO2 (EMC Update) v0.29_NRA_model_for_NEMO2 (EMC Update) v0.29.4" xfId="468" xr:uid="{00000000-0005-0000-0000-0000D3010000}"/>
    <cellStyle name="%_NRA_model_for_NEMO2 (EMC Update) v0.19_NRA_model_for_NEMO2 (EMC Update) v0.25_NRA_model_for_NEMO2 (EMC Update) v0.29_NRA_model_for_NEMO2 (EMC Update) v0.29.4_NRA_model_for_NEMO2 (EMC Update) v0 30 1" xfId="471" xr:uid="{00000000-0005-0000-0000-0000D4010000}"/>
    <cellStyle name="%_NRA_model_for_NEMO2 (EMC Update) v0.19_NRA_model_for_NEMO2 (EMC Update) v0.25_NRA_model_for_NEMO2 (EMC Update) v0.29_NRA_model_for_NEMO2 (EMC Update) v0.29.4_NRA_model_for_NEMO2 (EMC Update) v0.29.5" xfId="469" xr:uid="{00000000-0005-0000-0000-0000D5010000}"/>
    <cellStyle name="%_NRA_model_for_NEMO2 (EMC Update) v0.19_NRA_model_for_NEMO2 (EMC Update) v0.25_NRA_model_for_NEMO2 (EMC Update) v0.29_NRA_model_for_NEMO2 (EMC Update) v0.29.4_NRA_model_for_NEMO2 (EMC Update) v0.29.5_NRA_model_for_NEMO2 (EMC Update) v0 30 1" xfId="470" xr:uid="{00000000-0005-0000-0000-0000D6010000}"/>
    <cellStyle name="%_NRA_model_for_NEMO2 (EMC Update) v0.19_NRA_model_for_NEMO2 (EMC Update) v0.25_NRA_model_for_NEMO2 (EMC Update) v0.29_NRA_model_for_NEMO2 (EMC Update) v0.29.5" xfId="472" xr:uid="{00000000-0005-0000-0000-0000D7010000}"/>
    <cellStyle name="%_NRA_model_for_NEMO2 (EMC Update) v0.19_NRA_model_for_NEMO2 (EMC Update) v0.25_NRA_model_for_NEMO2 (EMC Update) v0.29_NRA_model_for_NEMO2 (EMC Update) v0.29.5_NRA_model_for_NEMO2 (EMC Update) v0 30 1" xfId="473" xr:uid="{00000000-0005-0000-0000-0000D8010000}"/>
    <cellStyle name="%_NRA_model_for_NEMO2 (EMC Update) v0.19_NRA_model_for_NEMO2 (EMC Update) v0.26" xfId="476" xr:uid="{00000000-0005-0000-0000-0000D9010000}"/>
    <cellStyle name="%_NRA_model_for_NEMO2 (EMC Update) v0.19_NRA_model_for_NEMO2 (EMC Update) v0.26_NRA_model_for_NEMO2 (EMC Update) v0 30 1" xfId="521" xr:uid="{00000000-0005-0000-0000-0000DA010000}"/>
    <cellStyle name="%_NRA_model_for_NEMO2 (EMC Update) v0.19_NRA_model_for_NEMO2 (EMC Update) v0.26_NRA_model_for_NEMO2 (EMC Update) v0.29" xfId="477" xr:uid="{00000000-0005-0000-0000-0000DB010000}"/>
    <cellStyle name="%_NRA_model_for_NEMO2 (EMC Update) v0.19_NRA_model_for_NEMO2 (EMC Update) v0.26_NRA_model_for_NEMO2 (EMC Update) v0.29.2" xfId="478" xr:uid="{00000000-0005-0000-0000-0000DC010000}"/>
    <cellStyle name="%_NRA_model_for_NEMO2 (EMC Update) v0.19_NRA_model_for_NEMO2 (EMC Update) v0.26_NRA_model_for_NEMO2 (EMC Update) v0.29.2_NRA_model_for_NEMO2 (EMC Update) v0 30 1" xfId="489" xr:uid="{00000000-0005-0000-0000-0000DD010000}"/>
    <cellStyle name="%_NRA_model_for_NEMO2 (EMC Update) v0.19_NRA_model_for_NEMO2 (EMC Update) v0.26_NRA_model_for_NEMO2 (EMC Update) v0.29.2_NRA_model_for_NEMO2 (EMC Update) v0.29.3" xfId="479" xr:uid="{00000000-0005-0000-0000-0000DE010000}"/>
    <cellStyle name="%_NRA_model_for_NEMO2 (EMC Update) v0.19_NRA_model_for_NEMO2 (EMC Update) v0.26_NRA_model_for_NEMO2 (EMC Update) v0.29.2_NRA_model_for_NEMO2 (EMC Update) v0.29.3_NRA_model_for_NEMO2 (EMC Update) v0 30 1" xfId="482" xr:uid="{00000000-0005-0000-0000-0000DF010000}"/>
    <cellStyle name="%_NRA_model_for_NEMO2 (EMC Update) v0.19_NRA_model_for_NEMO2 (EMC Update) v0.26_NRA_model_for_NEMO2 (EMC Update) v0.29.2_NRA_model_for_NEMO2 (EMC Update) v0.29.3_NRA_model_for_NEMO2 (EMC Update) v0.29.5" xfId="480" xr:uid="{00000000-0005-0000-0000-0000E0010000}"/>
    <cellStyle name="%_NRA_model_for_NEMO2 (EMC Update) v0.19_NRA_model_for_NEMO2 (EMC Update) v0.26_NRA_model_for_NEMO2 (EMC Update) v0.29.2_NRA_model_for_NEMO2 (EMC Update) v0.29.3_NRA_model_for_NEMO2 (EMC Update) v0.29.5_NRA_model_for_NEMO2 (EMC Update) v0 30 1" xfId="481" xr:uid="{00000000-0005-0000-0000-0000E1010000}"/>
    <cellStyle name="%_NRA_model_for_NEMO2 (EMC Update) v0.19_NRA_model_for_NEMO2 (EMC Update) v0.26_NRA_model_for_NEMO2 (EMC Update) v0.29.2_NRA_model_for_NEMO2 (EMC Update) v0.29.4" xfId="483" xr:uid="{00000000-0005-0000-0000-0000E2010000}"/>
    <cellStyle name="%_NRA_model_for_NEMO2 (EMC Update) v0.19_NRA_model_for_NEMO2 (EMC Update) v0.26_NRA_model_for_NEMO2 (EMC Update) v0.29.2_NRA_model_for_NEMO2 (EMC Update) v0.29.4_NRA_model_for_NEMO2 (EMC Update) v0 30 1" xfId="486" xr:uid="{00000000-0005-0000-0000-0000E3010000}"/>
    <cellStyle name="%_NRA_model_for_NEMO2 (EMC Update) v0.19_NRA_model_for_NEMO2 (EMC Update) v0.26_NRA_model_for_NEMO2 (EMC Update) v0.29.2_NRA_model_for_NEMO2 (EMC Update) v0.29.4_NRA_model_for_NEMO2 (EMC Update) v0.29.5" xfId="484" xr:uid="{00000000-0005-0000-0000-0000E4010000}"/>
    <cellStyle name="%_NRA_model_for_NEMO2 (EMC Update) v0.19_NRA_model_for_NEMO2 (EMC Update) v0.26_NRA_model_for_NEMO2 (EMC Update) v0.29.2_NRA_model_for_NEMO2 (EMC Update) v0.29.4_NRA_model_for_NEMO2 (EMC Update) v0.29.5_NRA_model_for_NEMO2 (EMC Update) v0 30 1" xfId="485" xr:uid="{00000000-0005-0000-0000-0000E5010000}"/>
    <cellStyle name="%_NRA_model_for_NEMO2 (EMC Update) v0.19_NRA_model_for_NEMO2 (EMC Update) v0.26_NRA_model_for_NEMO2 (EMC Update) v0.29.2_NRA_model_for_NEMO2 (EMC Update) v0.29.5" xfId="487" xr:uid="{00000000-0005-0000-0000-0000E6010000}"/>
    <cellStyle name="%_NRA_model_for_NEMO2 (EMC Update) v0.19_NRA_model_for_NEMO2 (EMC Update) v0.26_NRA_model_for_NEMO2 (EMC Update) v0.29.2_NRA_model_for_NEMO2 (EMC Update) v0.29.5_NRA_model_for_NEMO2 (EMC Update) v0 30 1" xfId="488" xr:uid="{00000000-0005-0000-0000-0000E7010000}"/>
    <cellStyle name="%_NRA_model_for_NEMO2 (EMC Update) v0.19_NRA_model_for_NEMO2 (EMC Update) v0.26_NRA_model_for_NEMO2 (EMC Update) v0.29.3" xfId="490" xr:uid="{00000000-0005-0000-0000-0000E8010000}"/>
    <cellStyle name="%_NRA_model_for_NEMO2 (EMC Update) v0.19_NRA_model_for_NEMO2 (EMC Update) v0.26_NRA_model_for_NEMO2 (EMC Update) v0.29.3_NRA_model_for_NEMO2 (EMC Update) v0 30 1" xfId="493" xr:uid="{00000000-0005-0000-0000-0000E9010000}"/>
    <cellStyle name="%_NRA_model_for_NEMO2 (EMC Update) v0.19_NRA_model_for_NEMO2 (EMC Update) v0.26_NRA_model_for_NEMO2 (EMC Update) v0.29.3_NRA_model_for_NEMO2 (EMC Update) v0.29.5" xfId="491" xr:uid="{00000000-0005-0000-0000-0000EA010000}"/>
    <cellStyle name="%_NRA_model_for_NEMO2 (EMC Update) v0.19_NRA_model_for_NEMO2 (EMC Update) v0.26_NRA_model_for_NEMO2 (EMC Update) v0.29.3_NRA_model_for_NEMO2 (EMC Update) v0.29.5_NRA_model_for_NEMO2 (EMC Update) v0 30 1" xfId="492" xr:uid="{00000000-0005-0000-0000-0000EB010000}"/>
    <cellStyle name="%_NRA_model_for_NEMO2 (EMC Update) v0.19_NRA_model_for_NEMO2 (EMC Update) v0.26_NRA_model_for_NEMO2 (EMC Update) v0.29.4" xfId="494" xr:uid="{00000000-0005-0000-0000-0000EC010000}"/>
    <cellStyle name="%_NRA_model_for_NEMO2 (EMC Update) v0.19_NRA_model_for_NEMO2 (EMC Update) v0.26_NRA_model_for_NEMO2 (EMC Update) v0.29.4_NRA_model_for_NEMO2 (EMC Update) v0 30 1" xfId="497" xr:uid="{00000000-0005-0000-0000-0000ED010000}"/>
    <cellStyle name="%_NRA_model_for_NEMO2 (EMC Update) v0.19_NRA_model_for_NEMO2 (EMC Update) v0.26_NRA_model_for_NEMO2 (EMC Update) v0.29.4_NRA_model_for_NEMO2 (EMC Update) v0.29.5" xfId="495" xr:uid="{00000000-0005-0000-0000-0000EE010000}"/>
    <cellStyle name="%_NRA_model_for_NEMO2 (EMC Update) v0.19_NRA_model_for_NEMO2 (EMC Update) v0.26_NRA_model_for_NEMO2 (EMC Update) v0.29.4_NRA_model_for_NEMO2 (EMC Update) v0.29.5_NRA_model_for_NEMO2 (EMC Update) v0 30 1" xfId="496" xr:uid="{00000000-0005-0000-0000-0000EF010000}"/>
    <cellStyle name="%_NRA_model_for_NEMO2 (EMC Update) v0.19_NRA_model_for_NEMO2 (EMC Update) v0.26_NRA_model_for_NEMO2 (EMC Update) v0.29.5" xfId="498" xr:uid="{00000000-0005-0000-0000-0000F0010000}"/>
    <cellStyle name="%_NRA_model_for_NEMO2 (EMC Update) v0.19_NRA_model_for_NEMO2 (EMC Update) v0.26_NRA_model_for_NEMO2 (EMC Update) v0.29.5_NRA_model_for_NEMO2 (EMC Update) v0 30 1" xfId="499" xr:uid="{00000000-0005-0000-0000-0000F1010000}"/>
    <cellStyle name="%_NRA_model_for_NEMO2 (EMC Update) v0.19_NRA_model_for_NEMO2 (EMC Update) v0.26_NRA_model_for_NEMO2 (EMC Update) v0.29_NRA_model_for_NEMO2 (EMC Update) v0 30 1" xfId="520" xr:uid="{00000000-0005-0000-0000-0000F2010000}"/>
    <cellStyle name="%_NRA_model_for_NEMO2 (EMC Update) v0.19_NRA_model_for_NEMO2 (EMC Update) v0.26_NRA_model_for_NEMO2 (EMC Update) v0.29_NRA_model_for_NEMO2 (EMC Update) v0.29.2" xfId="500" xr:uid="{00000000-0005-0000-0000-0000F3010000}"/>
    <cellStyle name="%_NRA_model_for_NEMO2 (EMC Update) v0.19_NRA_model_for_NEMO2 (EMC Update) v0.26_NRA_model_for_NEMO2 (EMC Update) v0.29_NRA_model_for_NEMO2 (EMC Update) v0.29.2_NRA_model_for_NEMO2 (EMC Update) v0 30 1" xfId="509" xr:uid="{00000000-0005-0000-0000-0000F4010000}"/>
    <cellStyle name="%_NRA_model_for_NEMO2 (EMC Update) v0.19_NRA_model_for_NEMO2 (EMC Update) v0.26_NRA_model_for_NEMO2 (EMC Update) v0.29_NRA_model_for_NEMO2 (EMC Update) v0.29.2_NRA_model_for_NEMO2 (EMC Update) v0.29.3" xfId="501" xr:uid="{00000000-0005-0000-0000-0000F5010000}"/>
    <cellStyle name="%_NRA_model_for_NEMO2 (EMC Update) v0.19_NRA_model_for_NEMO2 (EMC Update) v0.26_NRA_model_for_NEMO2 (EMC Update) v0.29_NRA_model_for_NEMO2 (EMC Update) v0.29.2_NRA_model_for_NEMO2 (EMC Update) v0.29.3_NRA_model_for_NEMO2 (EMC Update) v0 30 1" xfId="503" xr:uid="{00000000-0005-0000-0000-0000F6010000}"/>
    <cellStyle name="%_NRA_model_for_NEMO2 (EMC Update) v0.19_NRA_model_for_NEMO2 (EMC Update) v0.26_NRA_model_for_NEMO2 (EMC Update) v0.29_NRA_model_for_NEMO2 (EMC Update) v0.29.2_NRA_model_for_NEMO2 (EMC Update) v0.29.3_NRA_model_for_NEMO2 (EMC Update) v0.29.5" xfId="502" xr:uid="{00000000-0005-0000-0000-0000F7010000}"/>
    <cellStyle name="%_NRA_model_for_NEMO2 (EMC Update) v0.19_NRA_model_for_NEMO2 (EMC Update) v0.26_NRA_model_for_NEMO2 (EMC Update) v0.29_NRA_model_for_NEMO2 (EMC Update) v0.29.2_NRA_model_for_NEMO2 (EMC Update) v0.29.4" xfId="504" xr:uid="{00000000-0005-0000-0000-0000F8010000}"/>
    <cellStyle name="%_NRA_model_for_NEMO2 (EMC Update) v0.19_NRA_model_for_NEMO2 (EMC Update) v0.26_NRA_model_for_NEMO2 (EMC Update) v0.29_NRA_model_for_NEMO2 (EMC Update) v0.29.2_NRA_model_for_NEMO2 (EMC Update) v0.29.4_NRA_model_for_NEMO2 (EMC Update) v0 30 1" xfId="506" xr:uid="{00000000-0005-0000-0000-0000F9010000}"/>
    <cellStyle name="%_NRA_model_for_NEMO2 (EMC Update) v0.19_NRA_model_for_NEMO2 (EMC Update) v0.26_NRA_model_for_NEMO2 (EMC Update) v0.29_NRA_model_for_NEMO2 (EMC Update) v0.29.2_NRA_model_for_NEMO2 (EMC Update) v0.29.4_NRA_model_for_NEMO2 (EMC Update) v0.29.5" xfId="505" xr:uid="{00000000-0005-0000-0000-0000FA010000}"/>
    <cellStyle name="%_NRA_model_for_NEMO2 (EMC Update) v0.19_NRA_model_for_NEMO2 (EMC Update) v0.26_NRA_model_for_NEMO2 (EMC Update) v0.29_NRA_model_for_NEMO2 (EMC Update) v0.29.2_NRA_model_for_NEMO2 (EMC Update) v0.29.5" xfId="507" xr:uid="{00000000-0005-0000-0000-0000FB010000}"/>
    <cellStyle name="%_NRA_model_for_NEMO2 (EMC Update) v0.19_NRA_model_for_NEMO2 (EMC Update) v0.26_NRA_model_for_NEMO2 (EMC Update) v0.29_NRA_model_for_NEMO2 (EMC Update) v0.29.2_NRA_model_for_NEMO2 (EMC Update) v0.29.5_NRA_model_for_NEMO2 (EMC Update) v0 30 1" xfId="508" xr:uid="{00000000-0005-0000-0000-0000FC010000}"/>
    <cellStyle name="%_NRA_model_for_NEMO2 (EMC Update) v0.19_NRA_model_for_NEMO2 (EMC Update) v0.26_NRA_model_for_NEMO2 (EMC Update) v0.29_NRA_model_for_NEMO2 (EMC Update) v0.29.3" xfId="510" xr:uid="{00000000-0005-0000-0000-0000FD010000}"/>
    <cellStyle name="%_NRA_model_for_NEMO2 (EMC Update) v0.19_NRA_model_for_NEMO2 (EMC Update) v0.26_NRA_model_for_NEMO2 (EMC Update) v0.29_NRA_model_for_NEMO2 (EMC Update) v0.29.3_NRA_model_for_NEMO2 (EMC Update) v0 30 1" xfId="513" xr:uid="{00000000-0005-0000-0000-0000FE010000}"/>
    <cellStyle name="%_NRA_model_for_NEMO2 (EMC Update) v0.19_NRA_model_for_NEMO2 (EMC Update) v0.26_NRA_model_for_NEMO2 (EMC Update) v0.29_NRA_model_for_NEMO2 (EMC Update) v0.29.3_NRA_model_for_NEMO2 (EMC Update) v0.29.5" xfId="511" xr:uid="{00000000-0005-0000-0000-0000FF010000}"/>
    <cellStyle name="%_NRA_model_for_NEMO2 (EMC Update) v0.19_NRA_model_for_NEMO2 (EMC Update) v0.26_NRA_model_for_NEMO2 (EMC Update) v0.29_NRA_model_for_NEMO2 (EMC Update) v0.29.3_NRA_model_for_NEMO2 (EMC Update) v0.29.5_NRA_model_for_NEMO2 (EMC Update) v0 30 1" xfId="512" xr:uid="{00000000-0005-0000-0000-000000020000}"/>
    <cellStyle name="%_NRA_model_for_NEMO2 (EMC Update) v0.19_NRA_model_for_NEMO2 (EMC Update) v0.26_NRA_model_for_NEMO2 (EMC Update) v0.29_NRA_model_for_NEMO2 (EMC Update) v0.29.4" xfId="514" xr:uid="{00000000-0005-0000-0000-000001020000}"/>
    <cellStyle name="%_NRA_model_for_NEMO2 (EMC Update) v0.19_NRA_model_for_NEMO2 (EMC Update) v0.26_NRA_model_for_NEMO2 (EMC Update) v0.29_NRA_model_for_NEMO2 (EMC Update) v0.29.4_NRA_model_for_NEMO2 (EMC Update) v0 30 1" xfId="517" xr:uid="{00000000-0005-0000-0000-000002020000}"/>
    <cellStyle name="%_NRA_model_for_NEMO2 (EMC Update) v0.19_NRA_model_for_NEMO2 (EMC Update) v0.26_NRA_model_for_NEMO2 (EMC Update) v0.29_NRA_model_for_NEMO2 (EMC Update) v0.29.4_NRA_model_for_NEMO2 (EMC Update) v0.29.5" xfId="515" xr:uid="{00000000-0005-0000-0000-000003020000}"/>
    <cellStyle name="%_NRA_model_for_NEMO2 (EMC Update) v0.19_NRA_model_for_NEMO2 (EMC Update) v0.26_NRA_model_for_NEMO2 (EMC Update) v0.29_NRA_model_for_NEMO2 (EMC Update) v0.29.4_NRA_model_for_NEMO2 (EMC Update) v0.29.5_NRA_model_for_NEMO2 (EMC Update) v0 30 1" xfId="516" xr:uid="{00000000-0005-0000-0000-000004020000}"/>
    <cellStyle name="%_NRA_model_for_NEMO2 (EMC Update) v0.19_NRA_model_for_NEMO2 (EMC Update) v0.26_NRA_model_for_NEMO2 (EMC Update) v0.29_NRA_model_for_NEMO2 (EMC Update) v0.29.5" xfId="518" xr:uid="{00000000-0005-0000-0000-000005020000}"/>
    <cellStyle name="%_NRA_model_for_NEMO2 (EMC Update) v0.19_NRA_model_for_NEMO2 (EMC Update) v0.26_NRA_model_for_NEMO2 (EMC Update) v0.29_NRA_model_for_NEMO2 (EMC Update) v0.29.5_NRA_model_for_NEMO2 (EMC Update) v0 30 1" xfId="519" xr:uid="{00000000-0005-0000-0000-000006020000}"/>
    <cellStyle name="%_NRA_model_for_NEMO2 (EMC Update) v0.19_NRA_model_for_NEMO2 (EMC Update) v0.29" xfId="522" xr:uid="{00000000-0005-0000-0000-000007020000}"/>
    <cellStyle name="%_NRA_model_for_NEMO2 (EMC Update) v0.19_NRA_model_for_NEMO2 (EMC Update) v0.29.2" xfId="523" xr:uid="{00000000-0005-0000-0000-000008020000}"/>
    <cellStyle name="%_NRA_model_for_NEMO2 (EMC Update) v0.19_NRA_model_for_NEMO2 (EMC Update) v0.29.2_NRA_model_for_NEMO2 (EMC Update) v0 30 1" xfId="534" xr:uid="{00000000-0005-0000-0000-000009020000}"/>
    <cellStyle name="%_NRA_model_for_NEMO2 (EMC Update) v0.19_NRA_model_for_NEMO2 (EMC Update) v0.29.2_NRA_model_for_NEMO2 (EMC Update) v0.29.3" xfId="524" xr:uid="{00000000-0005-0000-0000-00000A020000}"/>
    <cellStyle name="%_NRA_model_for_NEMO2 (EMC Update) v0.19_NRA_model_for_NEMO2 (EMC Update) v0.29.2_NRA_model_for_NEMO2 (EMC Update) v0.29.3_NRA_model_for_NEMO2 (EMC Update) v0 30 1" xfId="527" xr:uid="{00000000-0005-0000-0000-00000B020000}"/>
    <cellStyle name="%_NRA_model_for_NEMO2 (EMC Update) v0.19_NRA_model_for_NEMO2 (EMC Update) v0.29.2_NRA_model_for_NEMO2 (EMC Update) v0.29.3_NRA_model_for_NEMO2 (EMC Update) v0.29.5" xfId="525" xr:uid="{00000000-0005-0000-0000-00000C020000}"/>
    <cellStyle name="%_NRA_model_for_NEMO2 (EMC Update) v0.19_NRA_model_for_NEMO2 (EMC Update) v0.29.2_NRA_model_for_NEMO2 (EMC Update) v0.29.3_NRA_model_for_NEMO2 (EMC Update) v0.29.5_NRA_model_for_NEMO2 (EMC Update) v0 30 1" xfId="526" xr:uid="{00000000-0005-0000-0000-00000D020000}"/>
    <cellStyle name="%_NRA_model_for_NEMO2 (EMC Update) v0.19_NRA_model_for_NEMO2 (EMC Update) v0.29.2_NRA_model_for_NEMO2 (EMC Update) v0.29.4" xfId="528" xr:uid="{00000000-0005-0000-0000-00000E020000}"/>
    <cellStyle name="%_NRA_model_for_NEMO2 (EMC Update) v0.19_NRA_model_for_NEMO2 (EMC Update) v0.29.2_NRA_model_for_NEMO2 (EMC Update) v0.29.4_NRA_model_for_NEMO2 (EMC Update) v0 30 1" xfId="531" xr:uid="{00000000-0005-0000-0000-00000F020000}"/>
    <cellStyle name="%_NRA_model_for_NEMO2 (EMC Update) v0.19_NRA_model_for_NEMO2 (EMC Update) v0.29.2_NRA_model_for_NEMO2 (EMC Update) v0.29.4_NRA_model_for_NEMO2 (EMC Update) v0.29.5" xfId="529" xr:uid="{00000000-0005-0000-0000-000010020000}"/>
    <cellStyle name="%_NRA_model_for_NEMO2 (EMC Update) v0.19_NRA_model_for_NEMO2 (EMC Update) v0.29.2_NRA_model_for_NEMO2 (EMC Update) v0.29.4_NRA_model_for_NEMO2 (EMC Update) v0.29.5_NRA_model_for_NEMO2 (EMC Update) v0 30 1" xfId="530" xr:uid="{00000000-0005-0000-0000-000011020000}"/>
    <cellStyle name="%_NRA_model_for_NEMO2 (EMC Update) v0.19_NRA_model_for_NEMO2 (EMC Update) v0.29.2_NRA_model_for_NEMO2 (EMC Update) v0.29.5" xfId="532" xr:uid="{00000000-0005-0000-0000-000012020000}"/>
    <cellStyle name="%_NRA_model_for_NEMO2 (EMC Update) v0.19_NRA_model_for_NEMO2 (EMC Update) v0.29.2_NRA_model_for_NEMO2 (EMC Update) v0.29.5_NRA_model_for_NEMO2 (EMC Update) v0 30 1" xfId="533" xr:uid="{00000000-0005-0000-0000-000013020000}"/>
    <cellStyle name="%_NRA_model_for_NEMO2 (EMC Update) v0.19_NRA_model_for_NEMO2 (EMC Update) v0.29.3" xfId="535" xr:uid="{00000000-0005-0000-0000-000014020000}"/>
    <cellStyle name="%_NRA_model_for_NEMO2 (EMC Update) v0.19_NRA_model_for_NEMO2 (EMC Update) v0.29.3_NRA_model_for_NEMO2 (EMC Update) v0 30 1" xfId="538" xr:uid="{00000000-0005-0000-0000-000015020000}"/>
    <cellStyle name="%_NRA_model_for_NEMO2 (EMC Update) v0.19_NRA_model_for_NEMO2 (EMC Update) v0.29.3_NRA_model_for_NEMO2 (EMC Update) v0.29.5" xfId="536" xr:uid="{00000000-0005-0000-0000-000016020000}"/>
    <cellStyle name="%_NRA_model_for_NEMO2 (EMC Update) v0.19_NRA_model_for_NEMO2 (EMC Update) v0.29.3_NRA_model_for_NEMO2 (EMC Update) v0.29.5_NRA_model_for_NEMO2 (EMC Update) v0 30 1" xfId="537" xr:uid="{00000000-0005-0000-0000-000017020000}"/>
    <cellStyle name="%_NRA_model_for_NEMO2 (EMC Update) v0.19_NRA_model_for_NEMO2 (EMC Update) v0.29.4" xfId="539" xr:uid="{00000000-0005-0000-0000-000018020000}"/>
    <cellStyle name="%_NRA_model_for_NEMO2 (EMC Update) v0.19_NRA_model_for_NEMO2 (EMC Update) v0.29.4_NRA_model_for_NEMO2 (EMC Update) v0 30 1" xfId="542" xr:uid="{00000000-0005-0000-0000-000019020000}"/>
    <cellStyle name="%_NRA_model_for_NEMO2 (EMC Update) v0.19_NRA_model_for_NEMO2 (EMC Update) v0.29.4_NRA_model_for_NEMO2 (EMC Update) v0.29.5" xfId="540" xr:uid="{00000000-0005-0000-0000-00001A020000}"/>
    <cellStyle name="%_NRA_model_for_NEMO2 (EMC Update) v0.19_NRA_model_for_NEMO2 (EMC Update) v0.29.4_NRA_model_for_NEMO2 (EMC Update) v0.29.5_NRA_model_for_NEMO2 (EMC Update) v0 30 1" xfId="541" xr:uid="{00000000-0005-0000-0000-00001B020000}"/>
    <cellStyle name="%_NRA_model_for_NEMO2 (EMC Update) v0.19_NRA_model_for_NEMO2 (EMC Update) v0.29.5" xfId="543" xr:uid="{00000000-0005-0000-0000-00001C020000}"/>
    <cellStyle name="%_NRA_model_for_NEMO2 (EMC Update) v0.19_NRA_model_for_NEMO2 (EMC Update) v0.29.5_NRA_model_for_NEMO2 (EMC Update) v0 30 1" xfId="544" xr:uid="{00000000-0005-0000-0000-00001D020000}"/>
    <cellStyle name="%_NRA_model_for_NEMO2 (EMC Update) v0.19_NRA_model_for_NEMO2 (EMC Update) v0.29_NRA_model_for_NEMO2 (EMC Update) v0 30 1" xfId="567" xr:uid="{00000000-0005-0000-0000-00001E020000}"/>
    <cellStyle name="%_NRA_model_for_NEMO2 (EMC Update) v0.19_NRA_model_for_NEMO2 (EMC Update) v0.29_NRA_model_for_NEMO2 (EMC Update) v0.29.2" xfId="545" xr:uid="{00000000-0005-0000-0000-00001F020000}"/>
    <cellStyle name="%_NRA_model_for_NEMO2 (EMC Update) v0.19_NRA_model_for_NEMO2 (EMC Update) v0.29_NRA_model_for_NEMO2 (EMC Update) v0.29.2_NRA_model_for_NEMO2 (EMC Update) v0 30 1" xfId="556" xr:uid="{00000000-0005-0000-0000-000020020000}"/>
    <cellStyle name="%_NRA_model_for_NEMO2 (EMC Update) v0.19_NRA_model_for_NEMO2 (EMC Update) v0.29_NRA_model_for_NEMO2 (EMC Update) v0.29.2_NRA_model_for_NEMO2 (EMC Update) v0.29.3" xfId="546" xr:uid="{00000000-0005-0000-0000-000021020000}"/>
    <cellStyle name="%_NRA_model_for_NEMO2 (EMC Update) v0.19_NRA_model_for_NEMO2 (EMC Update) v0.29_NRA_model_for_NEMO2 (EMC Update) v0.29.2_NRA_model_for_NEMO2 (EMC Update) v0.29.3_NRA_model_for_NEMO2 (EMC Update) v0 30 1" xfId="549" xr:uid="{00000000-0005-0000-0000-000022020000}"/>
    <cellStyle name="%_NRA_model_for_NEMO2 (EMC Update) v0.19_NRA_model_for_NEMO2 (EMC Update) v0.29_NRA_model_for_NEMO2 (EMC Update) v0.29.2_NRA_model_for_NEMO2 (EMC Update) v0.29.3_NRA_model_for_NEMO2 (EMC Update) v0.29.5" xfId="547" xr:uid="{00000000-0005-0000-0000-000023020000}"/>
    <cellStyle name="%_NRA_model_for_NEMO2 (EMC Update) v0.19_NRA_model_for_NEMO2 (EMC Update) v0.29_NRA_model_for_NEMO2 (EMC Update) v0.29.2_NRA_model_for_NEMO2 (EMC Update) v0.29.3_NRA_model_for_NEMO2 (EMC Update) v0.29.5_NRA_model_for_NEMO2 (EMC Update) v0 30 1" xfId="548" xr:uid="{00000000-0005-0000-0000-000024020000}"/>
    <cellStyle name="%_NRA_model_for_NEMO2 (EMC Update) v0.19_NRA_model_for_NEMO2 (EMC Update) v0.29_NRA_model_for_NEMO2 (EMC Update) v0.29.2_NRA_model_for_NEMO2 (EMC Update) v0.29.4" xfId="550" xr:uid="{00000000-0005-0000-0000-000025020000}"/>
    <cellStyle name="%_NRA_model_for_NEMO2 (EMC Update) v0.19_NRA_model_for_NEMO2 (EMC Update) v0.29_NRA_model_for_NEMO2 (EMC Update) v0.29.2_NRA_model_for_NEMO2 (EMC Update) v0.29.4_NRA_model_for_NEMO2 (EMC Update) v0 30 1" xfId="553" xr:uid="{00000000-0005-0000-0000-000026020000}"/>
    <cellStyle name="%_NRA_model_for_NEMO2 (EMC Update) v0.19_NRA_model_for_NEMO2 (EMC Update) v0.29_NRA_model_for_NEMO2 (EMC Update) v0.29.2_NRA_model_for_NEMO2 (EMC Update) v0.29.4_NRA_model_for_NEMO2 (EMC Update) v0.29.5" xfId="551" xr:uid="{00000000-0005-0000-0000-000027020000}"/>
    <cellStyle name="%_NRA_model_for_NEMO2 (EMC Update) v0.19_NRA_model_for_NEMO2 (EMC Update) v0.29_NRA_model_for_NEMO2 (EMC Update) v0.29.2_NRA_model_for_NEMO2 (EMC Update) v0.29.4_NRA_model_for_NEMO2 (EMC Update) v0.29.5_NRA_model_for_NEMO2 (EMC Update) v0 30 1" xfId="552" xr:uid="{00000000-0005-0000-0000-000028020000}"/>
    <cellStyle name="%_NRA_model_for_NEMO2 (EMC Update) v0.19_NRA_model_for_NEMO2 (EMC Update) v0.29_NRA_model_for_NEMO2 (EMC Update) v0.29.2_NRA_model_for_NEMO2 (EMC Update) v0.29.5" xfId="554" xr:uid="{00000000-0005-0000-0000-000029020000}"/>
    <cellStyle name="%_NRA_model_for_NEMO2 (EMC Update) v0.19_NRA_model_for_NEMO2 (EMC Update) v0.29_NRA_model_for_NEMO2 (EMC Update) v0.29.2_NRA_model_for_NEMO2 (EMC Update) v0.29.5_NRA_model_for_NEMO2 (EMC Update) v0 30 1" xfId="555" xr:uid="{00000000-0005-0000-0000-00002A020000}"/>
    <cellStyle name="%_NRA_model_for_NEMO2 (EMC Update) v0.19_NRA_model_for_NEMO2 (EMC Update) v0.29_NRA_model_for_NEMO2 (EMC Update) v0.29.3" xfId="557" xr:uid="{00000000-0005-0000-0000-00002B020000}"/>
    <cellStyle name="%_NRA_model_for_NEMO2 (EMC Update) v0.19_NRA_model_for_NEMO2 (EMC Update) v0.29_NRA_model_for_NEMO2 (EMC Update) v0.29.3_NRA_model_for_NEMO2 (EMC Update) v0 30 1" xfId="560" xr:uid="{00000000-0005-0000-0000-00002C020000}"/>
    <cellStyle name="%_NRA_model_for_NEMO2 (EMC Update) v0.19_NRA_model_for_NEMO2 (EMC Update) v0.29_NRA_model_for_NEMO2 (EMC Update) v0.29.3_NRA_model_for_NEMO2 (EMC Update) v0.29.5" xfId="558" xr:uid="{00000000-0005-0000-0000-00002D020000}"/>
    <cellStyle name="%_NRA_model_for_NEMO2 (EMC Update) v0.19_NRA_model_for_NEMO2 (EMC Update) v0.29_NRA_model_for_NEMO2 (EMC Update) v0.29.3_NRA_model_for_NEMO2 (EMC Update) v0.29.5_NRA_model_for_NEMO2 (EMC Update) v0 30 1" xfId="559" xr:uid="{00000000-0005-0000-0000-00002E020000}"/>
    <cellStyle name="%_NRA_model_for_NEMO2 (EMC Update) v0.19_NRA_model_for_NEMO2 (EMC Update) v0.29_NRA_model_for_NEMO2 (EMC Update) v0.29.4" xfId="561" xr:uid="{00000000-0005-0000-0000-00002F020000}"/>
    <cellStyle name="%_NRA_model_for_NEMO2 (EMC Update) v0.19_NRA_model_for_NEMO2 (EMC Update) v0.29_NRA_model_for_NEMO2 (EMC Update) v0.29.4_NRA_model_for_NEMO2 (EMC Update) v0 30 1" xfId="564" xr:uid="{00000000-0005-0000-0000-000030020000}"/>
    <cellStyle name="%_NRA_model_for_NEMO2 (EMC Update) v0.19_NRA_model_for_NEMO2 (EMC Update) v0.29_NRA_model_for_NEMO2 (EMC Update) v0.29.4_NRA_model_for_NEMO2 (EMC Update) v0.29.5" xfId="562" xr:uid="{00000000-0005-0000-0000-000031020000}"/>
    <cellStyle name="%_NRA_model_for_NEMO2 (EMC Update) v0.19_NRA_model_for_NEMO2 (EMC Update) v0.29_NRA_model_for_NEMO2 (EMC Update) v0.29.4_NRA_model_for_NEMO2 (EMC Update) v0.29.5_NRA_model_for_NEMO2 (EMC Update) v0 30 1" xfId="563" xr:uid="{00000000-0005-0000-0000-000032020000}"/>
    <cellStyle name="%_NRA_model_for_NEMO2 (EMC Update) v0.19_NRA_model_for_NEMO2 (EMC Update) v0.29_NRA_model_for_NEMO2 (EMC Update) v0.29.5" xfId="565" xr:uid="{00000000-0005-0000-0000-000033020000}"/>
    <cellStyle name="%_NRA_model_for_NEMO2 (EMC Update) v0.19_NRA_model_for_NEMO2 (EMC Update) v0.29_NRA_model_for_NEMO2 (EMC Update) v0.29.5_NRA_model_for_NEMO2 (EMC Update) v0 30 1" xfId="566" xr:uid="{00000000-0005-0000-0000-000034020000}"/>
    <cellStyle name="%_NRA_model_for_NEMO2 (EMC Update) v0.20" xfId="569" xr:uid="{00000000-0005-0000-0000-000035020000}"/>
    <cellStyle name="%_NRA_model_for_NEMO2 (EMC Update) v0.20_NRA_model_for_NEMO2 (EMC Update) v0 30 1" xfId="1113" xr:uid="{00000000-0005-0000-0000-000036020000}"/>
    <cellStyle name="%_NRA_model_for_NEMO2 (EMC Update) v0.20_NRA_model_for_NEMO2 (EMC Update) v0.21" xfId="570" xr:uid="{00000000-0005-0000-0000-000037020000}"/>
    <cellStyle name="%_NRA_model_for_NEMO2 (EMC Update) v0.20_NRA_model_for_NEMO2 (EMC Update) v0.21_NRA_model_for_NEMO2 (EMC Update) v0 30 1" xfId="796" xr:uid="{00000000-0005-0000-0000-000038020000}"/>
    <cellStyle name="%_NRA_model_for_NEMO2 (EMC Update) v0.20_NRA_model_for_NEMO2 (EMC Update) v0.21_NRA_model_for_NEMO2 (EMC Update) v0.22" xfId="571" xr:uid="{00000000-0005-0000-0000-000039020000}"/>
    <cellStyle name="%_NRA_model_for_NEMO2 (EMC Update) v0.20_NRA_model_for_NEMO2 (EMC Update) v0.21_NRA_model_for_NEMO2 (EMC Update) v0.22_NRA_model_for_NEMO2 (EMC Update) v0 30 1" xfId="656" xr:uid="{00000000-0005-0000-0000-00003A020000}"/>
    <cellStyle name="%_NRA_model_for_NEMO2 (EMC Update) v0.20_NRA_model_for_NEMO2 (EMC Update) v0.21_NRA_model_for_NEMO2 (EMC Update) v0.22_NRA_model_for_NEMO2 (EMC Update) v0.25" xfId="572" xr:uid="{00000000-0005-0000-0000-00003B020000}"/>
    <cellStyle name="%_NRA_model_for_NEMO2 (EMC Update) v0.20_NRA_model_for_NEMO2 (EMC Update) v0.21_NRA_model_for_NEMO2 (EMC Update) v0.22_NRA_model_for_NEMO2 (EMC Update) v0.25_NRA_model_for_NEMO2 (EMC Update) v0 30 1" xfId="599" xr:uid="{00000000-0005-0000-0000-00003C020000}"/>
    <cellStyle name="%_NRA_model_for_NEMO2 (EMC Update) v0.20_NRA_model_for_NEMO2 (EMC Update) v0.21_NRA_model_for_NEMO2 (EMC Update) v0.22_NRA_model_for_NEMO2 (EMC Update) v0.25_NRA_model_for_NEMO2 (EMC Update) v0.26" xfId="573" xr:uid="{00000000-0005-0000-0000-00003D020000}"/>
    <cellStyle name="%_NRA_model_for_NEMO2 (EMC Update) v0.20_NRA_model_for_NEMO2 (EMC Update) v0.21_NRA_model_for_NEMO2 (EMC Update) v0.22_NRA_model_for_NEMO2 (EMC Update) v0.25_NRA_model_for_NEMO2 (EMC Update) v0.26_NRA_model_for_NEMO2 (EMC Update) v0 30 1" xfId="579" xr:uid="{00000000-0005-0000-0000-00003E020000}"/>
    <cellStyle name="%_NRA_model_for_NEMO2 (EMC Update) v0.20_NRA_model_for_NEMO2 (EMC Update) v0.21_NRA_model_for_NEMO2 (EMC Update) v0.22_NRA_model_for_NEMO2 (EMC Update) v0.25_NRA_model_for_NEMO2 (EMC Update) v0.26_NRA_model_for_NEMO2 (EMC Update) v0.29" xfId="574" xr:uid="{00000000-0005-0000-0000-00003F020000}"/>
    <cellStyle name="%_NRA_model_for_NEMO2 (EMC Update) v0.20_NRA_model_for_NEMO2 (EMC Update) v0.21_NRA_model_for_NEMO2 (EMC Update) v0.22_NRA_model_for_NEMO2 (EMC Update) v0.25_NRA_model_for_NEMO2 (EMC Update) v0.26_NRA_model_for_NEMO2 (EMC Update) v0.29.2" xfId="575" xr:uid="{00000000-0005-0000-0000-000040020000}"/>
    <cellStyle name="%_NRA_model_for_NEMO2 (EMC Update) v0.20_NRA_model_for_NEMO2 (EMC Update) v0.21_NRA_model_for_NEMO2 (EMC Update) v0.22_NRA_model_for_NEMO2 (EMC Update) v0.25_NRA_model_for_NEMO2 (EMC Update) v0.26_NRA_model_for_NEMO2 (EMC Update) v0.29.3" xfId="576" xr:uid="{00000000-0005-0000-0000-000041020000}"/>
    <cellStyle name="%_NRA_model_for_NEMO2 (EMC Update) v0.20_NRA_model_for_NEMO2 (EMC Update) v0.21_NRA_model_for_NEMO2 (EMC Update) v0.22_NRA_model_for_NEMO2 (EMC Update) v0.25_NRA_model_for_NEMO2 (EMC Update) v0.26_NRA_model_for_NEMO2 (EMC Update) v0.29.4" xfId="577" xr:uid="{00000000-0005-0000-0000-000042020000}"/>
    <cellStyle name="%_NRA_model_for_NEMO2 (EMC Update) v0.20_NRA_model_for_NEMO2 (EMC Update) v0.21_NRA_model_for_NEMO2 (EMC Update) v0.22_NRA_model_for_NEMO2 (EMC Update) v0.25_NRA_model_for_NEMO2 (EMC Update) v0.26_NRA_model_for_NEMO2 (EMC Update) v0.29.5" xfId="578" xr:uid="{00000000-0005-0000-0000-000043020000}"/>
    <cellStyle name="%_NRA_model_for_NEMO2 (EMC Update) v0.20_NRA_model_for_NEMO2 (EMC Update) v0.21_NRA_model_for_NEMO2 (EMC Update) v0.22_NRA_model_for_NEMO2 (EMC Update) v0.25_NRA_model_for_NEMO2 (EMC Update) v0.29" xfId="580" xr:uid="{00000000-0005-0000-0000-000044020000}"/>
    <cellStyle name="%_NRA_model_for_NEMO2 (EMC Update) v0.20_NRA_model_for_NEMO2 (EMC Update) v0.21_NRA_model_for_NEMO2 (EMC Update) v0.22_NRA_model_for_NEMO2 (EMC Update) v0.25_NRA_model_for_NEMO2 (EMC Update) v0.29.2" xfId="581" xr:uid="{00000000-0005-0000-0000-000045020000}"/>
    <cellStyle name="%_NRA_model_for_NEMO2 (EMC Update) v0.20_NRA_model_for_NEMO2 (EMC Update) v0.21_NRA_model_for_NEMO2 (EMC Update) v0.22_NRA_model_for_NEMO2 (EMC Update) v0.25_NRA_model_for_NEMO2 (EMC Update) v0.29.2_NRA_model_for_NEMO2 (EMC Update) v0 30 1" xfId="585" xr:uid="{00000000-0005-0000-0000-000046020000}"/>
    <cellStyle name="%_NRA_model_for_NEMO2 (EMC Update) v0.20_NRA_model_for_NEMO2 (EMC Update) v0.21_NRA_model_for_NEMO2 (EMC Update) v0.22_NRA_model_for_NEMO2 (EMC Update) v0.25_NRA_model_for_NEMO2 (EMC Update) v0.29.2_NRA_model_for_NEMO2 (EMC Update) v0.29.3" xfId="582" xr:uid="{00000000-0005-0000-0000-000047020000}"/>
    <cellStyle name="%_NRA_model_for_NEMO2 (EMC Update) v0.20_NRA_model_for_NEMO2 (EMC Update) v0.21_NRA_model_for_NEMO2 (EMC Update) v0.22_NRA_model_for_NEMO2 (EMC Update) v0.25_NRA_model_for_NEMO2 (EMC Update) v0.29.2_NRA_model_for_NEMO2 (EMC Update) v0.29.4" xfId="583" xr:uid="{00000000-0005-0000-0000-000048020000}"/>
    <cellStyle name="%_NRA_model_for_NEMO2 (EMC Update) v0.20_NRA_model_for_NEMO2 (EMC Update) v0.21_NRA_model_for_NEMO2 (EMC Update) v0.22_NRA_model_for_NEMO2 (EMC Update) v0.25_NRA_model_for_NEMO2 (EMC Update) v0.29.2_NRA_model_for_NEMO2 (EMC Update) v0.29.5" xfId="584" xr:uid="{00000000-0005-0000-0000-000049020000}"/>
    <cellStyle name="%_NRA_model_for_NEMO2 (EMC Update) v0.20_NRA_model_for_NEMO2 (EMC Update) v0.21_NRA_model_for_NEMO2 (EMC Update) v0.22_NRA_model_for_NEMO2 (EMC Update) v0.25_NRA_model_for_NEMO2 (EMC Update) v0.29.3" xfId="586" xr:uid="{00000000-0005-0000-0000-00004A020000}"/>
    <cellStyle name="%_NRA_model_for_NEMO2 (EMC Update) v0.20_NRA_model_for_NEMO2 (EMC Update) v0.21_NRA_model_for_NEMO2 (EMC Update) v0.22_NRA_model_for_NEMO2 (EMC Update) v0.25_NRA_model_for_NEMO2 (EMC Update) v0.29.3_NRA_model_for_NEMO2 (EMC Update) v0 30 1" xfId="588" xr:uid="{00000000-0005-0000-0000-00004B020000}"/>
    <cellStyle name="%_NRA_model_for_NEMO2 (EMC Update) v0.20_NRA_model_for_NEMO2 (EMC Update) v0.21_NRA_model_for_NEMO2 (EMC Update) v0.22_NRA_model_for_NEMO2 (EMC Update) v0.25_NRA_model_for_NEMO2 (EMC Update) v0.29.3_NRA_model_for_NEMO2 (EMC Update) v0.29.5" xfId="587" xr:uid="{00000000-0005-0000-0000-00004C020000}"/>
    <cellStyle name="%_NRA_model_for_NEMO2 (EMC Update) v0.20_NRA_model_for_NEMO2 (EMC Update) v0.21_NRA_model_for_NEMO2 (EMC Update) v0.22_NRA_model_for_NEMO2 (EMC Update) v0.25_NRA_model_for_NEMO2 (EMC Update) v0.29.4" xfId="589" xr:uid="{00000000-0005-0000-0000-00004D020000}"/>
    <cellStyle name="%_NRA_model_for_NEMO2 (EMC Update) v0.20_NRA_model_for_NEMO2 (EMC Update) v0.21_NRA_model_for_NEMO2 (EMC Update) v0.22_NRA_model_for_NEMO2 (EMC Update) v0.25_NRA_model_for_NEMO2 (EMC Update) v0.29.4_NRA_model_for_NEMO2 (EMC Update) v0 30 1" xfId="591" xr:uid="{00000000-0005-0000-0000-00004E020000}"/>
    <cellStyle name="%_NRA_model_for_NEMO2 (EMC Update) v0.20_NRA_model_for_NEMO2 (EMC Update) v0.21_NRA_model_for_NEMO2 (EMC Update) v0.22_NRA_model_for_NEMO2 (EMC Update) v0.25_NRA_model_for_NEMO2 (EMC Update) v0.29.4_NRA_model_for_NEMO2 (EMC Update) v0.29.5" xfId="590" xr:uid="{00000000-0005-0000-0000-00004F020000}"/>
    <cellStyle name="%_NRA_model_for_NEMO2 (EMC Update) v0.20_NRA_model_for_NEMO2 (EMC Update) v0.21_NRA_model_for_NEMO2 (EMC Update) v0.22_NRA_model_for_NEMO2 (EMC Update) v0.25_NRA_model_for_NEMO2 (EMC Update) v0.29.5" xfId="592" xr:uid="{00000000-0005-0000-0000-000050020000}"/>
    <cellStyle name="%_NRA_model_for_NEMO2 (EMC Update) v0.20_NRA_model_for_NEMO2 (EMC Update) v0.21_NRA_model_for_NEMO2 (EMC Update) v0.22_NRA_model_for_NEMO2 (EMC Update) v0.25_NRA_model_for_NEMO2 (EMC Update) v0.29.5_NRA_model_for_NEMO2 (EMC Update) v0 30 1" xfId="593" xr:uid="{00000000-0005-0000-0000-000051020000}"/>
    <cellStyle name="%_NRA_model_for_NEMO2 (EMC Update) v0.20_NRA_model_for_NEMO2 (EMC Update) v0.21_NRA_model_for_NEMO2 (EMC Update) v0.22_NRA_model_for_NEMO2 (EMC Update) v0.25_NRA_model_for_NEMO2 (EMC Update) v0.29_NRA_model_for_NEMO2 (EMC Update) v0 30 1" xfId="598" xr:uid="{00000000-0005-0000-0000-000052020000}"/>
    <cellStyle name="%_NRA_model_for_NEMO2 (EMC Update) v0.20_NRA_model_for_NEMO2 (EMC Update) v0.21_NRA_model_for_NEMO2 (EMC Update) v0.22_NRA_model_for_NEMO2 (EMC Update) v0.25_NRA_model_for_NEMO2 (EMC Update) v0.29_NRA_model_for_NEMO2 (EMC Update) v0.29.2" xfId="594" xr:uid="{00000000-0005-0000-0000-000053020000}"/>
    <cellStyle name="%_NRA_model_for_NEMO2 (EMC Update) v0.20_NRA_model_for_NEMO2 (EMC Update) v0.21_NRA_model_for_NEMO2 (EMC Update) v0.22_NRA_model_for_NEMO2 (EMC Update) v0.25_NRA_model_for_NEMO2 (EMC Update) v0.29_NRA_model_for_NEMO2 (EMC Update) v0.29.3" xfId="595" xr:uid="{00000000-0005-0000-0000-000054020000}"/>
    <cellStyle name="%_NRA_model_for_NEMO2 (EMC Update) v0.20_NRA_model_for_NEMO2 (EMC Update) v0.21_NRA_model_for_NEMO2 (EMC Update) v0.22_NRA_model_for_NEMO2 (EMC Update) v0.25_NRA_model_for_NEMO2 (EMC Update) v0.29_NRA_model_for_NEMO2 (EMC Update) v0.29.4" xfId="596" xr:uid="{00000000-0005-0000-0000-000055020000}"/>
    <cellStyle name="%_NRA_model_for_NEMO2 (EMC Update) v0.20_NRA_model_for_NEMO2 (EMC Update) v0.21_NRA_model_for_NEMO2 (EMC Update) v0.22_NRA_model_for_NEMO2 (EMC Update) v0.25_NRA_model_for_NEMO2 (EMC Update) v0.29_NRA_model_for_NEMO2 (EMC Update) v0.29.5" xfId="597" xr:uid="{00000000-0005-0000-0000-000056020000}"/>
    <cellStyle name="%_NRA_model_for_NEMO2 (EMC Update) v0.20_NRA_model_for_NEMO2 (EMC Update) v0.21_NRA_model_for_NEMO2 (EMC Update) v0.22_NRA_model_for_NEMO2 (EMC Update) v0.26" xfId="600" xr:uid="{00000000-0005-0000-0000-000057020000}"/>
    <cellStyle name="%_NRA_model_for_NEMO2 (EMC Update) v0.20_NRA_model_for_NEMO2 (EMC Update) v0.21_NRA_model_for_NEMO2 (EMC Update) v0.22_NRA_model_for_NEMO2 (EMC Update) v0.26_NRA_model_for_NEMO2 (EMC Update) v0 30 1" xfId="620" xr:uid="{00000000-0005-0000-0000-000058020000}"/>
    <cellStyle name="%_NRA_model_for_NEMO2 (EMC Update) v0.20_NRA_model_for_NEMO2 (EMC Update) v0.21_NRA_model_for_NEMO2 (EMC Update) v0.22_NRA_model_for_NEMO2 (EMC Update) v0.26_NRA_model_for_NEMO2 (EMC Update) v0.29" xfId="601" xr:uid="{00000000-0005-0000-0000-000059020000}"/>
    <cellStyle name="%_NRA_model_for_NEMO2 (EMC Update) v0.20_NRA_model_for_NEMO2 (EMC Update) v0.21_NRA_model_for_NEMO2 (EMC Update) v0.22_NRA_model_for_NEMO2 (EMC Update) v0.26_NRA_model_for_NEMO2 (EMC Update) v0.29.2" xfId="602" xr:uid="{00000000-0005-0000-0000-00005A020000}"/>
    <cellStyle name="%_NRA_model_for_NEMO2 (EMC Update) v0.20_NRA_model_for_NEMO2 (EMC Update) v0.21_NRA_model_for_NEMO2 (EMC Update) v0.22_NRA_model_for_NEMO2 (EMC Update) v0.26_NRA_model_for_NEMO2 (EMC Update) v0.29.2_NRA_model_for_NEMO2 (EMC Update) v0 30 1" xfId="606" xr:uid="{00000000-0005-0000-0000-00005B020000}"/>
    <cellStyle name="%_NRA_model_for_NEMO2 (EMC Update) v0.20_NRA_model_for_NEMO2 (EMC Update) v0.21_NRA_model_for_NEMO2 (EMC Update) v0.22_NRA_model_for_NEMO2 (EMC Update) v0.26_NRA_model_for_NEMO2 (EMC Update) v0.29.2_NRA_model_for_NEMO2 (EMC Update) v0.29.3" xfId="603" xr:uid="{00000000-0005-0000-0000-00005C020000}"/>
    <cellStyle name="%_NRA_model_for_NEMO2 (EMC Update) v0.20_NRA_model_for_NEMO2 (EMC Update) v0.21_NRA_model_for_NEMO2 (EMC Update) v0.22_NRA_model_for_NEMO2 (EMC Update) v0.26_NRA_model_for_NEMO2 (EMC Update) v0.29.2_NRA_model_for_NEMO2 (EMC Update) v0.29.4" xfId="604" xr:uid="{00000000-0005-0000-0000-00005D020000}"/>
    <cellStyle name="%_NRA_model_for_NEMO2 (EMC Update) v0.20_NRA_model_for_NEMO2 (EMC Update) v0.21_NRA_model_for_NEMO2 (EMC Update) v0.22_NRA_model_for_NEMO2 (EMC Update) v0.26_NRA_model_for_NEMO2 (EMC Update) v0.29.2_NRA_model_for_NEMO2 (EMC Update) v0.29.5" xfId="605" xr:uid="{00000000-0005-0000-0000-00005E020000}"/>
    <cellStyle name="%_NRA_model_for_NEMO2 (EMC Update) v0.20_NRA_model_for_NEMO2 (EMC Update) v0.21_NRA_model_for_NEMO2 (EMC Update) v0.22_NRA_model_for_NEMO2 (EMC Update) v0.26_NRA_model_for_NEMO2 (EMC Update) v0.29.3" xfId="607" xr:uid="{00000000-0005-0000-0000-00005F020000}"/>
    <cellStyle name="%_NRA_model_for_NEMO2 (EMC Update) v0.20_NRA_model_for_NEMO2 (EMC Update) v0.21_NRA_model_for_NEMO2 (EMC Update) v0.22_NRA_model_for_NEMO2 (EMC Update) v0.26_NRA_model_for_NEMO2 (EMC Update) v0.29.3_NRA_model_for_NEMO2 (EMC Update) v0 30 1" xfId="609" xr:uid="{00000000-0005-0000-0000-000060020000}"/>
    <cellStyle name="%_NRA_model_for_NEMO2 (EMC Update) v0.20_NRA_model_for_NEMO2 (EMC Update) v0.21_NRA_model_for_NEMO2 (EMC Update) v0.22_NRA_model_for_NEMO2 (EMC Update) v0.26_NRA_model_for_NEMO2 (EMC Update) v0.29.3_NRA_model_for_NEMO2 (EMC Update) v0.29.5" xfId="608" xr:uid="{00000000-0005-0000-0000-000061020000}"/>
    <cellStyle name="%_NRA_model_for_NEMO2 (EMC Update) v0.20_NRA_model_for_NEMO2 (EMC Update) v0.21_NRA_model_for_NEMO2 (EMC Update) v0.22_NRA_model_for_NEMO2 (EMC Update) v0.26_NRA_model_for_NEMO2 (EMC Update) v0.29.4" xfId="610" xr:uid="{00000000-0005-0000-0000-000062020000}"/>
    <cellStyle name="%_NRA_model_for_NEMO2 (EMC Update) v0.20_NRA_model_for_NEMO2 (EMC Update) v0.21_NRA_model_for_NEMO2 (EMC Update) v0.22_NRA_model_for_NEMO2 (EMC Update) v0.26_NRA_model_for_NEMO2 (EMC Update) v0.29.4_NRA_model_for_NEMO2 (EMC Update) v0 30 1" xfId="612" xr:uid="{00000000-0005-0000-0000-000063020000}"/>
    <cellStyle name="%_NRA_model_for_NEMO2 (EMC Update) v0.20_NRA_model_for_NEMO2 (EMC Update) v0.21_NRA_model_for_NEMO2 (EMC Update) v0.22_NRA_model_for_NEMO2 (EMC Update) v0.26_NRA_model_for_NEMO2 (EMC Update) v0.29.4_NRA_model_for_NEMO2 (EMC Update) v0.29.5" xfId="611" xr:uid="{00000000-0005-0000-0000-000064020000}"/>
    <cellStyle name="%_NRA_model_for_NEMO2 (EMC Update) v0.20_NRA_model_for_NEMO2 (EMC Update) v0.21_NRA_model_for_NEMO2 (EMC Update) v0.22_NRA_model_for_NEMO2 (EMC Update) v0.26_NRA_model_for_NEMO2 (EMC Update) v0.29.5" xfId="613" xr:uid="{00000000-0005-0000-0000-000065020000}"/>
    <cellStyle name="%_NRA_model_for_NEMO2 (EMC Update) v0.20_NRA_model_for_NEMO2 (EMC Update) v0.21_NRA_model_for_NEMO2 (EMC Update) v0.22_NRA_model_for_NEMO2 (EMC Update) v0.26_NRA_model_for_NEMO2 (EMC Update) v0.29.5_NRA_model_for_NEMO2 (EMC Update) v0 30 1" xfId="614" xr:uid="{00000000-0005-0000-0000-000066020000}"/>
    <cellStyle name="%_NRA_model_for_NEMO2 (EMC Update) v0.20_NRA_model_for_NEMO2 (EMC Update) v0.21_NRA_model_for_NEMO2 (EMC Update) v0.22_NRA_model_for_NEMO2 (EMC Update) v0.26_NRA_model_for_NEMO2 (EMC Update) v0.29_NRA_model_for_NEMO2 (EMC Update) v0 30 1" xfId="619" xr:uid="{00000000-0005-0000-0000-000067020000}"/>
    <cellStyle name="%_NRA_model_for_NEMO2 (EMC Update) v0.20_NRA_model_for_NEMO2 (EMC Update) v0.21_NRA_model_for_NEMO2 (EMC Update) v0.22_NRA_model_for_NEMO2 (EMC Update) v0.26_NRA_model_for_NEMO2 (EMC Update) v0.29_NRA_model_for_NEMO2 (EMC Update) v0.29.2" xfId="615" xr:uid="{00000000-0005-0000-0000-000068020000}"/>
    <cellStyle name="%_NRA_model_for_NEMO2 (EMC Update) v0.20_NRA_model_for_NEMO2 (EMC Update) v0.21_NRA_model_for_NEMO2 (EMC Update) v0.22_NRA_model_for_NEMO2 (EMC Update) v0.26_NRA_model_for_NEMO2 (EMC Update) v0.29_NRA_model_for_NEMO2 (EMC Update) v0.29.3" xfId="616" xr:uid="{00000000-0005-0000-0000-000069020000}"/>
    <cellStyle name="%_NRA_model_for_NEMO2 (EMC Update) v0.20_NRA_model_for_NEMO2 (EMC Update) v0.21_NRA_model_for_NEMO2 (EMC Update) v0.22_NRA_model_for_NEMO2 (EMC Update) v0.26_NRA_model_for_NEMO2 (EMC Update) v0.29_NRA_model_for_NEMO2 (EMC Update) v0.29.4" xfId="617" xr:uid="{00000000-0005-0000-0000-00006A020000}"/>
    <cellStyle name="%_NRA_model_for_NEMO2 (EMC Update) v0.20_NRA_model_for_NEMO2 (EMC Update) v0.21_NRA_model_for_NEMO2 (EMC Update) v0.22_NRA_model_for_NEMO2 (EMC Update) v0.26_NRA_model_for_NEMO2 (EMC Update) v0.29_NRA_model_for_NEMO2 (EMC Update) v0.29.5" xfId="618" xr:uid="{00000000-0005-0000-0000-00006B020000}"/>
    <cellStyle name="%_NRA_model_for_NEMO2 (EMC Update) v0.20_NRA_model_for_NEMO2 (EMC Update) v0.21_NRA_model_for_NEMO2 (EMC Update) v0.22_NRA_model_for_NEMO2 (EMC Update) v0.29" xfId="621" xr:uid="{00000000-0005-0000-0000-00006C020000}"/>
    <cellStyle name="%_NRA_model_for_NEMO2 (EMC Update) v0.20_NRA_model_for_NEMO2 (EMC Update) v0.21_NRA_model_for_NEMO2 (EMC Update) v0.22_NRA_model_for_NEMO2 (EMC Update) v0.29.2" xfId="622" xr:uid="{00000000-0005-0000-0000-00006D020000}"/>
    <cellStyle name="%_NRA_model_for_NEMO2 (EMC Update) v0.20_NRA_model_for_NEMO2 (EMC Update) v0.21_NRA_model_for_NEMO2 (EMC Update) v0.22_NRA_model_for_NEMO2 (EMC Update) v0.29.2_NRA_model_for_NEMO2 (EMC Update) v0 30 1" xfId="631" xr:uid="{00000000-0005-0000-0000-00006E020000}"/>
    <cellStyle name="%_NRA_model_for_NEMO2 (EMC Update) v0.20_NRA_model_for_NEMO2 (EMC Update) v0.21_NRA_model_for_NEMO2 (EMC Update) v0.22_NRA_model_for_NEMO2 (EMC Update) v0.29.2_NRA_model_for_NEMO2 (EMC Update) v0.29.3" xfId="623" xr:uid="{00000000-0005-0000-0000-00006F020000}"/>
    <cellStyle name="%_NRA_model_for_NEMO2 (EMC Update) v0.20_NRA_model_for_NEMO2 (EMC Update) v0.21_NRA_model_for_NEMO2 (EMC Update) v0.22_NRA_model_for_NEMO2 (EMC Update) v0.29.2_NRA_model_for_NEMO2 (EMC Update) v0.29.3_NRA_model_for_NEMO2 (EMC Update) v0 30 1" xfId="625" xr:uid="{00000000-0005-0000-0000-000070020000}"/>
    <cellStyle name="%_NRA_model_for_NEMO2 (EMC Update) v0.20_NRA_model_for_NEMO2 (EMC Update) v0.21_NRA_model_for_NEMO2 (EMC Update) v0.22_NRA_model_for_NEMO2 (EMC Update) v0.29.2_NRA_model_for_NEMO2 (EMC Update) v0.29.3_NRA_model_for_NEMO2 (EMC Update) v0.29.5" xfId="624" xr:uid="{00000000-0005-0000-0000-000071020000}"/>
    <cellStyle name="%_NRA_model_for_NEMO2 (EMC Update) v0.20_NRA_model_for_NEMO2 (EMC Update) v0.21_NRA_model_for_NEMO2 (EMC Update) v0.22_NRA_model_for_NEMO2 (EMC Update) v0.29.2_NRA_model_for_NEMO2 (EMC Update) v0.29.4" xfId="626" xr:uid="{00000000-0005-0000-0000-000072020000}"/>
    <cellStyle name="%_NRA_model_for_NEMO2 (EMC Update) v0.20_NRA_model_for_NEMO2 (EMC Update) v0.21_NRA_model_for_NEMO2 (EMC Update) v0.22_NRA_model_for_NEMO2 (EMC Update) v0.29.2_NRA_model_for_NEMO2 (EMC Update) v0.29.4_NRA_model_for_NEMO2 (EMC Update) v0 30 1" xfId="628" xr:uid="{00000000-0005-0000-0000-000073020000}"/>
    <cellStyle name="%_NRA_model_for_NEMO2 (EMC Update) v0.20_NRA_model_for_NEMO2 (EMC Update) v0.21_NRA_model_for_NEMO2 (EMC Update) v0.22_NRA_model_for_NEMO2 (EMC Update) v0.29.2_NRA_model_for_NEMO2 (EMC Update) v0.29.4_NRA_model_for_NEMO2 (EMC Update) v0.29.5" xfId="627" xr:uid="{00000000-0005-0000-0000-000074020000}"/>
    <cellStyle name="%_NRA_model_for_NEMO2 (EMC Update) v0.20_NRA_model_for_NEMO2 (EMC Update) v0.21_NRA_model_for_NEMO2 (EMC Update) v0.22_NRA_model_for_NEMO2 (EMC Update) v0.29.2_NRA_model_for_NEMO2 (EMC Update) v0.29.5" xfId="629" xr:uid="{00000000-0005-0000-0000-000075020000}"/>
    <cellStyle name="%_NRA_model_for_NEMO2 (EMC Update) v0.20_NRA_model_for_NEMO2 (EMC Update) v0.21_NRA_model_for_NEMO2 (EMC Update) v0.22_NRA_model_for_NEMO2 (EMC Update) v0.29.2_NRA_model_for_NEMO2 (EMC Update) v0.29.5_NRA_model_for_NEMO2 (EMC Update) v0 30 1" xfId="630" xr:uid="{00000000-0005-0000-0000-000076020000}"/>
    <cellStyle name="%_NRA_model_for_NEMO2 (EMC Update) v0.20_NRA_model_for_NEMO2 (EMC Update) v0.21_NRA_model_for_NEMO2 (EMC Update) v0.22_NRA_model_for_NEMO2 (EMC Update) v0.29.3" xfId="632" xr:uid="{00000000-0005-0000-0000-000077020000}"/>
    <cellStyle name="%_NRA_model_for_NEMO2 (EMC Update) v0.20_NRA_model_for_NEMO2 (EMC Update) v0.21_NRA_model_for_NEMO2 (EMC Update) v0.22_NRA_model_for_NEMO2 (EMC Update) v0.29.3_NRA_model_for_NEMO2 (EMC Update) v0 30 1" xfId="635" xr:uid="{00000000-0005-0000-0000-000078020000}"/>
    <cellStyle name="%_NRA_model_for_NEMO2 (EMC Update) v0.20_NRA_model_for_NEMO2 (EMC Update) v0.21_NRA_model_for_NEMO2 (EMC Update) v0.22_NRA_model_for_NEMO2 (EMC Update) v0.29.3_NRA_model_for_NEMO2 (EMC Update) v0.29.5" xfId="633" xr:uid="{00000000-0005-0000-0000-000079020000}"/>
    <cellStyle name="%_NRA_model_for_NEMO2 (EMC Update) v0.20_NRA_model_for_NEMO2 (EMC Update) v0.21_NRA_model_for_NEMO2 (EMC Update) v0.22_NRA_model_for_NEMO2 (EMC Update) v0.29.3_NRA_model_for_NEMO2 (EMC Update) v0.29.5_NRA_model_for_NEMO2 (EMC Update) v0 30 1" xfId="634" xr:uid="{00000000-0005-0000-0000-00007A020000}"/>
    <cellStyle name="%_NRA_model_for_NEMO2 (EMC Update) v0.20_NRA_model_for_NEMO2 (EMC Update) v0.21_NRA_model_for_NEMO2 (EMC Update) v0.22_NRA_model_for_NEMO2 (EMC Update) v0.29.4" xfId="636" xr:uid="{00000000-0005-0000-0000-00007B020000}"/>
    <cellStyle name="%_NRA_model_for_NEMO2 (EMC Update) v0.20_NRA_model_for_NEMO2 (EMC Update) v0.21_NRA_model_for_NEMO2 (EMC Update) v0.22_NRA_model_for_NEMO2 (EMC Update) v0.29.4_NRA_model_for_NEMO2 (EMC Update) v0 30 1" xfId="639" xr:uid="{00000000-0005-0000-0000-00007C020000}"/>
    <cellStyle name="%_NRA_model_for_NEMO2 (EMC Update) v0.20_NRA_model_for_NEMO2 (EMC Update) v0.21_NRA_model_for_NEMO2 (EMC Update) v0.22_NRA_model_for_NEMO2 (EMC Update) v0.29.4_NRA_model_for_NEMO2 (EMC Update) v0.29.5" xfId="637" xr:uid="{00000000-0005-0000-0000-00007D020000}"/>
    <cellStyle name="%_NRA_model_for_NEMO2 (EMC Update) v0.20_NRA_model_for_NEMO2 (EMC Update) v0.21_NRA_model_for_NEMO2 (EMC Update) v0.22_NRA_model_for_NEMO2 (EMC Update) v0.29.4_NRA_model_for_NEMO2 (EMC Update) v0.29.5_NRA_model_for_NEMO2 (EMC Update) v0 30 1" xfId="638" xr:uid="{00000000-0005-0000-0000-00007E020000}"/>
    <cellStyle name="%_NRA_model_for_NEMO2 (EMC Update) v0.20_NRA_model_for_NEMO2 (EMC Update) v0.21_NRA_model_for_NEMO2 (EMC Update) v0.22_NRA_model_for_NEMO2 (EMC Update) v0.29.5" xfId="640" xr:uid="{00000000-0005-0000-0000-00007F020000}"/>
    <cellStyle name="%_NRA_model_for_NEMO2 (EMC Update) v0.20_NRA_model_for_NEMO2 (EMC Update) v0.21_NRA_model_for_NEMO2 (EMC Update) v0.22_NRA_model_for_NEMO2 (EMC Update) v0.29.5_NRA_model_for_NEMO2 (EMC Update) v0 30 1" xfId="641" xr:uid="{00000000-0005-0000-0000-000080020000}"/>
    <cellStyle name="%_NRA_model_for_NEMO2 (EMC Update) v0.20_NRA_model_for_NEMO2 (EMC Update) v0.21_NRA_model_for_NEMO2 (EMC Update) v0.22_NRA_model_for_NEMO2 (EMC Update) v0.29_NRA_model_for_NEMO2 (EMC Update) v0 30 1" xfId="655" xr:uid="{00000000-0005-0000-0000-000081020000}"/>
    <cellStyle name="%_NRA_model_for_NEMO2 (EMC Update) v0.20_NRA_model_for_NEMO2 (EMC Update) v0.21_NRA_model_for_NEMO2 (EMC Update) v0.22_NRA_model_for_NEMO2 (EMC Update) v0.29_NRA_model_for_NEMO2 (EMC Update) v0.29.2" xfId="642" xr:uid="{00000000-0005-0000-0000-000082020000}"/>
    <cellStyle name="%_NRA_model_for_NEMO2 (EMC Update) v0.20_NRA_model_for_NEMO2 (EMC Update) v0.21_NRA_model_for_NEMO2 (EMC Update) v0.22_NRA_model_for_NEMO2 (EMC Update) v0.29_NRA_model_for_NEMO2 (EMC Update) v0.29.2_NRA_model_for_NEMO2 (EMC Update) v0 30 1" xfId="646" xr:uid="{00000000-0005-0000-0000-000083020000}"/>
    <cellStyle name="%_NRA_model_for_NEMO2 (EMC Update) v0.20_NRA_model_for_NEMO2 (EMC Update) v0.21_NRA_model_for_NEMO2 (EMC Update) v0.22_NRA_model_for_NEMO2 (EMC Update) v0.29_NRA_model_for_NEMO2 (EMC Update) v0.29.2_NRA_model_for_NEMO2 (EMC Update) v0.29.3" xfId="643" xr:uid="{00000000-0005-0000-0000-000084020000}"/>
    <cellStyle name="%_NRA_model_for_NEMO2 (EMC Update) v0.20_NRA_model_for_NEMO2 (EMC Update) v0.21_NRA_model_for_NEMO2 (EMC Update) v0.22_NRA_model_for_NEMO2 (EMC Update) v0.29_NRA_model_for_NEMO2 (EMC Update) v0.29.2_NRA_model_for_NEMO2 (EMC Update) v0.29.4" xfId="644" xr:uid="{00000000-0005-0000-0000-000085020000}"/>
    <cellStyle name="%_NRA_model_for_NEMO2 (EMC Update) v0.20_NRA_model_for_NEMO2 (EMC Update) v0.21_NRA_model_for_NEMO2 (EMC Update) v0.22_NRA_model_for_NEMO2 (EMC Update) v0.29_NRA_model_for_NEMO2 (EMC Update) v0.29.2_NRA_model_for_NEMO2 (EMC Update) v0.29.5" xfId="645" xr:uid="{00000000-0005-0000-0000-000086020000}"/>
    <cellStyle name="%_NRA_model_for_NEMO2 (EMC Update) v0.20_NRA_model_for_NEMO2 (EMC Update) v0.21_NRA_model_for_NEMO2 (EMC Update) v0.22_NRA_model_for_NEMO2 (EMC Update) v0.29_NRA_model_for_NEMO2 (EMC Update) v0.29.3" xfId="647" xr:uid="{00000000-0005-0000-0000-000087020000}"/>
    <cellStyle name="%_NRA_model_for_NEMO2 (EMC Update) v0.20_NRA_model_for_NEMO2 (EMC Update) v0.21_NRA_model_for_NEMO2 (EMC Update) v0.22_NRA_model_for_NEMO2 (EMC Update) v0.29_NRA_model_for_NEMO2 (EMC Update) v0.29.3_NRA_model_for_NEMO2 (EMC Update) v0 30 1" xfId="649" xr:uid="{00000000-0005-0000-0000-000088020000}"/>
    <cellStyle name="%_NRA_model_for_NEMO2 (EMC Update) v0.20_NRA_model_for_NEMO2 (EMC Update) v0.21_NRA_model_for_NEMO2 (EMC Update) v0.22_NRA_model_for_NEMO2 (EMC Update) v0.29_NRA_model_for_NEMO2 (EMC Update) v0.29.3_NRA_model_for_NEMO2 (EMC Update) v0.29.5" xfId="648" xr:uid="{00000000-0005-0000-0000-000089020000}"/>
    <cellStyle name="%_NRA_model_for_NEMO2 (EMC Update) v0.20_NRA_model_for_NEMO2 (EMC Update) v0.21_NRA_model_for_NEMO2 (EMC Update) v0.22_NRA_model_for_NEMO2 (EMC Update) v0.29_NRA_model_for_NEMO2 (EMC Update) v0.29.4" xfId="650" xr:uid="{00000000-0005-0000-0000-00008A020000}"/>
    <cellStyle name="%_NRA_model_for_NEMO2 (EMC Update) v0.20_NRA_model_for_NEMO2 (EMC Update) v0.21_NRA_model_for_NEMO2 (EMC Update) v0.22_NRA_model_for_NEMO2 (EMC Update) v0.29_NRA_model_for_NEMO2 (EMC Update) v0.29.4_NRA_model_for_NEMO2 (EMC Update) v0 30 1" xfId="652" xr:uid="{00000000-0005-0000-0000-00008B020000}"/>
    <cellStyle name="%_NRA_model_for_NEMO2 (EMC Update) v0.20_NRA_model_for_NEMO2 (EMC Update) v0.21_NRA_model_for_NEMO2 (EMC Update) v0.22_NRA_model_for_NEMO2 (EMC Update) v0.29_NRA_model_for_NEMO2 (EMC Update) v0.29.4_NRA_model_for_NEMO2 (EMC Update) v0.29.5" xfId="651" xr:uid="{00000000-0005-0000-0000-00008C020000}"/>
    <cellStyle name="%_NRA_model_for_NEMO2 (EMC Update) v0.20_NRA_model_for_NEMO2 (EMC Update) v0.21_NRA_model_for_NEMO2 (EMC Update) v0.22_NRA_model_for_NEMO2 (EMC Update) v0.29_NRA_model_for_NEMO2 (EMC Update) v0.29.5" xfId="653" xr:uid="{00000000-0005-0000-0000-00008D020000}"/>
    <cellStyle name="%_NRA_model_for_NEMO2 (EMC Update) v0.20_NRA_model_for_NEMO2 (EMC Update) v0.21_NRA_model_for_NEMO2 (EMC Update) v0.22_NRA_model_for_NEMO2 (EMC Update) v0.29_NRA_model_for_NEMO2 (EMC Update) v0.29.5_NRA_model_for_NEMO2 (EMC Update) v0 30 1" xfId="654" xr:uid="{00000000-0005-0000-0000-00008E020000}"/>
    <cellStyle name="%_NRA_model_for_NEMO2 (EMC Update) v0.20_NRA_model_for_NEMO2 (EMC Update) v0.21_NRA_model_for_NEMO2 (EMC Update) v0.25" xfId="657" xr:uid="{00000000-0005-0000-0000-00008F020000}"/>
    <cellStyle name="%_NRA_model_for_NEMO2 (EMC Update) v0.20_NRA_model_for_NEMO2 (EMC Update) v0.21_NRA_model_for_NEMO2 (EMC Update) v0.25_NRA_model_for_NEMO2 (EMC Update) v0 30 1" xfId="714" xr:uid="{00000000-0005-0000-0000-000090020000}"/>
    <cellStyle name="%_NRA_model_for_NEMO2 (EMC Update) v0.20_NRA_model_for_NEMO2 (EMC Update) v0.21_NRA_model_for_NEMO2 (EMC Update) v0.25_NRA_model_for_NEMO2 (EMC Update) v0.26" xfId="658" xr:uid="{00000000-0005-0000-0000-000091020000}"/>
    <cellStyle name="%_NRA_model_for_NEMO2 (EMC Update) v0.20_NRA_model_for_NEMO2 (EMC Update) v0.21_NRA_model_for_NEMO2 (EMC Update) v0.25_NRA_model_for_NEMO2 (EMC Update) v0.26_NRA_model_for_NEMO2 (EMC Update) v0 30 1" xfId="678" xr:uid="{00000000-0005-0000-0000-000092020000}"/>
    <cellStyle name="%_NRA_model_for_NEMO2 (EMC Update) v0.20_NRA_model_for_NEMO2 (EMC Update) v0.21_NRA_model_for_NEMO2 (EMC Update) v0.25_NRA_model_for_NEMO2 (EMC Update) v0.26_NRA_model_for_NEMO2 (EMC Update) v0.29" xfId="659" xr:uid="{00000000-0005-0000-0000-000093020000}"/>
    <cellStyle name="%_NRA_model_for_NEMO2 (EMC Update) v0.20_NRA_model_for_NEMO2 (EMC Update) v0.21_NRA_model_for_NEMO2 (EMC Update) v0.25_NRA_model_for_NEMO2 (EMC Update) v0.26_NRA_model_for_NEMO2 (EMC Update) v0.29.2" xfId="660" xr:uid="{00000000-0005-0000-0000-000094020000}"/>
    <cellStyle name="%_NRA_model_for_NEMO2 (EMC Update) v0.20_NRA_model_for_NEMO2 (EMC Update) v0.21_NRA_model_for_NEMO2 (EMC Update) v0.25_NRA_model_for_NEMO2 (EMC Update) v0.26_NRA_model_for_NEMO2 (EMC Update) v0.29.2_NRA_model_for_NEMO2 (EMC Update) v0 30 1" xfId="664" xr:uid="{00000000-0005-0000-0000-000095020000}"/>
    <cellStyle name="%_NRA_model_for_NEMO2 (EMC Update) v0.20_NRA_model_for_NEMO2 (EMC Update) v0.21_NRA_model_for_NEMO2 (EMC Update) v0.25_NRA_model_for_NEMO2 (EMC Update) v0.26_NRA_model_for_NEMO2 (EMC Update) v0.29.2_NRA_model_for_NEMO2 (EMC Update) v0.29.3" xfId="661" xr:uid="{00000000-0005-0000-0000-000096020000}"/>
    <cellStyle name="%_NRA_model_for_NEMO2 (EMC Update) v0.20_NRA_model_for_NEMO2 (EMC Update) v0.21_NRA_model_for_NEMO2 (EMC Update) v0.25_NRA_model_for_NEMO2 (EMC Update) v0.26_NRA_model_for_NEMO2 (EMC Update) v0.29.2_NRA_model_for_NEMO2 (EMC Update) v0.29.4" xfId="662" xr:uid="{00000000-0005-0000-0000-000097020000}"/>
    <cellStyle name="%_NRA_model_for_NEMO2 (EMC Update) v0.20_NRA_model_for_NEMO2 (EMC Update) v0.21_NRA_model_for_NEMO2 (EMC Update) v0.25_NRA_model_for_NEMO2 (EMC Update) v0.26_NRA_model_for_NEMO2 (EMC Update) v0.29.2_NRA_model_for_NEMO2 (EMC Update) v0.29.5" xfId="663" xr:uid="{00000000-0005-0000-0000-000098020000}"/>
    <cellStyle name="%_NRA_model_for_NEMO2 (EMC Update) v0.20_NRA_model_for_NEMO2 (EMC Update) v0.21_NRA_model_for_NEMO2 (EMC Update) v0.25_NRA_model_for_NEMO2 (EMC Update) v0.26_NRA_model_for_NEMO2 (EMC Update) v0.29.3" xfId="665" xr:uid="{00000000-0005-0000-0000-000099020000}"/>
    <cellStyle name="%_NRA_model_for_NEMO2 (EMC Update) v0.20_NRA_model_for_NEMO2 (EMC Update) v0.21_NRA_model_for_NEMO2 (EMC Update) v0.25_NRA_model_for_NEMO2 (EMC Update) v0.26_NRA_model_for_NEMO2 (EMC Update) v0.29.3_NRA_model_for_NEMO2 (EMC Update) v0 30 1" xfId="667" xr:uid="{00000000-0005-0000-0000-00009A020000}"/>
    <cellStyle name="%_NRA_model_for_NEMO2 (EMC Update) v0.20_NRA_model_for_NEMO2 (EMC Update) v0.21_NRA_model_for_NEMO2 (EMC Update) v0.25_NRA_model_for_NEMO2 (EMC Update) v0.26_NRA_model_for_NEMO2 (EMC Update) v0.29.3_NRA_model_for_NEMO2 (EMC Update) v0.29.5" xfId="666" xr:uid="{00000000-0005-0000-0000-00009B020000}"/>
    <cellStyle name="%_NRA_model_for_NEMO2 (EMC Update) v0.20_NRA_model_for_NEMO2 (EMC Update) v0.21_NRA_model_for_NEMO2 (EMC Update) v0.25_NRA_model_for_NEMO2 (EMC Update) v0.26_NRA_model_for_NEMO2 (EMC Update) v0.29.4" xfId="668" xr:uid="{00000000-0005-0000-0000-00009C020000}"/>
    <cellStyle name="%_NRA_model_for_NEMO2 (EMC Update) v0.20_NRA_model_for_NEMO2 (EMC Update) v0.21_NRA_model_for_NEMO2 (EMC Update) v0.25_NRA_model_for_NEMO2 (EMC Update) v0.26_NRA_model_for_NEMO2 (EMC Update) v0.29.4_NRA_model_for_NEMO2 (EMC Update) v0 30 1" xfId="670" xr:uid="{00000000-0005-0000-0000-00009D020000}"/>
    <cellStyle name="%_NRA_model_for_NEMO2 (EMC Update) v0.20_NRA_model_for_NEMO2 (EMC Update) v0.21_NRA_model_for_NEMO2 (EMC Update) v0.25_NRA_model_for_NEMO2 (EMC Update) v0.26_NRA_model_for_NEMO2 (EMC Update) v0.29.4_NRA_model_for_NEMO2 (EMC Update) v0.29.5" xfId="669" xr:uid="{00000000-0005-0000-0000-00009E020000}"/>
    <cellStyle name="%_NRA_model_for_NEMO2 (EMC Update) v0.20_NRA_model_for_NEMO2 (EMC Update) v0.21_NRA_model_for_NEMO2 (EMC Update) v0.25_NRA_model_for_NEMO2 (EMC Update) v0.26_NRA_model_for_NEMO2 (EMC Update) v0.29.5" xfId="671" xr:uid="{00000000-0005-0000-0000-00009F020000}"/>
    <cellStyle name="%_NRA_model_for_NEMO2 (EMC Update) v0.20_NRA_model_for_NEMO2 (EMC Update) v0.21_NRA_model_for_NEMO2 (EMC Update) v0.25_NRA_model_for_NEMO2 (EMC Update) v0.26_NRA_model_for_NEMO2 (EMC Update) v0.29.5_NRA_model_for_NEMO2 (EMC Update) v0 30 1" xfId="672" xr:uid="{00000000-0005-0000-0000-0000A0020000}"/>
    <cellStyle name="%_NRA_model_for_NEMO2 (EMC Update) v0.20_NRA_model_for_NEMO2 (EMC Update) v0.21_NRA_model_for_NEMO2 (EMC Update) v0.25_NRA_model_for_NEMO2 (EMC Update) v0.26_NRA_model_for_NEMO2 (EMC Update) v0.29_NRA_model_for_NEMO2 (EMC Update) v0 30 1" xfId="677" xr:uid="{00000000-0005-0000-0000-0000A1020000}"/>
    <cellStyle name="%_NRA_model_for_NEMO2 (EMC Update) v0.20_NRA_model_for_NEMO2 (EMC Update) v0.21_NRA_model_for_NEMO2 (EMC Update) v0.25_NRA_model_for_NEMO2 (EMC Update) v0.26_NRA_model_for_NEMO2 (EMC Update) v0.29_NRA_model_for_NEMO2 (EMC Update) v0.29.2" xfId="673" xr:uid="{00000000-0005-0000-0000-0000A2020000}"/>
    <cellStyle name="%_NRA_model_for_NEMO2 (EMC Update) v0.20_NRA_model_for_NEMO2 (EMC Update) v0.21_NRA_model_for_NEMO2 (EMC Update) v0.25_NRA_model_for_NEMO2 (EMC Update) v0.26_NRA_model_for_NEMO2 (EMC Update) v0.29_NRA_model_for_NEMO2 (EMC Update) v0.29.3" xfId="674" xr:uid="{00000000-0005-0000-0000-0000A3020000}"/>
    <cellStyle name="%_NRA_model_for_NEMO2 (EMC Update) v0.20_NRA_model_for_NEMO2 (EMC Update) v0.21_NRA_model_for_NEMO2 (EMC Update) v0.25_NRA_model_for_NEMO2 (EMC Update) v0.26_NRA_model_for_NEMO2 (EMC Update) v0.29_NRA_model_for_NEMO2 (EMC Update) v0.29.4" xfId="675" xr:uid="{00000000-0005-0000-0000-0000A4020000}"/>
    <cellStyle name="%_NRA_model_for_NEMO2 (EMC Update) v0.20_NRA_model_for_NEMO2 (EMC Update) v0.21_NRA_model_for_NEMO2 (EMC Update) v0.25_NRA_model_for_NEMO2 (EMC Update) v0.26_NRA_model_for_NEMO2 (EMC Update) v0.29_NRA_model_for_NEMO2 (EMC Update) v0.29.5" xfId="676" xr:uid="{00000000-0005-0000-0000-0000A5020000}"/>
    <cellStyle name="%_NRA_model_for_NEMO2 (EMC Update) v0.20_NRA_model_for_NEMO2 (EMC Update) v0.21_NRA_model_for_NEMO2 (EMC Update) v0.25_NRA_model_for_NEMO2 (EMC Update) v0.29" xfId="679" xr:uid="{00000000-0005-0000-0000-0000A6020000}"/>
    <cellStyle name="%_NRA_model_for_NEMO2 (EMC Update) v0.20_NRA_model_for_NEMO2 (EMC Update) v0.21_NRA_model_for_NEMO2 (EMC Update) v0.25_NRA_model_for_NEMO2 (EMC Update) v0.29.2" xfId="680" xr:uid="{00000000-0005-0000-0000-0000A7020000}"/>
    <cellStyle name="%_NRA_model_for_NEMO2 (EMC Update) v0.20_NRA_model_for_NEMO2 (EMC Update) v0.21_NRA_model_for_NEMO2 (EMC Update) v0.25_NRA_model_for_NEMO2 (EMC Update) v0.29.2_NRA_model_for_NEMO2 (EMC Update) v0 30 1" xfId="689" xr:uid="{00000000-0005-0000-0000-0000A8020000}"/>
    <cellStyle name="%_NRA_model_for_NEMO2 (EMC Update) v0.20_NRA_model_for_NEMO2 (EMC Update) v0.21_NRA_model_for_NEMO2 (EMC Update) v0.25_NRA_model_for_NEMO2 (EMC Update) v0.29.2_NRA_model_for_NEMO2 (EMC Update) v0.29.3" xfId="681" xr:uid="{00000000-0005-0000-0000-0000A9020000}"/>
    <cellStyle name="%_NRA_model_for_NEMO2 (EMC Update) v0.20_NRA_model_for_NEMO2 (EMC Update) v0.21_NRA_model_for_NEMO2 (EMC Update) v0.25_NRA_model_for_NEMO2 (EMC Update) v0.29.2_NRA_model_for_NEMO2 (EMC Update) v0.29.3_NRA_model_for_NEMO2 (EMC Update) v0 30 1" xfId="683" xr:uid="{00000000-0005-0000-0000-0000AA020000}"/>
    <cellStyle name="%_NRA_model_for_NEMO2 (EMC Update) v0.20_NRA_model_for_NEMO2 (EMC Update) v0.21_NRA_model_for_NEMO2 (EMC Update) v0.25_NRA_model_for_NEMO2 (EMC Update) v0.29.2_NRA_model_for_NEMO2 (EMC Update) v0.29.3_NRA_model_for_NEMO2 (EMC Update) v0.29.5" xfId="682" xr:uid="{00000000-0005-0000-0000-0000AB020000}"/>
    <cellStyle name="%_NRA_model_for_NEMO2 (EMC Update) v0.20_NRA_model_for_NEMO2 (EMC Update) v0.21_NRA_model_for_NEMO2 (EMC Update) v0.25_NRA_model_for_NEMO2 (EMC Update) v0.29.2_NRA_model_for_NEMO2 (EMC Update) v0.29.4" xfId="684" xr:uid="{00000000-0005-0000-0000-0000AC020000}"/>
    <cellStyle name="%_NRA_model_for_NEMO2 (EMC Update) v0.20_NRA_model_for_NEMO2 (EMC Update) v0.21_NRA_model_for_NEMO2 (EMC Update) v0.25_NRA_model_for_NEMO2 (EMC Update) v0.29.2_NRA_model_for_NEMO2 (EMC Update) v0.29.4_NRA_model_for_NEMO2 (EMC Update) v0 30 1" xfId="686" xr:uid="{00000000-0005-0000-0000-0000AD020000}"/>
    <cellStyle name="%_NRA_model_for_NEMO2 (EMC Update) v0.20_NRA_model_for_NEMO2 (EMC Update) v0.21_NRA_model_for_NEMO2 (EMC Update) v0.25_NRA_model_for_NEMO2 (EMC Update) v0.29.2_NRA_model_for_NEMO2 (EMC Update) v0.29.4_NRA_model_for_NEMO2 (EMC Update) v0.29.5" xfId="685" xr:uid="{00000000-0005-0000-0000-0000AE020000}"/>
    <cellStyle name="%_NRA_model_for_NEMO2 (EMC Update) v0.20_NRA_model_for_NEMO2 (EMC Update) v0.21_NRA_model_for_NEMO2 (EMC Update) v0.25_NRA_model_for_NEMO2 (EMC Update) v0.29.2_NRA_model_for_NEMO2 (EMC Update) v0.29.5" xfId="687" xr:uid="{00000000-0005-0000-0000-0000AF020000}"/>
    <cellStyle name="%_NRA_model_for_NEMO2 (EMC Update) v0.20_NRA_model_for_NEMO2 (EMC Update) v0.21_NRA_model_for_NEMO2 (EMC Update) v0.25_NRA_model_for_NEMO2 (EMC Update) v0.29.2_NRA_model_for_NEMO2 (EMC Update) v0.29.5_NRA_model_for_NEMO2 (EMC Update) v0 30 1" xfId="688" xr:uid="{00000000-0005-0000-0000-0000B0020000}"/>
    <cellStyle name="%_NRA_model_for_NEMO2 (EMC Update) v0.20_NRA_model_for_NEMO2 (EMC Update) v0.21_NRA_model_for_NEMO2 (EMC Update) v0.25_NRA_model_for_NEMO2 (EMC Update) v0.29.3" xfId="690" xr:uid="{00000000-0005-0000-0000-0000B1020000}"/>
    <cellStyle name="%_NRA_model_for_NEMO2 (EMC Update) v0.20_NRA_model_for_NEMO2 (EMC Update) v0.21_NRA_model_for_NEMO2 (EMC Update) v0.25_NRA_model_for_NEMO2 (EMC Update) v0.29.3_NRA_model_for_NEMO2 (EMC Update) v0 30 1" xfId="693" xr:uid="{00000000-0005-0000-0000-0000B2020000}"/>
    <cellStyle name="%_NRA_model_for_NEMO2 (EMC Update) v0.20_NRA_model_for_NEMO2 (EMC Update) v0.21_NRA_model_for_NEMO2 (EMC Update) v0.25_NRA_model_for_NEMO2 (EMC Update) v0.29.3_NRA_model_for_NEMO2 (EMC Update) v0.29.5" xfId="691" xr:uid="{00000000-0005-0000-0000-0000B3020000}"/>
    <cellStyle name="%_NRA_model_for_NEMO2 (EMC Update) v0.20_NRA_model_for_NEMO2 (EMC Update) v0.21_NRA_model_for_NEMO2 (EMC Update) v0.25_NRA_model_for_NEMO2 (EMC Update) v0.29.3_NRA_model_for_NEMO2 (EMC Update) v0.29.5_NRA_model_for_NEMO2 (EMC Update) v0 30 1" xfId="692" xr:uid="{00000000-0005-0000-0000-0000B4020000}"/>
    <cellStyle name="%_NRA_model_for_NEMO2 (EMC Update) v0.20_NRA_model_for_NEMO2 (EMC Update) v0.21_NRA_model_for_NEMO2 (EMC Update) v0.25_NRA_model_for_NEMO2 (EMC Update) v0.29.4" xfId="694" xr:uid="{00000000-0005-0000-0000-0000B5020000}"/>
    <cellStyle name="%_NRA_model_for_NEMO2 (EMC Update) v0.20_NRA_model_for_NEMO2 (EMC Update) v0.21_NRA_model_for_NEMO2 (EMC Update) v0.25_NRA_model_for_NEMO2 (EMC Update) v0.29.4_NRA_model_for_NEMO2 (EMC Update) v0 30 1" xfId="697" xr:uid="{00000000-0005-0000-0000-0000B6020000}"/>
    <cellStyle name="%_NRA_model_for_NEMO2 (EMC Update) v0.20_NRA_model_for_NEMO2 (EMC Update) v0.21_NRA_model_for_NEMO2 (EMC Update) v0.25_NRA_model_for_NEMO2 (EMC Update) v0.29.4_NRA_model_for_NEMO2 (EMC Update) v0.29.5" xfId="695" xr:uid="{00000000-0005-0000-0000-0000B7020000}"/>
    <cellStyle name="%_NRA_model_for_NEMO2 (EMC Update) v0.20_NRA_model_for_NEMO2 (EMC Update) v0.21_NRA_model_for_NEMO2 (EMC Update) v0.25_NRA_model_for_NEMO2 (EMC Update) v0.29.4_NRA_model_for_NEMO2 (EMC Update) v0.29.5_NRA_model_for_NEMO2 (EMC Update) v0 30 1" xfId="696" xr:uid="{00000000-0005-0000-0000-0000B8020000}"/>
    <cellStyle name="%_NRA_model_for_NEMO2 (EMC Update) v0.20_NRA_model_for_NEMO2 (EMC Update) v0.21_NRA_model_for_NEMO2 (EMC Update) v0.25_NRA_model_for_NEMO2 (EMC Update) v0.29.5" xfId="698" xr:uid="{00000000-0005-0000-0000-0000B9020000}"/>
    <cellStyle name="%_NRA_model_for_NEMO2 (EMC Update) v0.20_NRA_model_for_NEMO2 (EMC Update) v0.21_NRA_model_for_NEMO2 (EMC Update) v0.25_NRA_model_for_NEMO2 (EMC Update) v0.29.5_NRA_model_for_NEMO2 (EMC Update) v0 30 1" xfId="699" xr:uid="{00000000-0005-0000-0000-0000BA020000}"/>
    <cellStyle name="%_NRA_model_for_NEMO2 (EMC Update) v0.20_NRA_model_for_NEMO2 (EMC Update) v0.21_NRA_model_for_NEMO2 (EMC Update) v0.25_NRA_model_for_NEMO2 (EMC Update) v0.29_NRA_model_for_NEMO2 (EMC Update) v0 30 1" xfId="713" xr:uid="{00000000-0005-0000-0000-0000BB020000}"/>
    <cellStyle name="%_NRA_model_for_NEMO2 (EMC Update) v0.20_NRA_model_for_NEMO2 (EMC Update) v0.21_NRA_model_for_NEMO2 (EMC Update) v0.25_NRA_model_for_NEMO2 (EMC Update) v0.29_NRA_model_for_NEMO2 (EMC Update) v0.29.2" xfId="700" xr:uid="{00000000-0005-0000-0000-0000BC020000}"/>
    <cellStyle name="%_NRA_model_for_NEMO2 (EMC Update) v0.20_NRA_model_for_NEMO2 (EMC Update) v0.21_NRA_model_for_NEMO2 (EMC Update) v0.25_NRA_model_for_NEMO2 (EMC Update) v0.29_NRA_model_for_NEMO2 (EMC Update) v0.29.2_NRA_model_for_NEMO2 (EMC Update) v0 30 1" xfId="704" xr:uid="{00000000-0005-0000-0000-0000BD020000}"/>
    <cellStyle name="%_NRA_model_for_NEMO2 (EMC Update) v0.20_NRA_model_for_NEMO2 (EMC Update) v0.21_NRA_model_for_NEMO2 (EMC Update) v0.25_NRA_model_for_NEMO2 (EMC Update) v0.29_NRA_model_for_NEMO2 (EMC Update) v0.29.2_NRA_model_for_NEMO2 (EMC Update) v0.29.3" xfId="701" xr:uid="{00000000-0005-0000-0000-0000BE020000}"/>
    <cellStyle name="%_NRA_model_for_NEMO2 (EMC Update) v0.20_NRA_model_for_NEMO2 (EMC Update) v0.21_NRA_model_for_NEMO2 (EMC Update) v0.25_NRA_model_for_NEMO2 (EMC Update) v0.29_NRA_model_for_NEMO2 (EMC Update) v0.29.2_NRA_model_for_NEMO2 (EMC Update) v0.29.4" xfId="702" xr:uid="{00000000-0005-0000-0000-0000BF020000}"/>
    <cellStyle name="%_NRA_model_for_NEMO2 (EMC Update) v0.20_NRA_model_for_NEMO2 (EMC Update) v0.21_NRA_model_for_NEMO2 (EMC Update) v0.25_NRA_model_for_NEMO2 (EMC Update) v0.29_NRA_model_for_NEMO2 (EMC Update) v0.29.2_NRA_model_for_NEMO2 (EMC Update) v0.29.5" xfId="703" xr:uid="{00000000-0005-0000-0000-0000C0020000}"/>
    <cellStyle name="%_NRA_model_for_NEMO2 (EMC Update) v0.20_NRA_model_for_NEMO2 (EMC Update) v0.21_NRA_model_for_NEMO2 (EMC Update) v0.25_NRA_model_for_NEMO2 (EMC Update) v0.29_NRA_model_for_NEMO2 (EMC Update) v0.29.3" xfId="705" xr:uid="{00000000-0005-0000-0000-0000C1020000}"/>
    <cellStyle name="%_NRA_model_for_NEMO2 (EMC Update) v0.20_NRA_model_for_NEMO2 (EMC Update) v0.21_NRA_model_for_NEMO2 (EMC Update) v0.25_NRA_model_for_NEMO2 (EMC Update) v0.29_NRA_model_for_NEMO2 (EMC Update) v0.29.3_NRA_model_for_NEMO2 (EMC Update) v0 30 1" xfId="707" xr:uid="{00000000-0005-0000-0000-0000C2020000}"/>
    <cellStyle name="%_NRA_model_for_NEMO2 (EMC Update) v0.20_NRA_model_for_NEMO2 (EMC Update) v0.21_NRA_model_for_NEMO2 (EMC Update) v0.25_NRA_model_for_NEMO2 (EMC Update) v0.29_NRA_model_for_NEMO2 (EMC Update) v0.29.3_NRA_model_for_NEMO2 (EMC Update) v0.29.5" xfId="706" xr:uid="{00000000-0005-0000-0000-0000C3020000}"/>
    <cellStyle name="%_NRA_model_for_NEMO2 (EMC Update) v0.20_NRA_model_for_NEMO2 (EMC Update) v0.21_NRA_model_for_NEMO2 (EMC Update) v0.25_NRA_model_for_NEMO2 (EMC Update) v0.29_NRA_model_for_NEMO2 (EMC Update) v0.29.4" xfId="708" xr:uid="{00000000-0005-0000-0000-0000C4020000}"/>
    <cellStyle name="%_NRA_model_for_NEMO2 (EMC Update) v0.20_NRA_model_for_NEMO2 (EMC Update) v0.21_NRA_model_for_NEMO2 (EMC Update) v0.25_NRA_model_for_NEMO2 (EMC Update) v0.29_NRA_model_for_NEMO2 (EMC Update) v0.29.4_NRA_model_for_NEMO2 (EMC Update) v0 30 1" xfId="710" xr:uid="{00000000-0005-0000-0000-0000C5020000}"/>
    <cellStyle name="%_NRA_model_for_NEMO2 (EMC Update) v0.20_NRA_model_for_NEMO2 (EMC Update) v0.21_NRA_model_for_NEMO2 (EMC Update) v0.25_NRA_model_for_NEMO2 (EMC Update) v0.29_NRA_model_for_NEMO2 (EMC Update) v0.29.4_NRA_model_for_NEMO2 (EMC Update) v0.29.5" xfId="709" xr:uid="{00000000-0005-0000-0000-0000C6020000}"/>
    <cellStyle name="%_NRA_model_for_NEMO2 (EMC Update) v0.20_NRA_model_for_NEMO2 (EMC Update) v0.21_NRA_model_for_NEMO2 (EMC Update) v0.25_NRA_model_for_NEMO2 (EMC Update) v0.29_NRA_model_for_NEMO2 (EMC Update) v0.29.5" xfId="711" xr:uid="{00000000-0005-0000-0000-0000C7020000}"/>
    <cellStyle name="%_NRA_model_for_NEMO2 (EMC Update) v0.20_NRA_model_for_NEMO2 (EMC Update) v0.21_NRA_model_for_NEMO2 (EMC Update) v0.25_NRA_model_for_NEMO2 (EMC Update) v0.29_NRA_model_for_NEMO2 (EMC Update) v0.29.5_NRA_model_for_NEMO2 (EMC Update) v0 30 1" xfId="712" xr:uid="{00000000-0005-0000-0000-0000C8020000}"/>
    <cellStyle name="%_NRA_model_for_NEMO2 (EMC Update) v0.20_NRA_model_for_NEMO2 (EMC Update) v0.21_NRA_model_for_NEMO2 (EMC Update) v0.26" xfId="715" xr:uid="{00000000-0005-0000-0000-0000C9020000}"/>
    <cellStyle name="%_NRA_model_for_NEMO2 (EMC Update) v0.20_NRA_model_for_NEMO2 (EMC Update) v0.21_NRA_model_for_NEMO2 (EMC Update) v0.26_NRA_model_for_NEMO2 (EMC Update) v0 30 1" xfId="751" xr:uid="{00000000-0005-0000-0000-0000CA020000}"/>
    <cellStyle name="%_NRA_model_for_NEMO2 (EMC Update) v0.20_NRA_model_for_NEMO2 (EMC Update) v0.21_NRA_model_for_NEMO2 (EMC Update) v0.26_NRA_model_for_NEMO2 (EMC Update) v0.29" xfId="716" xr:uid="{00000000-0005-0000-0000-0000CB020000}"/>
    <cellStyle name="%_NRA_model_for_NEMO2 (EMC Update) v0.20_NRA_model_for_NEMO2 (EMC Update) v0.21_NRA_model_for_NEMO2 (EMC Update) v0.26_NRA_model_for_NEMO2 (EMC Update) v0.29.2" xfId="717" xr:uid="{00000000-0005-0000-0000-0000CC020000}"/>
    <cellStyle name="%_NRA_model_for_NEMO2 (EMC Update) v0.20_NRA_model_for_NEMO2 (EMC Update) v0.21_NRA_model_for_NEMO2 (EMC Update) v0.26_NRA_model_for_NEMO2 (EMC Update) v0.29.2_NRA_model_for_NEMO2 (EMC Update) v0 30 1" xfId="726" xr:uid="{00000000-0005-0000-0000-0000CD020000}"/>
    <cellStyle name="%_NRA_model_for_NEMO2 (EMC Update) v0.20_NRA_model_for_NEMO2 (EMC Update) v0.21_NRA_model_for_NEMO2 (EMC Update) v0.26_NRA_model_for_NEMO2 (EMC Update) v0.29.2_NRA_model_for_NEMO2 (EMC Update) v0.29.3" xfId="718" xr:uid="{00000000-0005-0000-0000-0000CE020000}"/>
    <cellStyle name="%_NRA_model_for_NEMO2 (EMC Update) v0.20_NRA_model_for_NEMO2 (EMC Update) v0.21_NRA_model_for_NEMO2 (EMC Update) v0.26_NRA_model_for_NEMO2 (EMC Update) v0.29.2_NRA_model_for_NEMO2 (EMC Update) v0.29.3_NRA_model_for_NEMO2 (EMC Update) v0 30 1" xfId="720" xr:uid="{00000000-0005-0000-0000-0000CF020000}"/>
    <cellStyle name="%_NRA_model_for_NEMO2 (EMC Update) v0.20_NRA_model_for_NEMO2 (EMC Update) v0.21_NRA_model_for_NEMO2 (EMC Update) v0.26_NRA_model_for_NEMO2 (EMC Update) v0.29.2_NRA_model_for_NEMO2 (EMC Update) v0.29.3_NRA_model_for_NEMO2 (EMC Update) v0.29.5" xfId="719" xr:uid="{00000000-0005-0000-0000-0000D0020000}"/>
    <cellStyle name="%_NRA_model_for_NEMO2 (EMC Update) v0.20_NRA_model_for_NEMO2 (EMC Update) v0.21_NRA_model_for_NEMO2 (EMC Update) v0.26_NRA_model_for_NEMO2 (EMC Update) v0.29.2_NRA_model_for_NEMO2 (EMC Update) v0.29.4" xfId="721" xr:uid="{00000000-0005-0000-0000-0000D1020000}"/>
    <cellStyle name="%_NRA_model_for_NEMO2 (EMC Update) v0.20_NRA_model_for_NEMO2 (EMC Update) v0.21_NRA_model_for_NEMO2 (EMC Update) v0.26_NRA_model_for_NEMO2 (EMC Update) v0.29.2_NRA_model_for_NEMO2 (EMC Update) v0.29.4_NRA_model_for_NEMO2 (EMC Update) v0 30 1" xfId="723" xr:uid="{00000000-0005-0000-0000-0000D2020000}"/>
    <cellStyle name="%_NRA_model_for_NEMO2 (EMC Update) v0.20_NRA_model_for_NEMO2 (EMC Update) v0.21_NRA_model_for_NEMO2 (EMC Update) v0.26_NRA_model_for_NEMO2 (EMC Update) v0.29.2_NRA_model_for_NEMO2 (EMC Update) v0.29.4_NRA_model_for_NEMO2 (EMC Update) v0.29.5" xfId="722" xr:uid="{00000000-0005-0000-0000-0000D3020000}"/>
    <cellStyle name="%_NRA_model_for_NEMO2 (EMC Update) v0.20_NRA_model_for_NEMO2 (EMC Update) v0.21_NRA_model_for_NEMO2 (EMC Update) v0.26_NRA_model_for_NEMO2 (EMC Update) v0.29.2_NRA_model_for_NEMO2 (EMC Update) v0.29.5" xfId="724" xr:uid="{00000000-0005-0000-0000-0000D4020000}"/>
    <cellStyle name="%_NRA_model_for_NEMO2 (EMC Update) v0.20_NRA_model_for_NEMO2 (EMC Update) v0.21_NRA_model_for_NEMO2 (EMC Update) v0.26_NRA_model_for_NEMO2 (EMC Update) v0.29.2_NRA_model_for_NEMO2 (EMC Update) v0.29.5_NRA_model_for_NEMO2 (EMC Update) v0 30 1" xfId="725" xr:uid="{00000000-0005-0000-0000-0000D5020000}"/>
    <cellStyle name="%_NRA_model_for_NEMO2 (EMC Update) v0.20_NRA_model_for_NEMO2 (EMC Update) v0.21_NRA_model_for_NEMO2 (EMC Update) v0.26_NRA_model_for_NEMO2 (EMC Update) v0.29.3" xfId="727" xr:uid="{00000000-0005-0000-0000-0000D6020000}"/>
    <cellStyle name="%_NRA_model_for_NEMO2 (EMC Update) v0.20_NRA_model_for_NEMO2 (EMC Update) v0.21_NRA_model_for_NEMO2 (EMC Update) v0.26_NRA_model_for_NEMO2 (EMC Update) v0.29.3_NRA_model_for_NEMO2 (EMC Update) v0 30 1" xfId="730" xr:uid="{00000000-0005-0000-0000-0000D7020000}"/>
    <cellStyle name="%_NRA_model_for_NEMO2 (EMC Update) v0.20_NRA_model_for_NEMO2 (EMC Update) v0.21_NRA_model_for_NEMO2 (EMC Update) v0.26_NRA_model_for_NEMO2 (EMC Update) v0.29.3_NRA_model_for_NEMO2 (EMC Update) v0.29.5" xfId="728" xr:uid="{00000000-0005-0000-0000-0000D8020000}"/>
    <cellStyle name="%_NRA_model_for_NEMO2 (EMC Update) v0.20_NRA_model_for_NEMO2 (EMC Update) v0.21_NRA_model_for_NEMO2 (EMC Update) v0.26_NRA_model_for_NEMO2 (EMC Update) v0.29.3_NRA_model_for_NEMO2 (EMC Update) v0.29.5_NRA_model_for_NEMO2 (EMC Update) v0 30 1" xfId="729" xr:uid="{00000000-0005-0000-0000-0000D9020000}"/>
    <cellStyle name="%_NRA_model_for_NEMO2 (EMC Update) v0.20_NRA_model_for_NEMO2 (EMC Update) v0.21_NRA_model_for_NEMO2 (EMC Update) v0.26_NRA_model_for_NEMO2 (EMC Update) v0.29.4" xfId="731" xr:uid="{00000000-0005-0000-0000-0000DA020000}"/>
    <cellStyle name="%_NRA_model_for_NEMO2 (EMC Update) v0.20_NRA_model_for_NEMO2 (EMC Update) v0.21_NRA_model_for_NEMO2 (EMC Update) v0.26_NRA_model_for_NEMO2 (EMC Update) v0.29.4_NRA_model_for_NEMO2 (EMC Update) v0 30 1" xfId="734" xr:uid="{00000000-0005-0000-0000-0000DB020000}"/>
    <cellStyle name="%_NRA_model_for_NEMO2 (EMC Update) v0.20_NRA_model_for_NEMO2 (EMC Update) v0.21_NRA_model_for_NEMO2 (EMC Update) v0.26_NRA_model_for_NEMO2 (EMC Update) v0.29.4_NRA_model_for_NEMO2 (EMC Update) v0.29.5" xfId="732" xr:uid="{00000000-0005-0000-0000-0000DC020000}"/>
    <cellStyle name="%_NRA_model_for_NEMO2 (EMC Update) v0.20_NRA_model_for_NEMO2 (EMC Update) v0.21_NRA_model_for_NEMO2 (EMC Update) v0.26_NRA_model_for_NEMO2 (EMC Update) v0.29.4_NRA_model_for_NEMO2 (EMC Update) v0.29.5_NRA_model_for_NEMO2 (EMC Update) v0 30 1" xfId="733" xr:uid="{00000000-0005-0000-0000-0000DD020000}"/>
    <cellStyle name="%_NRA_model_for_NEMO2 (EMC Update) v0.20_NRA_model_for_NEMO2 (EMC Update) v0.21_NRA_model_for_NEMO2 (EMC Update) v0.26_NRA_model_for_NEMO2 (EMC Update) v0.29.5" xfId="735" xr:uid="{00000000-0005-0000-0000-0000DE020000}"/>
    <cellStyle name="%_NRA_model_for_NEMO2 (EMC Update) v0.20_NRA_model_for_NEMO2 (EMC Update) v0.21_NRA_model_for_NEMO2 (EMC Update) v0.26_NRA_model_for_NEMO2 (EMC Update) v0.29.5_NRA_model_for_NEMO2 (EMC Update) v0 30 1" xfId="736" xr:uid="{00000000-0005-0000-0000-0000DF020000}"/>
    <cellStyle name="%_NRA_model_for_NEMO2 (EMC Update) v0.20_NRA_model_for_NEMO2 (EMC Update) v0.21_NRA_model_for_NEMO2 (EMC Update) v0.26_NRA_model_for_NEMO2 (EMC Update) v0.29_NRA_model_for_NEMO2 (EMC Update) v0 30 1" xfId="750" xr:uid="{00000000-0005-0000-0000-0000E0020000}"/>
    <cellStyle name="%_NRA_model_for_NEMO2 (EMC Update) v0.20_NRA_model_for_NEMO2 (EMC Update) v0.21_NRA_model_for_NEMO2 (EMC Update) v0.26_NRA_model_for_NEMO2 (EMC Update) v0.29_NRA_model_for_NEMO2 (EMC Update) v0.29.2" xfId="737" xr:uid="{00000000-0005-0000-0000-0000E1020000}"/>
    <cellStyle name="%_NRA_model_for_NEMO2 (EMC Update) v0.20_NRA_model_for_NEMO2 (EMC Update) v0.21_NRA_model_for_NEMO2 (EMC Update) v0.26_NRA_model_for_NEMO2 (EMC Update) v0.29_NRA_model_for_NEMO2 (EMC Update) v0.29.2_NRA_model_for_NEMO2 (EMC Update) v0 30 1" xfId="741" xr:uid="{00000000-0005-0000-0000-0000E2020000}"/>
    <cellStyle name="%_NRA_model_for_NEMO2 (EMC Update) v0.20_NRA_model_for_NEMO2 (EMC Update) v0.21_NRA_model_for_NEMO2 (EMC Update) v0.26_NRA_model_for_NEMO2 (EMC Update) v0.29_NRA_model_for_NEMO2 (EMC Update) v0.29.2_NRA_model_for_NEMO2 (EMC Update) v0.29.3" xfId="738" xr:uid="{00000000-0005-0000-0000-0000E3020000}"/>
    <cellStyle name="%_NRA_model_for_NEMO2 (EMC Update) v0.20_NRA_model_for_NEMO2 (EMC Update) v0.21_NRA_model_for_NEMO2 (EMC Update) v0.26_NRA_model_for_NEMO2 (EMC Update) v0.29_NRA_model_for_NEMO2 (EMC Update) v0.29.2_NRA_model_for_NEMO2 (EMC Update) v0.29.4" xfId="739" xr:uid="{00000000-0005-0000-0000-0000E4020000}"/>
    <cellStyle name="%_NRA_model_for_NEMO2 (EMC Update) v0.20_NRA_model_for_NEMO2 (EMC Update) v0.21_NRA_model_for_NEMO2 (EMC Update) v0.26_NRA_model_for_NEMO2 (EMC Update) v0.29_NRA_model_for_NEMO2 (EMC Update) v0.29.2_NRA_model_for_NEMO2 (EMC Update) v0.29.5" xfId="740" xr:uid="{00000000-0005-0000-0000-0000E5020000}"/>
    <cellStyle name="%_NRA_model_for_NEMO2 (EMC Update) v0.20_NRA_model_for_NEMO2 (EMC Update) v0.21_NRA_model_for_NEMO2 (EMC Update) v0.26_NRA_model_for_NEMO2 (EMC Update) v0.29_NRA_model_for_NEMO2 (EMC Update) v0.29.3" xfId="742" xr:uid="{00000000-0005-0000-0000-0000E6020000}"/>
    <cellStyle name="%_NRA_model_for_NEMO2 (EMC Update) v0.20_NRA_model_for_NEMO2 (EMC Update) v0.21_NRA_model_for_NEMO2 (EMC Update) v0.26_NRA_model_for_NEMO2 (EMC Update) v0.29_NRA_model_for_NEMO2 (EMC Update) v0.29.3_NRA_model_for_NEMO2 (EMC Update) v0 30 1" xfId="744" xr:uid="{00000000-0005-0000-0000-0000E7020000}"/>
    <cellStyle name="%_NRA_model_for_NEMO2 (EMC Update) v0.20_NRA_model_for_NEMO2 (EMC Update) v0.21_NRA_model_for_NEMO2 (EMC Update) v0.26_NRA_model_for_NEMO2 (EMC Update) v0.29_NRA_model_for_NEMO2 (EMC Update) v0.29.3_NRA_model_for_NEMO2 (EMC Update) v0.29.5" xfId="743" xr:uid="{00000000-0005-0000-0000-0000E8020000}"/>
    <cellStyle name="%_NRA_model_for_NEMO2 (EMC Update) v0.20_NRA_model_for_NEMO2 (EMC Update) v0.21_NRA_model_for_NEMO2 (EMC Update) v0.26_NRA_model_for_NEMO2 (EMC Update) v0.29_NRA_model_for_NEMO2 (EMC Update) v0.29.4" xfId="745" xr:uid="{00000000-0005-0000-0000-0000E9020000}"/>
    <cellStyle name="%_NRA_model_for_NEMO2 (EMC Update) v0.20_NRA_model_for_NEMO2 (EMC Update) v0.21_NRA_model_for_NEMO2 (EMC Update) v0.26_NRA_model_for_NEMO2 (EMC Update) v0.29_NRA_model_for_NEMO2 (EMC Update) v0.29.4_NRA_model_for_NEMO2 (EMC Update) v0 30 1" xfId="747" xr:uid="{00000000-0005-0000-0000-0000EA020000}"/>
    <cellStyle name="%_NRA_model_for_NEMO2 (EMC Update) v0.20_NRA_model_for_NEMO2 (EMC Update) v0.21_NRA_model_for_NEMO2 (EMC Update) v0.26_NRA_model_for_NEMO2 (EMC Update) v0.29_NRA_model_for_NEMO2 (EMC Update) v0.29.4_NRA_model_for_NEMO2 (EMC Update) v0.29.5" xfId="746" xr:uid="{00000000-0005-0000-0000-0000EB020000}"/>
    <cellStyle name="%_NRA_model_for_NEMO2 (EMC Update) v0.20_NRA_model_for_NEMO2 (EMC Update) v0.21_NRA_model_for_NEMO2 (EMC Update) v0.26_NRA_model_for_NEMO2 (EMC Update) v0.29_NRA_model_for_NEMO2 (EMC Update) v0.29.5" xfId="748" xr:uid="{00000000-0005-0000-0000-0000EC020000}"/>
    <cellStyle name="%_NRA_model_for_NEMO2 (EMC Update) v0.20_NRA_model_for_NEMO2 (EMC Update) v0.21_NRA_model_for_NEMO2 (EMC Update) v0.26_NRA_model_for_NEMO2 (EMC Update) v0.29_NRA_model_for_NEMO2 (EMC Update) v0.29.5_NRA_model_for_NEMO2 (EMC Update) v0 30 1" xfId="749" xr:uid="{00000000-0005-0000-0000-0000ED020000}"/>
    <cellStyle name="%_NRA_model_for_NEMO2 (EMC Update) v0.20_NRA_model_for_NEMO2 (EMC Update) v0.21_NRA_model_for_NEMO2 (EMC Update) v0.29" xfId="752" xr:uid="{00000000-0005-0000-0000-0000EE020000}"/>
    <cellStyle name="%_NRA_model_for_NEMO2 (EMC Update) v0.20_NRA_model_for_NEMO2 (EMC Update) v0.21_NRA_model_for_NEMO2 (EMC Update) v0.29.2" xfId="753" xr:uid="{00000000-0005-0000-0000-0000EF020000}"/>
    <cellStyle name="%_NRA_model_for_NEMO2 (EMC Update) v0.20_NRA_model_for_NEMO2 (EMC Update) v0.21_NRA_model_for_NEMO2 (EMC Update) v0.29.2_NRA_model_for_NEMO2 (EMC Update) v0 30 1" xfId="764" xr:uid="{00000000-0005-0000-0000-0000F0020000}"/>
    <cellStyle name="%_NRA_model_for_NEMO2 (EMC Update) v0.20_NRA_model_for_NEMO2 (EMC Update) v0.21_NRA_model_for_NEMO2 (EMC Update) v0.29.2_NRA_model_for_NEMO2 (EMC Update) v0.29.3" xfId="754" xr:uid="{00000000-0005-0000-0000-0000F1020000}"/>
    <cellStyle name="%_NRA_model_for_NEMO2 (EMC Update) v0.20_NRA_model_for_NEMO2 (EMC Update) v0.21_NRA_model_for_NEMO2 (EMC Update) v0.29.2_NRA_model_for_NEMO2 (EMC Update) v0.29.3_NRA_model_for_NEMO2 (EMC Update) v0 30 1" xfId="757" xr:uid="{00000000-0005-0000-0000-0000F2020000}"/>
    <cellStyle name="%_NRA_model_for_NEMO2 (EMC Update) v0.20_NRA_model_for_NEMO2 (EMC Update) v0.21_NRA_model_for_NEMO2 (EMC Update) v0.29.2_NRA_model_for_NEMO2 (EMC Update) v0.29.3_NRA_model_for_NEMO2 (EMC Update) v0.29.5" xfId="755" xr:uid="{00000000-0005-0000-0000-0000F3020000}"/>
    <cellStyle name="%_NRA_model_for_NEMO2 (EMC Update) v0.20_NRA_model_for_NEMO2 (EMC Update) v0.21_NRA_model_for_NEMO2 (EMC Update) v0.29.2_NRA_model_for_NEMO2 (EMC Update) v0.29.3_NRA_model_for_NEMO2 (EMC Update) v0.29.5_NRA_model_for_NEMO2 (EMC Update) v0 30 1" xfId="756" xr:uid="{00000000-0005-0000-0000-0000F4020000}"/>
    <cellStyle name="%_NRA_model_for_NEMO2 (EMC Update) v0.20_NRA_model_for_NEMO2 (EMC Update) v0.21_NRA_model_for_NEMO2 (EMC Update) v0.29.2_NRA_model_for_NEMO2 (EMC Update) v0.29.4" xfId="758" xr:uid="{00000000-0005-0000-0000-0000F5020000}"/>
    <cellStyle name="%_NRA_model_for_NEMO2 (EMC Update) v0.20_NRA_model_for_NEMO2 (EMC Update) v0.21_NRA_model_for_NEMO2 (EMC Update) v0.29.2_NRA_model_for_NEMO2 (EMC Update) v0.29.4_NRA_model_for_NEMO2 (EMC Update) v0 30 1" xfId="761" xr:uid="{00000000-0005-0000-0000-0000F6020000}"/>
    <cellStyle name="%_NRA_model_for_NEMO2 (EMC Update) v0.20_NRA_model_for_NEMO2 (EMC Update) v0.21_NRA_model_for_NEMO2 (EMC Update) v0.29.2_NRA_model_for_NEMO2 (EMC Update) v0.29.4_NRA_model_for_NEMO2 (EMC Update) v0.29.5" xfId="759" xr:uid="{00000000-0005-0000-0000-0000F7020000}"/>
    <cellStyle name="%_NRA_model_for_NEMO2 (EMC Update) v0.20_NRA_model_for_NEMO2 (EMC Update) v0.21_NRA_model_for_NEMO2 (EMC Update) v0.29.2_NRA_model_for_NEMO2 (EMC Update) v0.29.4_NRA_model_for_NEMO2 (EMC Update) v0.29.5_NRA_model_for_NEMO2 (EMC Update) v0 30 1" xfId="760" xr:uid="{00000000-0005-0000-0000-0000F8020000}"/>
    <cellStyle name="%_NRA_model_for_NEMO2 (EMC Update) v0.20_NRA_model_for_NEMO2 (EMC Update) v0.21_NRA_model_for_NEMO2 (EMC Update) v0.29.2_NRA_model_for_NEMO2 (EMC Update) v0.29.5" xfId="762" xr:uid="{00000000-0005-0000-0000-0000F9020000}"/>
    <cellStyle name="%_NRA_model_for_NEMO2 (EMC Update) v0.20_NRA_model_for_NEMO2 (EMC Update) v0.21_NRA_model_for_NEMO2 (EMC Update) v0.29.2_NRA_model_for_NEMO2 (EMC Update) v0.29.5_NRA_model_for_NEMO2 (EMC Update) v0 30 1" xfId="763" xr:uid="{00000000-0005-0000-0000-0000FA020000}"/>
    <cellStyle name="%_NRA_model_for_NEMO2 (EMC Update) v0.20_NRA_model_for_NEMO2 (EMC Update) v0.21_NRA_model_for_NEMO2 (EMC Update) v0.29.3" xfId="765" xr:uid="{00000000-0005-0000-0000-0000FB020000}"/>
    <cellStyle name="%_NRA_model_for_NEMO2 (EMC Update) v0.20_NRA_model_for_NEMO2 (EMC Update) v0.21_NRA_model_for_NEMO2 (EMC Update) v0.29.3_NRA_model_for_NEMO2 (EMC Update) v0 30 1" xfId="768" xr:uid="{00000000-0005-0000-0000-0000FC020000}"/>
    <cellStyle name="%_NRA_model_for_NEMO2 (EMC Update) v0.20_NRA_model_for_NEMO2 (EMC Update) v0.21_NRA_model_for_NEMO2 (EMC Update) v0.29.3_NRA_model_for_NEMO2 (EMC Update) v0.29.5" xfId="766" xr:uid="{00000000-0005-0000-0000-0000FD020000}"/>
    <cellStyle name="%_NRA_model_for_NEMO2 (EMC Update) v0.20_NRA_model_for_NEMO2 (EMC Update) v0.21_NRA_model_for_NEMO2 (EMC Update) v0.29.3_NRA_model_for_NEMO2 (EMC Update) v0.29.5_NRA_model_for_NEMO2 (EMC Update) v0 30 1" xfId="767" xr:uid="{00000000-0005-0000-0000-0000FE020000}"/>
    <cellStyle name="%_NRA_model_for_NEMO2 (EMC Update) v0.20_NRA_model_for_NEMO2 (EMC Update) v0.21_NRA_model_for_NEMO2 (EMC Update) v0.29.4" xfId="769" xr:uid="{00000000-0005-0000-0000-0000FF020000}"/>
    <cellStyle name="%_NRA_model_for_NEMO2 (EMC Update) v0.20_NRA_model_for_NEMO2 (EMC Update) v0.21_NRA_model_for_NEMO2 (EMC Update) v0.29.4_NRA_model_for_NEMO2 (EMC Update) v0 30 1" xfId="772" xr:uid="{00000000-0005-0000-0000-000000030000}"/>
    <cellStyle name="%_NRA_model_for_NEMO2 (EMC Update) v0.20_NRA_model_for_NEMO2 (EMC Update) v0.21_NRA_model_for_NEMO2 (EMC Update) v0.29.4_NRA_model_for_NEMO2 (EMC Update) v0.29.5" xfId="770" xr:uid="{00000000-0005-0000-0000-000001030000}"/>
    <cellStyle name="%_NRA_model_for_NEMO2 (EMC Update) v0.20_NRA_model_for_NEMO2 (EMC Update) v0.21_NRA_model_for_NEMO2 (EMC Update) v0.29.4_NRA_model_for_NEMO2 (EMC Update) v0.29.5_NRA_model_for_NEMO2 (EMC Update) v0 30 1" xfId="771" xr:uid="{00000000-0005-0000-0000-000002030000}"/>
    <cellStyle name="%_NRA_model_for_NEMO2 (EMC Update) v0.20_NRA_model_for_NEMO2 (EMC Update) v0.21_NRA_model_for_NEMO2 (EMC Update) v0.29.5" xfId="773" xr:uid="{00000000-0005-0000-0000-000003030000}"/>
    <cellStyle name="%_NRA_model_for_NEMO2 (EMC Update) v0.20_NRA_model_for_NEMO2 (EMC Update) v0.21_NRA_model_for_NEMO2 (EMC Update) v0.29.5_NRA_model_for_NEMO2 (EMC Update) v0 30 1" xfId="774" xr:uid="{00000000-0005-0000-0000-000004030000}"/>
    <cellStyle name="%_NRA_model_for_NEMO2 (EMC Update) v0.20_NRA_model_for_NEMO2 (EMC Update) v0.21_NRA_model_for_NEMO2 (EMC Update) v0.29_NRA_model_for_NEMO2 (EMC Update) v0 30 1" xfId="795" xr:uid="{00000000-0005-0000-0000-000005030000}"/>
    <cellStyle name="%_NRA_model_for_NEMO2 (EMC Update) v0.20_NRA_model_for_NEMO2 (EMC Update) v0.21_NRA_model_for_NEMO2 (EMC Update) v0.29_NRA_model_for_NEMO2 (EMC Update) v0.29.2" xfId="775" xr:uid="{00000000-0005-0000-0000-000006030000}"/>
    <cellStyle name="%_NRA_model_for_NEMO2 (EMC Update) v0.20_NRA_model_for_NEMO2 (EMC Update) v0.21_NRA_model_for_NEMO2 (EMC Update) v0.29_NRA_model_for_NEMO2 (EMC Update) v0.29.2_NRA_model_for_NEMO2 (EMC Update) v0 30 1" xfId="784" xr:uid="{00000000-0005-0000-0000-000007030000}"/>
    <cellStyle name="%_NRA_model_for_NEMO2 (EMC Update) v0.20_NRA_model_for_NEMO2 (EMC Update) v0.21_NRA_model_for_NEMO2 (EMC Update) v0.29_NRA_model_for_NEMO2 (EMC Update) v0.29.2_NRA_model_for_NEMO2 (EMC Update) v0.29.3" xfId="776" xr:uid="{00000000-0005-0000-0000-000008030000}"/>
    <cellStyle name="%_NRA_model_for_NEMO2 (EMC Update) v0.20_NRA_model_for_NEMO2 (EMC Update) v0.21_NRA_model_for_NEMO2 (EMC Update) v0.29_NRA_model_for_NEMO2 (EMC Update) v0.29.2_NRA_model_for_NEMO2 (EMC Update) v0.29.3_NRA_model_for_NEMO2 (EMC Update) v0 30 1" xfId="778" xr:uid="{00000000-0005-0000-0000-000009030000}"/>
    <cellStyle name="%_NRA_model_for_NEMO2 (EMC Update) v0.20_NRA_model_for_NEMO2 (EMC Update) v0.21_NRA_model_for_NEMO2 (EMC Update) v0.29_NRA_model_for_NEMO2 (EMC Update) v0.29.2_NRA_model_for_NEMO2 (EMC Update) v0.29.3_NRA_model_for_NEMO2 (EMC Update) v0.29.5" xfId="777" xr:uid="{00000000-0005-0000-0000-00000A030000}"/>
    <cellStyle name="%_NRA_model_for_NEMO2 (EMC Update) v0.20_NRA_model_for_NEMO2 (EMC Update) v0.21_NRA_model_for_NEMO2 (EMC Update) v0.29_NRA_model_for_NEMO2 (EMC Update) v0.29.2_NRA_model_for_NEMO2 (EMC Update) v0.29.4" xfId="779" xr:uid="{00000000-0005-0000-0000-00000B030000}"/>
    <cellStyle name="%_NRA_model_for_NEMO2 (EMC Update) v0.20_NRA_model_for_NEMO2 (EMC Update) v0.21_NRA_model_for_NEMO2 (EMC Update) v0.29_NRA_model_for_NEMO2 (EMC Update) v0.29.2_NRA_model_for_NEMO2 (EMC Update) v0.29.4_NRA_model_for_NEMO2 (EMC Update) v0 30 1" xfId="781" xr:uid="{00000000-0005-0000-0000-00000C030000}"/>
    <cellStyle name="%_NRA_model_for_NEMO2 (EMC Update) v0.20_NRA_model_for_NEMO2 (EMC Update) v0.21_NRA_model_for_NEMO2 (EMC Update) v0.29_NRA_model_for_NEMO2 (EMC Update) v0.29.2_NRA_model_for_NEMO2 (EMC Update) v0.29.4_NRA_model_for_NEMO2 (EMC Update) v0.29.5" xfId="780" xr:uid="{00000000-0005-0000-0000-00000D030000}"/>
    <cellStyle name="%_NRA_model_for_NEMO2 (EMC Update) v0.20_NRA_model_for_NEMO2 (EMC Update) v0.21_NRA_model_for_NEMO2 (EMC Update) v0.29_NRA_model_for_NEMO2 (EMC Update) v0.29.2_NRA_model_for_NEMO2 (EMC Update) v0.29.5" xfId="782" xr:uid="{00000000-0005-0000-0000-00000E030000}"/>
    <cellStyle name="%_NRA_model_for_NEMO2 (EMC Update) v0.20_NRA_model_for_NEMO2 (EMC Update) v0.21_NRA_model_for_NEMO2 (EMC Update) v0.29_NRA_model_for_NEMO2 (EMC Update) v0.29.2_NRA_model_for_NEMO2 (EMC Update) v0.29.5_NRA_model_for_NEMO2 (EMC Update) v0 30 1" xfId="783" xr:uid="{00000000-0005-0000-0000-00000F030000}"/>
    <cellStyle name="%_NRA_model_for_NEMO2 (EMC Update) v0.20_NRA_model_for_NEMO2 (EMC Update) v0.21_NRA_model_for_NEMO2 (EMC Update) v0.29_NRA_model_for_NEMO2 (EMC Update) v0.29.3" xfId="785" xr:uid="{00000000-0005-0000-0000-000010030000}"/>
    <cellStyle name="%_NRA_model_for_NEMO2 (EMC Update) v0.20_NRA_model_for_NEMO2 (EMC Update) v0.21_NRA_model_for_NEMO2 (EMC Update) v0.29_NRA_model_for_NEMO2 (EMC Update) v0.29.3_NRA_model_for_NEMO2 (EMC Update) v0 30 1" xfId="788" xr:uid="{00000000-0005-0000-0000-000011030000}"/>
    <cellStyle name="%_NRA_model_for_NEMO2 (EMC Update) v0.20_NRA_model_for_NEMO2 (EMC Update) v0.21_NRA_model_for_NEMO2 (EMC Update) v0.29_NRA_model_for_NEMO2 (EMC Update) v0.29.3_NRA_model_for_NEMO2 (EMC Update) v0.29.5" xfId="786" xr:uid="{00000000-0005-0000-0000-000012030000}"/>
    <cellStyle name="%_NRA_model_for_NEMO2 (EMC Update) v0.20_NRA_model_for_NEMO2 (EMC Update) v0.21_NRA_model_for_NEMO2 (EMC Update) v0.29_NRA_model_for_NEMO2 (EMC Update) v0.29.3_NRA_model_for_NEMO2 (EMC Update) v0.29.5_NRA_model_for_NEMO2 (EMC Update) v0 30 1" xfId="787" xr:uid="{00000000-0005-0000-0000-000013030000}"/>
    <cellStyle name="%_NRA_model_for_NEMO2 (EMC Update) v0.20_NRA_model_for_NEMO2 (EMC Update) v0.21_NRA_model_for_NEMO2 (EMC Update) v0.29_NRA_model_for_NEMO2 (EMC Update) v0.29.4" xfId="789" xr:uid="{00000000-0005-0000-0000-000014030000}"/>
    <cellStyle name="%_NRA_model_for_NEMO2 (EMC Update) v0.20_NRA_model_for_NEMO2 (EMC Update) v0.21_NRA_model_for_NEMO2 (EMC Update) v0.29_NRA_model_for_NEMO2 (EMC Update) v0.29.4_NRA_model_for_NEMO2 (EMC Update) v0 30 1" xfId="792" xr:uid="{00000000-0005-0000-0000-000015030000}"/>
    <cellStyle name="%_NRA_model_for_NEMO2 (EMC Update) v0.20_NRA_model_for_NEMO2 (EMC Update) v0.21_NRA_model_for_NEMO2 (EMC Update) v0.29_NRA_model_for_NEMO2 (EMC Update) v0.29.4_NRA_model_for_NEMO2 (EMC Update) v0.29.5" xfId="790" xr:uid="{00000000-0005-0000-0000-000016030000}"/>
    <cellStyle name="%_NRA_model_for_NEMO2 (EMC Update) v0.20_NRA_model_for_NEMO2 (EMC Update) v0.21_NRA_model_for_NEMO2 (EMC Update) v0.29_NRA_model_for_NEMO2 (EMC Update) v0.29.4_NRA_model_for_NEMO2 (EMC Update) v0.29.5_NRA_model_for_NEMO2 (EMC Update) v0 30 1" xfId="791" xr:uid="{00000000-0005-0000-0000-000017030000}"/>
    <cellStyle name="%_NRA_model_for_NEMO2 (EMC Update) v0.20_NRA_model_for_NEMO2 (EMC Update) v0.21_NRA_model_for_NEMO2 (EMC Update) v0.29_NRA_model_for_NEMO2 (EMC Update) v0.29.5" xfId="793" xr:uid="{00000000-0005-0000-0000-000018030000}"/>
    <cellStyle name="%_NRA_model_for_NEMO2 (EMC Update) v0.20_NRA_model_for_NEMO2 (EMC Update) v0.21_NRA_model_for_NEMO2 (EMC Update) v0.29_NRA_model_for_NEMO2 (EMC Update) v0.29.5_NRA_model_for_NEMO2 (EMC Update) v0 30 1" xfId="794" xr:uid="{00000000-0005-0000-0000-000019030000}"/>
    <cellStyle name="%_NRA_model_for_NEMO2 (EMC Update) v0.20_NRA_model_for_NEMO2 (EMC Update) v0.22" xfId="797" xr:uid="{00000000-0005-0000-0000-00001A030000}"/>
    <cellStyle name="%_NRA_model_for_NEMO2 (EMC Update) v0.20_NRA_model_for_NEMO2 (EMC Update) v0.22_NRA_model_for_NEMO2 (EMC Update) v0 30 1" xfId="937" xr:uid="{00000000-0005-0000-0000-00001B030000}"/>
    <cellStyle name="%_NRA_model_for_NEMO2 (EMC Update) v0.20_NRA_model_for_NEMO2 (EMC Update) v0.22_NRA_model_for_NEMO2 (EMC Update) v0.25" xfId="798" xr:uid="{00000000-0005-0000-0000-00001C030000}"/>
    <cellStyle name="%_NRA_model_for_NEMO2 (EMC Update) v0.20_NRA_model_for_NEMO2 (EMC Update) v0.22_NRA_model_for_NEMO2 (EMC Update) v0.25_NRA_model_for_NEMO2 (EMC Update) v0 30 1" xfId="855" xr:uid="{00000000-0005-0000-0000-00001D030000}"/>
    <cellStyle name="%_NRA_model_for_NEMO2 (EMC Update) v0.20_NRA_model_for_NEMO2 (EMC Update) v0.22_NRA_model_for_NEMO2 (EMC Update) v0.25_NRA_model_for_NEMO2 (EMC Update) v0.26" xfId="799" xr:uid="{00000000-0005-0000-0000-00001E030000}"/>
    <cellStyle name="%_NRA_model_for_NEMO2 (EMC Update) v0.20_NRA_model_for_NEMO2 (EMC Update) v0.22_NRA_model_for_NEMO2 (EMC Update) v0.25_NRA_model_for_NEMO2 (EMC Update) v0.26_NRA_model_for_NEMO2 (EMC Update) v0 30 1" xfId="819" xr:uid="{00000000-0005-0000-0000-00001F030000}"/>
    <cellStyle name="%_NRA_model_for_NEMO2 (EMC Update) v0.20_NRA_model_for_NEMO2 (EMC Update) v0.22_NRA_model_for_NEMO2 (EMC Update) v0.25_NRA_model_for_NEMO2 (EMC Update) v0.26_NRA_model_for_NEMO2 (EMC Update) v0.29" xfId="800" xr:uid="{00000000-0005-0000-0000-000020030000}"/>
    <cellStyle name="%_NRA_model_for_NEMO2 (EMC Update) v0.20_NRA_model_for_NEMO2 (EMC Update) v0.22_NRA_model_for_NEMO2 (EMC Update) v0.25_NRA_model_for_NEMO2 (EMC Update) v0.26_NRA_model_for_NEMO2 (EMC Update) v0.29.2" xfId="801" xr:uid="{00000000-0005-0000-0000-000021030000}"/>
    <cellStyle name="%_NRA_model_for_NEMO2 (EMC Update) v0.20_NRA_model_for_NEMO2 (EMC Update) v0.22_NRA_model_for_NEMO2 (EMC Update) v0.25_NRA_model_for_NEMO2 (EMC Update) v0.26_NRA_model_for_NEMO2 (EMC Update) v0.29.2_NRA_model_for_NEMO2 (EMC Update) v0 30 1" xfId="805" xr:uid="{00000000-0005-0000-0000-000022030000}"/>
    <cellStyle name="%_NRA_model_for_NEMO2 (EMC Update) v0.20_NRA_model_for_NEMO2 (EMC Update) v0.22_NRA_model_for_NEMO2 (EMC Update) v0.25_NRA_model_for_NEMO2 (EMC Update) v0.26_NRA_model_for_NEMO2 (EMC Update) v0.29.2_NRA_model_for_NEMO2 (EMC Update) v0.29.3" xfId="802" xr:uid="{00000000-0005-0000-0000-000023030000}"/>
    <cellStyle name="%_NRA_model_for_NEMO2 (EMC Update) v0.20_NRA_model_for_NEMO2 (EMC Update) v0.22_NRA_model_for_NEMO2 (EMC Update) v0.25_NRA_model_for_NEMO2 (EMC Update) v0.26_NRA_model_for_NEMO2 (EMC Update) v0.29.2_NRA_model_for_NEMO2 (EMC Update) v0.29.4" xfId="803" xr:uid="{00000000-0005-0000-0000-000024030000}"/>
    <cellStyle name="%_NRA_model_for_NEMO2 (EMC Update) v0.20_NRA_model_for_NEMO2 (EMC Update) v0.22_NRA_model_for_NEMO2 (EMC Update) v0.25_NRA_model_for_NEMO2 (EMC Update) v0.26_NRA_model_for_NEMO2 (EMC Update) v0.29.2_NRA_model_for_NEMO2 (EMC Update) v0.29.5" xfId="804" xr:uid="{00000000-0005-0000-0000-000025030000}"/>
    <cellStyle name="%_NRA_model_for_NEMO2 (EMC Update) v0.20_NRA_model_for_NEMO2 (EMC Update) v0.22_NRA_model_for_NEMO2 (EMC Update) v0.25_NRA_model_for_NEMO2 (EMC Update) v0.26_NRA_model_for_NEMO2 (EMC Update) v0.29.3" xfId="806" xr:uid="{00000000-0005-0000-0000-000026030000}"/>
    <cellStyle name="%_NRA_model_for_NEMO2 (EMC Update) v0.20_NRA_model_for_NEMO2 (EMC Update) v0.22_NRA_model_for_NEMO2 (EMC Update) v0.25_NRA_model_for_NEMO2 (EMC Update) v0.26_NRA_model_for_NEMO2 (EMC Update) v0.29.3_NRA_model_for_NEMO2 (EMC Update) v0 30 1" xfId="808" xr:uid="{00000000-0005-0000-0000-000027030000}"/>
    <cellStyle name="%_NRA_model_for_NEMO2 (EMC Update) v0.20_NRA_model_for_NEMO2 (EMC Update) v0.22_NRA_model_for_NEMO2 (EMC Update) v0.25_NRA_model_for_NEMO2 (EMC Update) v0.26_NRA_model_for_NEMO2 (EMC Update) v0.29.3_NRA_model_for_NEMO2 (EMC Update) v0.29.5" xfId="807" xr:uid="{00000000-0005-0000-0000-000028030000}"/>
    <cellStyle name="%_NRA_model_for_NEMO2 (EMC Update) v0.20_NRA_model_for_NEMO2 (EMC Update) v0.22_NRA_model_for_NEMO2 (EMC Update) v0.25_NRA_model_for_NEMO2 (EMC Update) v0.26_NRA_model_for_NEMO2 (EMC Update) v0.29.4" xfId="809" xr:uid="{00000000-0005-0000-0000-000029030000}"/>
    <cellStyle name="%_NRA_model_for_NEMO2 (EMC Update) v0.20_NRA_model_for_NEMO2 (EMC Update) v0.22_NRA_model_for_NEMO2 (EMC Update) v0.25_NRA_model_for_NEMO2 (EMC Update) v0.26_NRA_model_for_NEMO2 (EMC Update) v0.29.4_NRA_model_for_NEMO2 (EMC Update) v0 30 1" xfId="811" xr:uid="{00000000-0005-0000-0000-00002A030000}"/>
    <cellStyle name="%_NRA_model_for_NEMO2 (EMC Update) v0.20_NRA_model_for_NEMO2 (EMC Update) v0.22_NRA_model_for_NEMO2 (EMC Update) v0.25_NRA_model_for_NEMO2 (EMC Update) v0.26_NRA_model_for_NEMO2 (EMC Update) v0.29.4_NRA_model_for_NEMO2 (EMC Update) v0.29.5" xfId="810" xr:uid="{00000000-0005-0000-0000-00002B030000}"/>
    <cellStyle name="%_NRA_model_for_NEMO2 (EMC Update) v0.20_NRA_model_for_NEMO2 (EMC Update) v0.22_NRA_model_for_NEMO2 (EMC Update) v0.25_NRA_model_for_NEMO2 (EMC Update) v0.26_NRA_model_for_NEMO2 (EMC Update) v0.29.5" xfId="812" xr:uid="{00000000-0005-0000-0000-00002C030000}"/>
    <cellStyle name="%_NRA_model_for_NEMO2 (EMC Update) v0.20_NRA_model_for_NEMO2 (EMC Update) v0.22_NRA_model_for_NEMO2 (EMC Update) v0.25_NRA_model_for_NEMO2 (EMC Update) v0.26_NRA_model_for_NEMO2 (EMC Update) v0.29.5_NRA_model_for_NEMO2 (EMC Update) v0 30 1" xfId="813" xr:uid="{00000000-0005-0000-0000-00002D030000}"/>
    <cellStyle name="%_NRA_model_for_NEMO2 (EMC Update) v0.20_NRA_model_for_NEMO2 (EMC Update) v0.22_NRA_model_for_NEMO2 (EMC Update) v0.25_NRA_model_for_NEMO2 (EMC Update) v0.26_NRA_model_for_NEMO2 (EMC Update) v0.29_NRA_model_for_NEMO2 (EMC Update) v0 30 1" xfId="818" xr:uid="{00000000-0005-0000-0000-00002E030000}"/>
    <cellStyle name="%_NRA_model_for_NEMO2 (EMC Update) v0.20_NRA_model_for_NEMO2 (EMC Update) v0.22_NRA_model_for_NEMO2 (EMC Update) v0.25_NRA_model_for_NEMO2 (EMC Update) v0.26_NRA_model_for_NEMO2 (EMC Update) v0.29_NRA_model_for_NEMO2 (EMC Update) v0.29.2" xfId="814" xr:uid="{00000000-0005-0000-0000-00002F030000}"/>
    <cellStyle name="%_NRA_model_for_NEMO2 (EMC Update) v0.20_NRA_model_for_NEMO2 (EMC Update) v0.22_NRA_model_for_NEMO2 (EMC Update) v0.25_NRA_model_for_NEMO2 (EMC Update) v0.26_NRA_model_for_NEMO2 (EMC Update) v0.29_NRA_model_for_NEMO2 (EMC Update) v0.29.3" xfId="815" xr:uid="{00000000-0005-0000-0000-000030030000}"/>
    <cellStyle name="%_NRA_model_for_NEMO2 (EMC Update) v0.20_NRA_model_for_NEMO2 (EMC Update) v0.22_NRA_model_for_NEMO2 (EMC Update) v0.25_NRA_model_for_NEMO2 (EMC Update) v0.26_NRA_model_for_NEMO2 (EMC Update) v0.29_NRA_model_for_NEMO2 (EMC Update) v0.29.4" xfId="816" xr:uid="{00000000-0005-0000-0000-000031030000}"/>
    <cellStyle name="%_NRA_model_for_NEMO2 (EMC Update) v0.20_NRA_model_for_NEMO2 (EMC Update) v0.22_NRA_model_for_NEMO2 (EMC Update) v0.25_NRA_model_for_NEMO2 (EMC Update) v0.26_NRA_model_for_NEMO2 (EMC Update) v0.29_NRA_model_for_NEMO2 (EMC Update) v0.29.5" xfId="817" xr:uid="{00000000-0005-0000-0000-000032030000}"/>
    <cellStyle name="%_NRA_model_for_NEMO2 (EMC Update) v0.20_NRA_model_for_NEMO2 (EMC Update) v0.22_NRA_model_for_NEMO2 (EMC Update) v0.25_NRA_model_for_NEMO2 (EMC Update) v0.29" xfId="820" xr:uid="{00000000-0005-0000-0000-000033030000}"/>
    <cellStyle name="%_NRA_model_for_NEMO2 (EMC Update) v0.20_NRA_model_for_NEMO2 (EMC Update) v0.22_NRA_model_for_NEMO2 (EMC Update) v0.25_NRA_model_for_NEMO2 (EMC Update) v0.29.2" xfId="821" xr:uid="{00000000-0005-0000-0000-000034030000}"/>
    <cellStyle name="%_NRA_model_for_NEMO2 (EMC Update) v0.20_NRA_model_for_NEMO2 (EMC Update) v0.22_NRA_model_for_NEMO2 (EMC Update) v0.25_NRA_model_for_NEMO2 (EMC Update) v0.29.2_NRA_model_for_NEMO2 (EMC Update) v0 30 1" xfId="830" xr:uid="{00000000-0005-0000-0000-000035030000}"/>
    <cellStyle name="%_NRA_model_for_NEMO2 (EMC Update) v0.20_NRA_model_for_NEMO2 (EMC Update) v0.22_NRA_model_for_NEMO2 (EMC Update) v0.25_NRA_model_for_NEMO2 (EMC Update) v0.29.2_NRA_model_for_NEMO2 (EMC Update) v0.29.3" xfId="822" xr:uid="{00000000-0005-0000-0000-000036030000}"/>
    <cellStyle name="%_NRA_model_for_NEMO2 (EMC Update) v0.20_NRA_model_for_NEMO2 (EMC Update) v0.22_NRA_model_for_NEMO2 (EMC Update) v0.25_NRA_model_for_NEMO2 (EMC Update) v0.29.2_NRA_model_for_NEMO2 (EMC Update) v0.29.3_NRA_model_for_NEMO2 (EMC Update) v0 30 1" xfId="824" xr:uid="{00000000-0005-0000-0000-000037030000}"/>
    <cellStyle name="%_NRA_model_for_NEMO2 (EMC Update) v0.20_NRA_model_for_NEMO2 (EMC Update) v0.22_NRA_model_for_NEMO2 (EMC Update) v0.25_NRA_model_for_NEMO2 (EMC Update) v0.29.2_NRA_model_for_NEMO2 (EMC Update) v0.29.3_NRA_model_for_NEMO2 (EMC Update) v0.29.5" xfId="823" xr:uid="{00000000-0005-0000-0000-000038030000}"/>
    <cellStyle name="%_NRA_model_for_NEMO2 (EMC Update) v0.20_NRA_model_for_NEMO2 (EMC Update) v0.22_NRA_model_for_NEMO2 (EMC Update) v0.25_NRA_model_for_NEMO2 (EMC Update) v0.29.2_NRA_model_for_NEMO2 (EMC Update) v0.29.4" xfId="825" xr:uid="{00000000-0005-0000-0000-000039030000}"/>
    <cellStyle name="%_NRA_model_for_NEMO2 (EMC Update) v0.20_NRA_model_for_NEMO2 (EMC Update) v0.22_NRA_model_for_NEMO2 (EMC Update) v0.25_NRA_model_for_NEMO2 (EMC Update) v0.29.2_NRA_model_for_NEMO2 (EMC Update) v0.29.4_NRA_model_for_NEMO2 (EMC Update) v0 30 1" xfId="827" xr:uid="{00000000-0005-0000-0000-00003A030000}"/>
    <cellStyle name="%_NRA_model_for_NEMO2 (EMC Update) v0.20_NRA_model_for_NEMO2 (EMC Update) v0.22_NRA_model_for_NEMO2 (EMC Update) v0.25_NRA_model_for_NEMO2 (EMC Update) v0.29.2_NRA_model_for_NEMO2 (EMC Update) v0.29.4_NRA_model_for_NEMO2 (EMC Update) v0.29.5" xfId="826" xr:uid="{00000000-0005-0000-0000-00003B030000}"/>
    <cellStyle name="%_NRA_model_for_NEMO2 (EMC Update) v0.20_NRA_model_for_NEMO2 (EMC Update) v0.22_NRA_model_for_NEMO2 (EMC Update) v0.25_NRA_model_for_NEMO2 (EMC Update) v0.29.2_NRA_model_for_NEMO2 (EMC Update) v0.29.5" xfId="828" xr:uid="{00000000-0005-0000-0000-00003C030000}"/>
    <cellStyle name="%_NRA_model_for_NEMO2 (EMC Update) v0.20_NRA_model_for_NEMO2 (EMC Update) v0.22_NRA_model_for_NEMO2 (EMC Update) v0.25_NRA_model_for_NEMO2 (EMC Update) v0.29.2_NRA_model_for_NEMO2 (EMC Update) v0.29.5_NRA_model_for_NEMO2 (EMC Update) v0 30 1" xfId="829" xr:uid="{00000000-0005-0000-0000-00003D030000}"/>
    <cellStyle name="%_NRA_model_for_NEMO2 (EMC Update) v0.20_NRA_model_for_NEMO2 (EMC Update) v0.22_NRA_model_for_NEMO2 (EMC Update) v0.25_NRA_model_for_NEMO2 (EMC Update) v0.29.3" xfId="831" xr:uid="{00000000-0005-0000-0000-00003E030000}"/>
    <cellStyle name="%_NRA_model_for_NEMO2 (EMC Update) v0.20_NRA_model_for_NEMO2 (EMC Update) v0.22_NRA_model_for_NEMO2 (EMC Update) v0.25_NRA_model_for_NEMO2 (EMC Update) v0.29.3_NRA_model_for_NEMO2 (EMC Update) v0 30 1" xfId="834" xr:uid="{00000000-0005-0000-0000-00003F030000}"/>
    <cellStyle name="%_NRA_model_for_NEMO2 (EMC Update) v0.20_NRA_model_for_NEMO2 (EMC Update) v0.22_NRA_model_for_NEMO2 (EMC Update) v0.25_NRA_model_for_NEMO2 (EMC Update) v0.29.3_NRA_model_for_NEMO2 (EMC Update) v0.29.5" xfId="832" xr:uid="{00000000-0005-0000-0000-000040030000}"/>
    <cellStyle name="%_NRA_model_for_NEMO2 (EMC Update) v0.20_NRA_model_for_NEMO2 (EMC Update) v0.22_NRA_model_for_NEMO2 (EMC Update) v0.25_NRA_model_for_NEMO2 (EMC Update) v0.29.3_NRA_model_for_NEMO2 (EMC Update) v0.29.5_NRA_model_for_NEMO2 (EMC Update) v0 30 1" xfId="833" xr:uid="{00000000-0005-0000-0000-000041030000}"/>
    <cellStyle name="%_NRA_model_for_NEMO2 (EMC Update) v0.20_NRA_model_for_NEMO2 (EMC Update) v0.22_NRA_model_for_NEMO2 (EMC Update) v0.25_NRA_model_for_NEMO2 (EMC Update) v0.29.4" xfId="835" xr:uid="{00000000-0005-0000-0000-000042030000}"/>
    <cellStyle name="%_NRA_model_for_NEMO2 (EMC Update) v0.20_NRA_model_for_NEMO2 (EMC Update) v0.22_NRA_model_for_NEMO2 (EMC Update) v0.25_NRA_model_for_NEMO2 (EMC Update) v0.29.4_NRA_model_for_NEMO2 (EMC Update) v0 30 1" xfId="838" xr:uid="{00000000-0005-0000-0000-000043030000}"/>
    <cellStyle name="%_NRA_model_for_NEMO2 (EMC Update) v0.20_NRA_model_for_NEMO2 (EMC Update) v0.22_NRA_model_for_NEMO2 (EMC Update) v0.25_NRA_model_for_NEMO2 (EMC Update) v0.29.4_NRA_model_for_NEMO2 (EMC Update) v0.29.5" xfId="836" xr:uid="{00000000-0005-0000-0000-000044030000}"/>
    <cellStyle name="%_NRA_model_for_NEMO2 (EMC Update) v0.20_NRA_model_for_NEMO2 (EMC Update) v0.22_NRA_model_for_NEMO2 (EMC Update) v0.25_NRA_model_for_NEMO2 (EMC Update) v0.29.4_NRA_model_for_NEMO2 (EMC Update) v0.29.5_NRA_model_for_NEMO2 (EMC Update) v0 30 1" xfId="837" xr:uid="{00000000-0005-0000-0000-000045030000}"/>
    <cellStyle name="%_NRA_model_for_NEMO2 (EMC Update) v0.20_NRA_model_for_NEMO2 (EMC Update) v0.22_NRA_model_for_NEMO2 (EMC Update) v0.25_NRA_model_for_NEMO2 (EMC Update) v0.29.5" xfId="839" xr:uid="{00000000-0005-0000-0000-000046030000}"/>
    <cellStyle name="%_NRA_model_for_NEMO2 (EMC Update) v0.20_NRA_model_for_NEMO2 (EMC Update) v0.22_NRA_model_for_NEMO2 (EMC Update) v0.25_NRA_model_for_NEMO2 (EMC Update) v0.29.5_NRA_model_for_NEMO2 (EMC Update) v0 30 1" xfId="840" xr:uid="{00000000-0005-0000-0000-000047030000}"/>
    <cellStyle name="%_NRA_model_for_NEMO2 (EMC Update) v0.20_NRA_model_for_NEMO2 (EMC Update) v0.22_NRA_model_for_NEMO2 (EMC Update) v0.25_NRA_model_for_NEMO2 (EMC Update) v0.29_NRA_model_for_NEMO2 (EMC Update) v0 30 1" xfId="854" xr:uid="{00000000-0005-0000-0000-000048030000}"/>
    <cellStyle name="%_NRA_model_for_NEMO2 (EMC Update) v0.20_NRA_model_for_NEMO2 (EMC Update) v0.22_NRA_model_for_NEMO2 (EMC Update) v0.25_NRA_model_for_NEMO2 (EMC Update) v0.29_NRA_model_for_NEMO2 (EMC Update) v0.29.2" xfId="841" xr:uid="{00000000-0005-0000-0000-000049030000}"/>
    <cellStyle name="%_NRA_model_for_NEMO2 (EMC Update) v0.20_NRA_model_for_NEMO2 (EMC Update) v0.22_NRA_model_for_NEMO2 (EMC Update) v0.25_NRA_model_for_NEMO2 (EMC Update) v0.29_NRA_model_for_NEMO2 (EMC Update) v0.29.2_NRA_model_for_NEMO2 (EMC Update) v0 30 1" xfId="845" xr:uid="{00000000-0005-0000-0000-00004A030000}"/>
    <cellStyle name="%_NRA_model_for_NEMO2 (EMC Update) v0.20_NRA_model_for_NEMO2 (EMC Update) v0.22_NRA_model_for_NEMO2 (EMC Update) v0.25_NRA_model_for_NEMO2 (EMC Update) v0.29_NRA_model_for_NEMO2 (EMC Update) v0.29.2_NRA_model_for_NEMO2 (EMC Update) v0.29.3" xfId="842" xr:uid="{00000000-0005-0000-0000-00004B030000}"/>
    <cellStyle name="%_NRA_model_for_NEMO2 (EMC Update) v0.20_NRA_model_for_NEMO2 (EMC Update) v0.22_NRA_model_for_NEMO2 (EMC Update) v0.25_NRA_model_for_NEMO2 (EMC Update) v0.29_NRA_model_for_NEMO2 (EMC Update) v0.29.2_NRA_model_for_NEMO2 (EMC Update) v0.29.4" xfId="843" xr:uid="{00000000-0005-0000-0000-00004C030000}"/>
    <cellStyle name="%_NRA_model_for_NEMO2 (EMC Update) v0.20_NRA_model_for_NEMO2 (EMC Update) v0.22_NRA_model_for_NEMO2 (EMC Update) v0.25_NRA_model_for_NEMO2 (EMC Update) v0.29_NRA_model_for_NEMO2 (EMC Update) v0.29.2_NRA_model_for_NEMO2 (EMC Update) v0.29.5" xfId="844" xr:uid="{00000000-0005-0000-0000-00004D030000}"/>
    <cellStyle name="%_NRA_model_for_NEMO2 (EMC Update) v0.20_NRA_model_for_NEMO2 (EMC Update) v0.22_NRA_model_for_NEMO2 (EMC Update) v0.25_NRA_model_for_NEMO2 (EMC Update) v0.29_NRA_model_for_NEMO2 (EMC Update) v0.29.3" xfId="846" xr:uid="{00000000-0005-0000-0000-00004E030000}"/>
    <cellStyle name="%_NRA_model_for_NEMO2 (EMC Update) v0.20_NRA_model_for_NEMO2 (EMC Update) v0.22_NRA_model_for_NEMO2 (EMC Update) v0.25_NRA_model_for_NEMO2 (EMC Update) v0.29_NRA_model_for_NEMO2 (EMC Update) v0.29.3_NRA_model_for_NEMO2 (EMC Update) v0 30 1" xfId="848" xr:uid="{00000000-0005-0000-0000-00004F030000}"/>
    <cellStyle name="%_NRA_model_for_NEMO2 (EMC Update) v0.20_NRA_model_for_NEMO2 (EMC Update) v0.22_NRA_model_for_NEMO2 (EMC Update) v0.25_NRA_model_for_NEMO2 (EMC Update) v0.29_NRA_model_for_NEMO2 (EMC Update) v0.29.3_NRA_model_for_NEMO2 (EMC Update) v0.29.5" xfId="847" xr:uid="{00000000-0005-0000-0000-000050030000}"/>
    <cellStyle name="%_NRA_model_for_NEMO2 (EMC Update) v0.20_NRA_model_for_NEMO2 (EMC Update) v0.22_NRA_model_for_NEMO2 (EMC Update) v0.25_NRA_model_for_NEMO2 (EMC Update) v0.29_NRA_model_for_NEMO2 (EMC Update) v0.29.4" xfId="849" xr:uid="{00000000-0005-0000-0000-000051030000}"/>
    <cellStyle name="%_NRA_model_for_NEMO2 (EMC Update) v0.20_NRA_model_for_NEMO2 (EMC Update) v0.22_NRA_model_for_NEMO2 (EMC Update) v0.25_NRA_model_for_NEMO2 (EMC Update) v0.29_NRA_model_for_NEMO2 (EMC Update) v0.29.4_NRA_model_for_NEMO2 (EMC Update) v0 30 1" xfId="851" xr:uid="{00000000-0005-0000-0000-000052030000}"/>
    <cellStyle name="%_NRA_model_for_NEMO2 (EMC Update) v0.20_NRA_model_for_NEMO2 (EMC Update) v0.22_NRA_model_for_NEMO2 (EMC Update) v0.25_NRA_model_for_NEMO2 (EMC Update) v0.29_NRA_model_for_NEMO2 (EMC Update) v0.29.4_NRA_model_for_NEMO2 (EMC Update) v0.29.5" xfId="850" xr:uid="{00000000-0005-0000-0000-000053030000}"/>
    <cellStyle name="%_NRA_model_for_NEMO2 (EMC Update) v0.20_NRA_model_for_NEMO2 (EMC Update) v0.22_NRA_model_for_NEMO2 (EMC Update) v0.25_NRA_model_for_NEMO2 (EMC Update) v0.29_NRA_model_for_NEMO2 (EMC Update) v0.29.5" xfId="852" xr:uid="{00000000-0005-0000-0000-000054030000}"/>
    <cellStyle name="%_NRA_model_for_NEMO2 (EMC Update) v0.20_NRA_model_for_NEMO2 (EMC Update) v0.22_NRA_model_for_NEMO2 (EMC Update) v0.25_NRA_model_for_NEMO2 (EMC Update) v0.29_NRA_model_for_NEMO2 (EMC Update) v0.29.5_NRA_model_for_NEMO2 (EMC Update) v0 30 1" xfId="853" xr:uid="{00000000-0005-0000-0000-000055030000}"/>
    <cellStyle name="%_NRA_model_for_NEMO2 (EMC Update) v0.20_NRA_model_for_NEMO2 (EMC Update) v0.22_NRA_model_for_NEMO2 (EMC Update) v0.26" xfId="856" xr:uid="{00000000-0005-0000-0000-000056030000}"/>
    <cellStyle name="%_NRA_model_for_NEMO2 (EMC Update) v0.20_NRA_model_for_NEMO2 (EMC Update) v0.22_NRA_model_for_NEMO2 (EMC Update) v0.26_NRA_model_for_NEMO2 (EMC Update) v0 30 1" xfId="892" xr:uid="{00000000-0005-0000-0000-000057030000}"/>
    <cellStyle name="%_NRA_model_for_NEMO2 (EMC Update) v0.20_NRA_model_for_NEMO2 (EMC Update) v0.22_NRA_model_for_NEMO2 (EMC Update) v0.26_NRA_model_for_NEMO2 (EMC Update) v0.29" xfId="857" xr:uid="{00000000-0005-0000-0000-000058030000}"/>
    <cellStyle name="%_NRA_model_for_NEMO2 (EMC Update) v0.20_NRA_model_for_NEMO2 (EMC Update) v0.22_NRA_model_for_NEMO2 (EMC Update) v0.26_NRA_model_for_NEMO2 (EMC Update) v0.29.2" xfId="858" xr:uid="{00000000-0005-0000-0000-000059030000}"/>
    <cellStyle name="%_NRA_model_for_NEMO2 (EMC Update) v0.20_NRA_model_for_NEMO2 (EMC Update) v0.22_NRA_model_for_NEMO2 (EMC Update) v0.26_NRA_model_for_NEMO2 (EMC Update) v0.29.2_NRA_model_for_NEMO2 (EMC Update) v0 30 1" xfId="867" xr:uid="{00000000-0005-0000-0000-00005A030000}"/>
    <cellStyle name="%_NRA_model_for_NEMO2 (EMC Update) v0.20_NRA_model_for_NEMO2 (EMC Update) v0.22_NRA_model_for_NEMO2 (EMC Update) v0.26_NRA_model_for_NEMO2 (EMC Update) v0.29.2_NRA_model_for_NEMO2 (EMC Update) v0.29.3" xfId="859" xr:uid="{00000000-0005-0000-0000-00005B030000}"/>
    <cellStyle name="%_NRA_model_for_NEMO2 (EMC Update) v0.20_NRA_model_for_NEMO2 (EMC Update) v0.22_NRA_model_for_NEMO2 (EMC Update) v0.26_NRA_model_for_NEMO2 (EMC Update) v0.29.2_NRA_model_for_NEMO2 (EMC Update) v0.29.3_NRA_model_for_NEMO2 (EMC Update) v0 30 1" xfId="861" xr:uid="{00000000-0005-0000-0000-00005C030000}"/>
    <cellStyle name="%_NRA_model_for_NEMO2 (EMC Update) v0.20_NRA_model_for_NEMO2 (EMC Update) v0.22_NRA_model_for_NEMO2 (EMC Update) v0.26_NRA_model_for_NEMO2 (EMC Update) v0.29.2_NRA_model_for_NEMO2 (EMC Update) v0.29.3_NRA_model_for_NEMO2 (EMC Update) v0.29.5" xfId="860" xr:uid="{00000000-0005-0000-0000-00005D030000}"/>
    <cellStyle name="%_NRA_model_for_NEMO2 (EMC Update) v0.20_NRA_model_for_NEMO2 (EMC Update) v0.22_NRA_model_for_NEMO2 (EMC Update) v0.26_NRA_model_for_NEMO2 (EMC Update) v0.29.2_NRA_model_for_NEMO2 (EMC Update) v0.29.4" xfId="862" xr:uid="{00000000-0005-0000-0000-00005E030000}"/>
    <cellStyle name="%_NRA_model_for_NEMO2 (EMC Update) v0.20_NRA_model_for_NEMO2 (EMC Update) v0.22_NRA_model_for_NEMO2 (EMC Update) v0.26_NRA_model_for_NEMO2 (EMC Update) v0.29.2_NRA_model_for_NEMO2 (EMC Update) v0.29.4_NRA_model_for_NEMO2 (EMC Update) v0 30 1" xfId="864" xr:uid="{00000000-0005-0000-0000-00005F030000}"/>
    <cellStyle name="%_NRA_model_for_NEMO2 (EMC Update) v0.20_NRA_model_for_NEMO2 (EMC Update) v0.22_NRA_model_for_NEMO2 (EMC Update) v0.26_NRA_model_for_NEMO2 (EMC Update) v0.29.2_NRA_model_for_NEMO2 (EMC Update) v0.29.4_NRA_model_for_NEMO2 (EMC Update) v0.29.5" xfId="863" xr:uid="{00000000-0005-0000-0000-000060030000}"/>
    <cellStyle name="%_NRA_model_for_NEMO2 (EMC Update) v0.20_NRA_model_for_NEMO2 (EMC Update) v0.22_NRA_model_for_NEMO2 (EMC Update) v0.26_NRA_model_for_NEMO2 (EMC Update) v0.29.2_NRA_model_for_NEMO2 (EMC Update) v0.29.5" xfId="865" xr:uid="{00000000-0005-0000-0000-000061030000}"/>
    <cellStyle name="%_NRA_model_for_NEMO2 (EMC Update) v0.20_NRA_model_for_NEMO2 (EMC Update) v0.22_NRA_model_for_NEMO2 (EMC Update) v0.26_NRA_model_for_NEMO2 (EMC Update) v0.29.2_NRA_model_for_NEMO2 (EMC Update) v0.29.5_NRA_model_for_NEMO2 (EMC Update) v0 30 1" xfId="866" xr:uid="{00000000-0005-0000-0000-000062030000}"/>
    <cellStyle name="%_NRA_model_for_NEMO2 (EMC Update) v0.20_NRA_model_for_NEMO2 (EMC Update) v0.22_NRA_model_for_NEMO2 (EMC Update) v0.26_NRA_model_for_NEMO2 (EMC Update) v0.29.3" xfId="868" xr:uid="{00000000-0005-0000-0000-000063030000}"/>
    <cellStyle name="%_NRA_model_for_NEMO2 (EMC Update) v0.20_NRA_model_for_NEMO2 (EMC Update) v0.22_NRA_model_for_NEMO2 (EMC Update) v0.26_NRA_model_for_NEMO2 (EMC Update) v0.29.3_NRA_model_for_NEMO2 (EMC Update) v0 30 1" xfId="871" xr:uid="{00000000-0005-0000-0000-000064030000}"/>
    <cellStyle name="%_NRA_model_for_NEMO2 (EMC Update) v0.20_NRA_model_for_NEMO2 (EMC Update) v0.22_NRA_model_for_NEMO2 (EMC Update) v0.26_NRA_model_for_NEMO2 (EMC Update) v0.29.3_NRA_model_for_NEMO2 (EMC Update) v0.29.5" xfId="869" xr:uid="{00000000-0005-0000-0000-000065030000}"/>
    <cellStyle name="%_NRA_model_for_NEMO2 (EMC Update) v0.20_NRA_model_for_NEMO2 (EMC Update) v0.22_NRA_model_for_NEMO2 (EMC Update) v0.26_NRA_model_for_NEMO2 (EMC Update) v0.29.3_NRA_model_for_NEMO2 (EMC Update) v0.29.5_NRA_model_for_NEMO2 (EMC Update) v0 30 1" xfId="870" xr:uid="{00000000-0005-0000-0000-000066030000}"/>
    <cellStyle name="%_NRA_model_for_NEMO2 (EMC Update) v0.20_NRA_model_for_NEMO2 (EMC Update) v0.22_NRA_model_for_NEMO2 (EMC Update) v0.26_NRA_model_for_NEMO2 (EMC Update) v0.29.4" xfId="872" xr:uid="{00000000-0005-0000-0000-000067030000}"/>
    <cellStyle name="%_NRA_model_for_NEMO2 (EMC Update) v0.20_NRA_model_for_NEMO2 (EMC Update) v0.22_NRA_model_for_NEMO2 (EMC Update) v0.26_NRA_model_for_NEMO2 (EMC Update) v0.29.4_NRA_model_for_NEMO2 (EMC Update) v0 30 1" xfId="875" xr:uid="{00000000-0005-0000-0000-000068030000}"/>
    <cellStyle name="%_NRA_model_for_NEMO2 (EMC Update) v0.20_NRA_model_for_NEMO2 (EMC Update) v0.22_NRA_model_for_NEMO2 (EMC Update) v0.26_NRA_model_for_NEMO2 (EMC Update) v0.29.4_NRA_model_for_NEMO2 (EMC Update) v0.29.5" xfId="873" xr:uid="{00000000-0005-0000-0000-000069030000}"/>
    <cellStyle name="%_NRA_model_for_NEMO2 (EMC Update) v0.20_NRA_model_for_NEMO2 (EMC Update) v0.22_NRA_model_for_NEMO2 (EMC Update) v0.26_NRA_model_for_NEMO2 (EMC Update) v0.29.4_NRA_model_for_NEMO2 (EMC Update) v0.29.5_NRA_model_for_NEMO2 (EMC Update) v0 30 1" xfId="874" xr:uid="{00000000-0005-0000-0000-00006A030000}"/>
    <cellStyle name="%_NRA_model_for_NEMO2 (EMC Update) v0.20_NRA_model_for_NEMO2 (EMC Update) v0.22_NRA_model_for_NEMO2 (EMC Update) v0.26_NRA_model_for_NEMO2 (EMC Update) v0.29.5" xfId="876" xr:uid="{00000000-0005-0000-0000-00006B030000}"/>
    <cellStyle name="%_NRA_model_for_NEMO2 (EMC Update) v0.20_NRA_model_for_NEMO2 (EMC Update) v0.22_NRA_model_for_NEMO2 (EMC Update) v0.26_NRA_model_for_NEMO2 (EMC Update) v0.29.5_NRA_model_for_NEMO2 (EMC Update) v0 30 1" xfId="877" xr:uid="{00000000-0005-0000-0000-00006C030000}"/>
    <cellStyle name="%_NRA_model_for_NEMO2 (EMC Update) v0.20_NRA_model_for_NEMO2 (EMC Update) v0.22_NRA_model_for_NEMO2 (EMC Update) v0.26_NRA_model_for_NEMO2 (EMC Update) v0.29_NRA_model_for_NEMO2 (EMC Update) v0 30 1" xfId="891" xr:uid="{00000000-0005-0000-0000-00006D030000}"/>
    <cellStyle name="%_NRA_model_for_NEMO2 (EMC Update) v0.20_NRA_model_for_NEMO2 (EMC Update) v0.22_NRA_model_for_NEMO2 (EMC Update) v0.26_NRA_model_for_NEMO2 (EMC Update) v0.29_NRA_model_for_NEMO2 (EMC Update) v0.29.2" xfId="878" xr:uid="{00000000-0005-0000-0000-00006E030000}"/>
    <cellStyle name="%_NRA_model_for_NEMO2 (EMC Update) v0.20_NRA_model_for_NEMO2 (EMC Update) v0.22_NRA_model_for_NEMO2 (EMC Update) v0.26_NRA_model_for_NEMO2 (EMC Update) v0.29_NRA_model_for_NEMO2 (EMC Update) v0.29.2_NRA_model_for_NEMO2 (EMC Update) v0 30 1" xfId="882" xr:uid="{00000000-0005-0000-0000-00006F030000}"/>
    <cellStyle name="%_NRA_model_for_NEMO2 (EMC Update) v0.20_NRA_model_for_NEMO2 (EMC Update) v0.22_NRA_model_for_NEMO2 (EMC Update) v0.26_NRA_model_for_NEMO2 (EMC Update) v0.29_NRA_model_for_NEMO2 (EMC Update) v0.29.2_NRA_model_for_NEMO2 (EMC Update) v0.29.3" xfId="879" xr:uid="{00000000-0005-0000-0000-000070030000}"/>
    <cellStyle name="%_NRA_model_for_NEMO2 (EMC Update) v0.20_NRA_model_for_NEMO2 (EMC Update) v0.22_NRA_model_for_NEMO2 (EMC Update) v0.26_NRA_model_for_NEMO2 (EMC Update) v0.29_NRA_model_for_NEMO2 (EMC Update) v0.29.2_NRA_model_for_NEMO2 (EMC Update) v0.29.4" xfId="880" xr:uid="{00000000-0005-0000-0000-000071030000}"/>
    <cellStyle name="%_NRA_model_for_NEMO2 (EMC Update) v0.20_NRA_model_for_NEMO2 (EMC Update) v0.22_NRA_model_for_NEMO2 (EMC Update) v0.26_NRA_model_for_NEMO2 (EMC Update) v0.29_NRA_model_for_NEMO2 (EMC Update) v0.29.2_NRA_model_for_NEMO2 (EMC Update) v0.29.5" xfId="881" xr:uid="{00000000-0005-0000-0000-000072030000}"/>
    <cellStyle name="%_NRA_model_for_NEMO2 (EMC Update) v0.20_NRA_model_for_NEMO2 (EMC Update) v0.22_NRA_model_for_NEMO2 (EMC Update) v0.26_NRA_model_for_NEMO2 (EMC Update) v0.29_NRA_model_for_NEMO2 (EMC Update) v0.29.3" xfId="883" xr:uid="{00000000-0005-0000-0000-000073030000}"/>
    <cellStyle name="%_NRA_model_for_NEMO2 (EMC Update) v0.20_NRA_model_for_NEMO2 (EMC Update) v0.22_NRA_model_for_NEMO2 (EMC Update) v0.26_NRA_model_for_NEMO2 (EMC Update) v0.29_NRA_model_for_NEMO2 (EMC Update) v0.29.3_NRA_model_for_NEMO2 (EMC Update) v0 30 1" xfId="885" xr:uid="{00000000-0005-0000-0000-000074030000}"/>
    <cellStyle name="%_NRA_model_for_NEMO2 (EMC Update) v0.20_NRA_model_for_NEMO2 (EMC Update) v0.22_NRA_model_for_NEMO2 (EMC Update) v0.26_NRA_model_for_NEMO2 (EMC Update) v0.29_NRA_model_for_NEMO2 (EMC Update) v0.29.3_NRA_model_for_NEMO2 (EMC Update) v0.29.5" xfId="884" xr:uid="{00000000-0005-0000-0000-000075030000}"/>
    <cellStyle name="%_NRA_model_for_NEMO2 (EMC Update) v0.20_NRA_model_for_NEMO2 (EMC Update) v0.22_NRA_model_for_NEMO2 (EMC Update) v0.26_NRA_model_for_NEMO2 (EMC Update) v0.29_NRA_model_for_NEMO2 (EMC Update) v0.29.4" xfId="886" xr:uid="{00000000-0005-0000-0000-000076030000}"/>
    <cellStyle name="%_NRA_model_for_NEMO2 (EMC Update) v0.20_NRA_model_for_NEMO2 (EMC Update) v0.22_NRA_model_for_NEMO2 (EMC Update) v0.26_NRA_model_for_NEMO2 (EMC Update) v0.29_NRA_model_for_NEMO2 (EMC Update) v0.29.4_NRA_model_for_NEMO2 (EMC Update) v0 30 1" xfId="888" xr:uid="{00000000-0005-0000-0000-000077030000}"/>
    <cellStyle name="%_NRA_model_for_NEMO2 (EMC Update) v0.20_NRA_model_for_NEMO2 (EMC Update) v0.22_NRA_model_for_NEMO2 (EMC Update) v0.26_NRA_model_for_NEMO2 (EMC Update) v0.29_NRA_model_for_NEMO2 (EMC Update) v0.29.4_NRA_model_for_NEMO2 (EMC Update) v0.29.5" xfId="887" xr:uid="{00000000-0005-0000-0000-000078030000}"/>
    <cellStyle name="%_NRA_model_for_NEMO2 (EMC Update) v0.20_NRA_model_for_NEMO2 (EMC Update) v0.22_NRA_model_for_NEMO2 (EMC Update) v0.26_NRA_model_for_NEMO2 (EMC Update) v0.29_NRA_model_for_NEMO2 (EMC Update) v0.29.5" xfId="889" xr:uid="{00000000-0005-0000-0000-000079030000}"/>
    <cellStyle name="%_NRA_model_for_NEMO2 (EMC Update) v0.20_NRA_model_for_NEMO2 (EMC Update) v0.22_NRA_model_for_NEMO2 (EMC Update) v0.26_NRA_model_for_NEMO2 (EMC Update) v0.29_NRA_model_for_NEMO2 (EMC Update) v0.29.5_NRA_model_for_NEMO2 (EMC Update) v0 30 1" xfId="890" xr:uid="{00000000-0005-0000-0000-00007A030000}"/>
    <cellStyle name="%_NRA_model_for_NEMO2 (EMC Update) v0.20_NRA_model_for_NEMO2 (EMC Update) v0.22_NRA_model_for_NEMO2 (EMC Update) v0.29" xfId="893" xr:uid="{00000000-0005-0000-0000-00007B030000}"/>
    <cellStyle name="%_NRA_model_for_NEMO2 (EMC Update) v0.20_NRA_model_for_NEMO2 (EMC Update) v0.22_NRA_model_for_NEMO2 (EMC Update) v0.29.2" xfId="894" xr:uid="{00000000-0005-0000-0000-00007C030000}"/>
    <cellStyle name="%_NRA_model_for_NEMO2 (EMC Update) v0.20_NRA_model_for_NEMO2 (EMC Update) v0.22_NRA_model_for_NEMO2 (EMC Update) v0.29.2_NRA_model_for_NEMO2 (EMC Update) v0 30 1" xfId="905" xr:uid="{00000000-0005-0000-0000-00007D030000}"/>
    <cellStyle name="%_NRA_model_for_NEMO2 (EMC Update) v0.20_NRA_model_for_NEMO2 (EMC Update) v0.22_NRA_model_for_NEMO2 (EMC Update) v0.29.2_NRA_model_for_NEMO2 (EMC Update) v0.29.3" xfId="895" xr:uid="{00000000-0005-0000-0000-00007E030000}"/>
    <cellStyle name="%_NRA_model_for_NEMO2 (EMC Update) v0.20_NRA_model_for_NEMO2 (EMC Update) v0.22_NRA_model_for_NEMO2 (EMC Update) v0.29.2_NRA_model_for_NEMO2 (EMC Update) v0.29.3_NRA_model_for_NEMO2 (EMC Update) v0 30 1" xfId="898" xr:uid="{00000000-0005-0000-0000-00007F030000}"/>
    <cellStyle name="%_NRA_model_for_NEMO2 (EMC Update) v0.20_NRA_model_for_NEMO2 (EMC Update) v0.22_NRA_model_for_NEMO2 (EMC Update) v0.29.2_NRA_model_for_NEMO2 (EMC Update) v0.29.3_NRA_model_for_NEMO2 (EMC Update) v0.29.5" xfId="896" xr:uid="{00000000-0005-0000-0000-000080030000}"/>
    <cellStyle name="%_NRA_model_for_NEMO2 (EMC Update) v0.20_NRA_model_for_NEMO2 (EMC Update) v0.22_NRA_model_for_NEMO2 (EMC Update) v0.29.2_NRA_model_for_NEMO2 (EMC Update) v0.29.3_NRA_model_for_NEMO2 (EMC Update) v0.29.5_NRA_model_for_NEMO2 (EMC Update) v0 30 1" xfId="897" xr:uid="{00000000-0005-0000-0000-000081030000}"/>
    <cellStyle name="%_NRA_model_for_NEMO2 (EMC Update) v0.20_NRA_model_for_NEMO2 (EMC Update) v0.22_NRA_model_for_NEMO2 (EMC Update) v0.29.2_NRA_model_for_NEMO2 (EMC Update) v0.29.4" xfId="899" xr:uid="{00000000-0005-0000-0000-000082030000}"/>
    <cellStyle name="%_NRA_model_for_NEMO2 (EMC Update) v0.20_NRA_model_for_NEMO2 (EMC Update) v0.22_NRA_model_for_NEMO2 (EMC Update) v0.29.2_NRA_model_for_NEMO2 (EMC Update) v0.29.4_NRA_model_for_NEMO2 (EMC Update) v0 30 1" xfId="902" xr:uid="{00000000-0005-0000-0000-000083030000}"/>
    <cellStyle name="%_NRA_model_for_NEMO2 (EMC Update) v0.20_NRA_model_for_NEMO2 (EMC Update) v0.22_NRA_model_for_NEMO2 (EMC Update) v0.29.2_NRA_model_for_NEMO2 (EMC Update) v0.29.4_NRA_model_for_NEMO2 (EMC Update) v0.29.5" xfId="900" xr:uid="{00000000-0005-0000-0000-000084030000}"/>
    <cellStyle name="%_NRA_model_for_NEMO2 (EMC Update) v0.20_NRA_model_for_NEMO2 (EMC Update) v0.22_NRA_model_for_NEMO2 (EMC Update) v0.29.2_NRA_model_for_NEMO2 (EMC Update) v0.29.4_NRA_model_for_NEMO2 (EMC Update) v0.29.5_NRA_model_for_NEMO2 (EMC Update) v0 30 1" xfId="901" xr:uid="{00000000-0005-0000-0000-000085030000}"/>
    <cellStyle name="%_NRA_model_for_NEMO2 (EMC Update) v0.20_NRA_model_for_NEMO2 (EMC Update) v0.22_NRA_model_for_NEMO2 (EMC Update) v0.29.2_NRA_model_for_NEMO2 (EMC Update) v0.29.5" xfId="903" xr:uid="{00000000-0005-0000-0000-000086030000}"/>
    <cellStyle name="%_NRA_model_for_NEMO2 (EMC Update) v0.20_NRA_model_for_NEMO2 (EMC Update) v0.22_NRA_model_for_NEMO2 (EMC Update) v0.29.2_NRA_model_for_NEMO2 (EMC Update) v0.29.5_NRA_model_for_NEMO2 (EMC Update) v0 30 1" xfId="904" xr:uid="{00000000-0005-0000-0000-000087030000}"/>
    <cellStyle name="%_NRA_model_for_NEMO2 (EMC Update) v0.20_NRA_model_for_NEMO2 (EMC Update) v0.22_NRA_model_for_NEMO2 (EMC Update) v0.29.3" xfId="906" xr:uid="{00000000-0005-0000-0000-000088030000}"/>
    <cellStyle name="%_NRA_model_for_NEMO2 (EMC Update) v0.20_NRA_model_for_NEMO2 (EMC Update) v0.22_NRA_model_for_NEMO2 (EMC Update) v0.29.3_NRA_model_for_NEMO2 (EMC Update) v0 30 1" xfId="909" xr:uid="{00000000-0005-0000-0000-000089030000}"/>
    <cellStyle name="%_NRA_model_for_NEMO2 (EMC Update) v0.20_NRA_model_for_NEMO2 (EMC Update) v0.22_NRA_model_for_NEMO2 (EMC Update) v0.29.3_NRA_model_for_NEMO2 (EMC Update) v0.29.5" xfId="907" xr:uid="{00000000-0005-0000-0000-00008A030000}"/>
    <cellStyle name="%_NRA_model_for_NEMO2 (EMC Update) v0.20_NRA_model_for_NEMO2 (EMC Update) v0.22_NRA_model_for_NEMO2 (EMC Update) v0.29.3_NRA_model_for_NEMO2 (EMC Update) v0.29.5_NRA_model_for_NEMO2 (EMC Update) v0 30 1" xfId="908" xr:uid="{00000000-0005-0000-0000-00008B030000}"/>
    <cellStyle name="%_NRA_model_for_NEMO2 (EMC Update) v0.20_NRA_model_for_NEMO2 (EMC Update) v0.22_NRA_model_for_NEMO2 (EMC Update) v0.29.4" xfId="910" xr:uid="{00000000-0005-0000-0000-00008C030000}"/>
    <cellStyle name="%_NRA_model_for_NEMO2 (EMC Update) v0.20_NRA_model_for_NEMO2 (EMC Update) v0.22_NRA_model_for_NEMO2 (EMC Update) v0.29.4_NRA_model_for_NEMO2 (EMC Update) v0 30 1" xfId="913" xr:uid="{00000000-0005-0000-0000-00008D030000}"/>
    <cellStyle name="%_NRA_model_for_NEMO2 (EMC Update) v0.20_NRA_model_for_NEMO2 (EMC Update) v0.22_NRA_model_for_NEMO2 (EMC Update) v0.29.4_NRA_model_for_NEMO2 (EMC Update) v0.29.5" xfId="911" xr:uid="{00000000-0005-0000-0000-00008E030000}"/>
    <cellStyle name="%_NRA_model_for_NEMO2 (EMC Update) v0.20_NRA_model_for_NEMO2 (EMC Update) v0.22_NRA_model_for_NEMO2 (EMC Update) v0.29.4_NRA_model_for_NEMO2 (EMC Update) v0.29.5_NRA_model_for_NEMO2 (EMC Update) v0 30 1" xfId="912" xr:uid="{00000000-0005-0000-0000-00008F030000}"/>
    <cellStyle name="%_NRA_model_for_NEMO2 (EMC Update) v0.20_NRA_model_for_NEMO2 (EMC Update) v0.22_NRA_model_for_NEMO2 (EMC Update) v0.29.5" xfId="914" xr:uid="{00000000-0005-0000-0000-000090030000}"/>
    <cellStyle name="%_NRA_model_for_NEMO2 (EMC Update) v0.20_NRA_model_for_NEMO2 (EMC Update) v0.22_NRA_model_for_NEMO2 (EMC Update) v0.29.5_NRA_model_for_NEMO2 (EMC Update) v0 30 1" xfId="915" xr:uid="{00000000-0005-0000-0000-000091030000}"/>
    <cellStyle name="%_NRA_model_for_NEMO2 (EMC Update) v0.20_NRA_model_for_NEMO2 (EMC Update) v0.22_NRA_model_for_NEMO2 (EMC Update) v0.29_NRA_model_for_NEMO2 (EMC Update) v0 30 1" xfId="936" xr:uid="{00000000-0005-0000-0000-000092030000}"/>
    <cellStyle name="%_NRA_model_for_NEMO2 (EMC Update) v0.20_NRA_model_for_NEMO2 (EMC Update) v0.22_NRA_model_for_NEMO2 (EMC Update) v0.29_NRA_model_for_NEMO2 (EMC Update) v0.29.2" xfId="916" xr:uid="{00000000-0005-0000-0000-000093030000}"/>
    <cellStyle name="%_NRA_model_for_NEMO2 (EMC Update) v0.20_NRA_model_for_NEMO2 (EMC Update) v0.22_NRA_model_for_NEMO2 (EMC Update) v0.29_NRA_model_for_NEMO2 (EMC Update) v0.29.2_NRA_model_for_NEMO2 (EMC Update) v0 30 1" xfId="925" xr:uid="{00000000-0005-0000-0000-000094030000}"/>
    <cellStyle name="%_NRA_model_for_NEMO2 (EMC Update) v0.20_NRA_model_for_NEMO2 (EMC Update) v0.22_NRA_model_for_NEMO2 (EMC Update) v0.29_NRA_model_for_NEMO2 (EMC Update) v0.29.2_NRA_model_for_NEMO2 (EMC Update) v0.29.3" xfId="917" xr:uid="{00000000-0005-0000-0000-000095030000}"/>
    <cellStyle name="%_NRA_model_for_NEMO2 (EMC Update) v0.20_NRA_model_for_NEMO2 (EMC Update) v0.22_NRA_model_for_NEMO2 (EMC Update) v0.29_NRA_model_for_NEMO2 (EMC Update) v0.29.2_NRA_model_for_NEMO2 (EMC Update) v0.29.3_NRA_model_for_NEMO2 (EMC Update) v0 30 1" xfId="919" xr:uid="{00000000-0005-0000-0000-000096030000}"/>
    <cellStyle name="%_NRA_model_for_NEMO2 (EMC Update) v0.20_NRA_model_for_NEMO2 (EMC Update) v0.22_NRA_model_for_NEMO2 (EMC Update) v0.29_NRA_model_for_NEMO2 (EMC Update) v0.29.2_NRA_model_for_NEMO2 (EMC Update) v0.29.3_NRA_model_for_NEMO2 (EMC Update) v0.29.5" xfId="918" xr:uid="{00000000-0005-0000-0000-000097030000}"/>
    <cellStyle name="%_NRA_model_for_NEMO2 (EMC Update) v0.20_NRA_model_for_NEMO2 (EMC Update) v0.22_NRA_model_for_NEMO2 (EMC Update) v0.29_NRA_model_for_NEMO2 (EMC Update) v0.29.2_NRA_model_for_NEMO2 (EMC Update) v0.29.4" xfId="920" xr:uid="{00000000-0005-0000-0000-000098030000}"/>
    <cellStyle name="%_NRA_model_for_NEMO2 (EMC Update) v0.20_NRA_model_for_NEMO2 (EMC Update) v0.22_NRA_model_for_NEMO2 (EMC Update) v0.29_NRA_model_for_NEMO2 (EMC Update) v0.29.2_NRA_model_for_NEMO2 (EMC Update) v0.29.4_NRA_model_for_NEMO2 (EMC Update) v0 30 1" xfId="922" xr:uid="{00000000-0005-0000-0000-000099030000}"/>
    <cellStyle name="%_NRA_model_for_NEMO2 (EMC Update) v0.20_NRA_model_for_NEMO2 (EMC Update) v0.22_NRA_model_for_NEMO2 (EMC Update) v0.29_NRA_model_for_NEMO2 (EMC Update) v0.29.2_NRA_model_for_NEMO2 (EMC Update) v0.29.4_NRA_model_for_NEMO2 (EMC Update) v0.29.5" xfId="921" xr:uid="{00000000-0005-0000-0000-00009A030000}"/>
    <cellStyle name="%_NRA_model_for_NEMO2 (EMC Update) v0.20_NRA_model_for_NEMO2 (EMC Update) v0.22_NRA_model_for_NEMO2 (EMC Update) v0.29_NRA_model_for_NEMO2 (EMC Update) v0.29.2_NRA_model_for_NEMO2 (EMC Update) v0.29.5" xfId="923" xr:uid="{00000000-0005-0000-0000-00009B030000}"/>
    <cellStyle name="%_NRA_model_for_NEMO2 (EMC Update) v0.20_NRA_model_for_NEMO2 (EMC Update) v0.22_NRA_model_for_NEMO2 (EMC Update) v0.29_NRA_model_for_NEMO2 (EMC Update) v0.29.2_NRA_model_for_NEMO2 (EMC Update) v0.29.5_NRA_model_for_NEMO2 (EMC Update) v0 30 1" xfId="924" xr:uid="{00000000-0005-0000-0000-00009C030000}"/>
    <cellStyle name="%_NRA_model_for_NEMO2 (EMC Update) v0.20_NRA_model_for_NEMO2 (EMC Update) v0.22_NRA_model_for_NEMO2 (EMC Update) v0.29_NRA_model_for_NEMO2 (EMC Update) v0.29.3" xfId="926" xr:uid="{00000000-0005-0000-0000-00009D030000}"/>
    <cellStyle name="%_NRA_model_for_NEMO2 (EMC Update) v0.20_NRA_model_for_NEMO2 (EMC Update) v0.22_NRA_model_for_NEMO2 (EMC Update) v0.29_NRA_model_for_NEMO2 (EMC Update) v0.29.3_NRA_model_for_NEMO2 (EMC Update) v0 30 1" xfId="929" xr:uid="{00000000-0005-0000-0000-00009E030000}"/>
    <cellStyle name="%_NRA_model_for_NEMO2 (EMC Update) v0.20_NRA_model_for_NEMO2 (EMC Update) v0.22_NRA_model_for_NEMO2 (EMC Update) v0.29_NRA_model_for_NEMO2 (EMC Update) v0.29.3_NRA_model_for_NEMO2 (EMC Update) v0.29.5" xfId="927" xr:uid="{00000000-0005-0000-0000-00009F030000}"/>
    <cellStyle name="%_NRA_model_for_NEMO2 (EMC Update) v0.20_NRA_model_for_NEMO2 (EMC Update) v0.22_NRA_model_for_NEMO2 (EMC Update) v0.29_NRA_model_for_NEMO2 (EMC Update) v0.29.3_NRA_model_for_NEMO2 (EMC Update) v0.29.5_NRA_model_for_NEMO2 (EMC Update) v0 30 1" xfId="928" xr:uid="{00000000-0005-0000-0000-0000A0030000}"/>
    <cellStyle name="%_NRA_model_for_NEMO2 (EMC Update) v0.20_NRA_model_for_NEMO2 (EMC Update) v0.22_NRA_model_for_NEMO2 (EMC Update) v0.29_NRA_model_for_NEMO2 (EMC Update) v0.29.4" xfId="930" xr:uid="{00000000-0005-0000-0000-0000A1030000}"/>
    <cellStyle name="%_NRA_model_for_NEMO2 (EMC Update) v0.20_NRA_model_for_NEMO2 (EMC Update) v0.22_NRA_model_for_NEMO2 (EMC Update) v0.29_NRA_model_for_NEMO2 (EMC Update) v0.29.4_NRA_model_for_NEMO2 (EMC Update) v0 30 1" xfId="933" xr:uid="{00000000-0005-0000-0000-0000A2030000}"/>
    <cellStyle name="%_NRA_model_for_NEMO2 (EMC Update) v0.20_NRA_model_for_NEMO2 (EMC Update) v0.22_NRA_model_for_NEMO2 (EMC Update) v0.29_NRA_model_for_NEMO2 (EMC Update) v0.29.4_NRA_model_for_NEMO2 (EMC Update) v0.29.5" xfId="931" xr:uid="{00000000-0005-0000-0000-0000A3030000}"/>
    <cellStyle name="%_NRA_model_for_NEMO2 (EMC Update) v0.20_NRA_model_for_NEMO2 (EMC Update) v0.22_NRA_model_for_NEMO2 (EMC Update) v0.29_NRA_model_for_NEMO2 (EMC Update) v0.29.4_NRA_model_for_NEMO2 (EMC Update) v0.29.5_NRA_model_for_NEMO2 (EMC Update) v0 30 1" xfId="932" xr:uid="{00000000-0005-0000-0000-0000A4030000}"/>
    <cellStyle name="%_NRA_model_for_NEMO2 (EMC Update) v0.20_NRA_model_for_NEMO2 (EMC Update) v0.22_NRA_model_for_NEMO2 (EMC Update) v0.29_NRA_model_for_NEMO2 (EMC Update) v0.29.5" xfId="934" xr:uid="{00000000-0005-0000-0000-0000A5030000}"/>
    <cellStyle name="%_NRA_model_for_NEMO2 (EMC Update) v0.20_NRA_model_for_NEMO2 (EMC Update) v0.22_NRA_model_for_NEMO2 (EMC Update) v0.29_NRA_model_for_NEMO2 (EMC Update) v0.29.5_NRA_model_for_NEMO2 (EMC Update) v0 30 1" xfId="935" xr:uid="{00000000-0005-0000-0000-0000A6030000}"/>
    <cellStyle name="%_NRA_model_for_NEMO2 (EMC Update) v0.20_NRA_model_for_NEMO2 (EMC Update) v0.25" xfId="938" xr:uid="{00000000-0005-0000-0000-0000A7030000}"/>
    <cellStyle name="%_NRA_model_for_NEMO2 (EMC Update) v0.20_NRA_model_for_NEMO2 (EMC Update) v0.25_NRA_model_for_NEMO2 (EMC Update) v0 30 1" xfId="1020" xr:uid="{00000000-0005-0000-0000-0000A8030000}"/>
    <cellStyle name="%_NRA_model_for_NEMO2 (EMC Update) v0.20_NRA_model_for_NEMO2 (EMC Update) v0.25_NRA_model_for_NEMO2 (EMC Update) v0.26" xfId="939" xr:uid="{00000000-0005-0000-0000-0000A9030000}"/>
    <cellStyle name="%_NRA_model_for_NEMO2 (EMC Update) v0.20_NRA_model_for_NEMO2 (EMC Update) v0.25_NRA_model_for_NEMO2 (EMC Update) v0.26_NRA_model_for_NEMO2 (EMC Update) v0 30 1" xfId="975" xr:uid="{00000000-0005-0000-0000-0000AA030000}"/>
    <cellStyle name="%_NRA_model_for_NEMO2 (EMC Update) v0.20_NRA_model_for_NEMO2 (EMC Update) v0.25_NRA_model_for_NEMO2 (EMC Update) v0.26_NRA_model_for_NEMO2 (EMC Update) v0.29" xfId="940" xr:uid="{00000000-0005-0000-0000-0000AB030000}"/>
    <cellStyle name="%_NRA_model_for_NEMO2 (EMC Update) v0.20_NRA_model_for_NEMO2 (EMC Update) v0.25_NRA_model_for_NEMO2 (EMC Update) v0.26_NRA_model_for_NEMO2 (EMC Update) v0.29.2" xfId="941" xr:uid="{00000000-0005-0000-0000-0000AC030000}"/>
    <cellStyle name="%_NRA_model_for_NEMO2 (EMC Update) v0.20_NRA_model_for_NEMO2 (EMC Update) v0.25_NRA_model_for_NEMO2 (EMC Update) v0.26_NRA_model_for_NEMO2 (EMC Update) v0.29.2_NRA_model_for_NEMO2 (EMC Update) v0 30 1" xfId="950" xr:uid="{00000000-0005-0000-0000-0000AD030000}"/>
    <cellStyle name="%_NRA_model_for_NEMO2 (EMC Update) v0.20_NRA_model_for_NEMO2 (EMC Update) v0.25_NRA_model_for_NEMO2 (EMC Update) v0.26_NRA_model_for_NEMO2 (EMC Update) v0.29.2_NRA_model_for_NEMO2 (EMC Update) v0.29.3" xfId="942" xr:uid="{00000000-0005-0000-0000-0000AE030000}"/>
    <cellStyle name="%_NRA_model_for_NEMO2 (EMC Update) v0.20_NRA_model_for_NEMO2 (EMC Update) v0.25_NRA_model_for_NEMO2 (EMC Update) v0.26_NRA_model_for_NEMO2 (EMC Update) v0.29.2_NRA_model_for_NEMO2 (EMC Update) v0.29.3_NRA_model_for_NEMO2 (EMC Update) v0 30 1" xfId="944" xr:uid="{00000000-0005-0000-0000-0000AF030000}"/>
    <cellStyle name="%_NRA_model_for_NEMO2 (EMC Update) v0.20_NRA_model_for_NEMO2 (EMC Update) v0.25_NRA_model_for_NEMO2 (EMC Update) v0.26_NRA_model_for_NEMO2 (EMC Update) v0.29.2_NRA_model_for_NEMO2 (EMC Update) v0.29.3_NRA_model_for_NEMO2 (EMC Update) v0.29.5" xfId="943" xr:uid="{00000000-0005-0000-0000-0000B0030000}"/>
    <cellStyle name="%_NRA_model_for_NEMO2 (EMC Update) v0.20_NRA_model_for_NEMO2 (EMC Update) v0.25_NRA_model_for_NEMO2 (EMC Update) v0.26_NRA_model_for_NEMO2 (EMC Update) v0.29.2_NRA_model_for_NEMO2 (EMC Update) v0.29.4" xfId="945" xr:uid="{00000000-0005-0000-0000-0000B1030000}"/>
    <cellStyle name="%_NRA_model_for_NEMO2 (EMC Update) v0.20_NRA_model_for_NEMO2 (EMC Update) v0.25_NRA_model_for_NEMO2 (EMC Update) v0.26_NRA_model_for_NEMO2 (EMC Update) v0.29.2_NRA_model_for_NEMO2 (EMC Update) v0.29.4_NRA_model_for_NEMO2 (EMC Update) v0 30 1" xfId="947" xr:uid="{00000000-0005-0000-0000-0000B2030000}"/>
    <cellStyle name="%_NRA_model_for_NEMO2 (EMC Update) v0.20_NRA_model_for_NEMO2 (EMC Update) v0.25_NRA_model_for_NEMO2 (EMC Update) v0.26_NRA_model_for_NEMO2 (EMC Update) v0.29.2_NRA_model_for_NEMO2 (EMC Update) v0.29.4_NRA_model_for_NEMO2 (EMC Update) v0.29.5" xfId="946" xr:uid="{00000000-0005-0000-0000-0000B3030000}"/>
    <cellStyle name="%_NRA_model_for_NEMO2 (EMC Update) v0.20_NRA_model_for_NEMO2 (EMC Update) v0.25_NRA_model_for_NEMO2 (EMC Update) v0.26_NRA_model_for_NEMO2 (EMC Update) v0.29.2_NRA_model_for_NEMO2 (EMC Update) v0.29.5" xfId="948" xr:uid="{00000000-0005-0000-0000-0000B4030000}"/>
    <cellStyle name="%_NRA_model_for_NEMO2 (EMC Update) v0.20_NRA_model_for_NEMO2 (EMC Update) v0.25_NRA_model_for_NEMO2 (EMC Update) v0.26_NRA_model_for_NEMO2 (EMC Update) v0.29.2_NRA_model_for_NEMO2 (EMC Update) v0.29.5_NRA_model_for_NEMO2 (EMC Update) v0 30 1" xfId="949" xr:uid="{00000000-0005-0000-0000-0000B5030000}"/>
    <cellStyle name="%_NRA_model_for_NEMO2 (EMC Update) v0.20_NRA_model_for_NEMO2 (EMC Update) v0.25_NRA_model_for_NEMO2 (EMC Update) v0.26_NRA_model_for_NEMO2 (EMC Update) v0.29.3" xfId="951" xr:uid="{00000000-0005-0000-0000-0000B6030000}"/>
    <cellStyle name="%_NRA_model_for_NEMO2 (EMC Update) v0.20_NRA_model_for_NEMO2 (EMC Update) v0.25_NRA_model_for_NEMO2 (EMC Update) v0.26_NRA_model_for_NEMO2 (EMC Update) v0.29.3_NRA_model_for_NEMO2 (EMC Update) v0 30 1" xfId="954" xr:uid="{00000000-0005-0000-0000-0000B7030000}"/>
    <cellStyle name="%_NRA_model_for_NEMO2 (EMC Update) v0.20_NRA_model_for_NEMO2 (EMC Update) v0.25_NRA_model_for_NEMO2 (EMC Update) v0.26_NRA_model_for_NEMO2 (EMC Update) v0.29.3_NRA_model_for_NEMO2 (EMC Update) v0.29.5" xfId="952" xr:uid="{00000000-0005-0000-0000-0000B8030000}"/>
    <cellStyle name="%_NRA_model_for_NEMO2 (EMC Update) v0.20_NRA_model_for_NEMO2 (EMC Update) v0.25_NRA_model_for_NEMO2 (EMC Update) v0.26_NRA_model_for_NEMO2 (EMC Update) v0.29.3_NRA_model_for_NEMO2 (EMC Update) v0.29.5_NRA_model_for_NEMO2 (EMC Update) v0 30 1" xfId="953" xr:uid="{00000000-0005-0000-0000-0000B9030000}"/>
    <cellStyle name="%_NRA_model_for_NEMO2 (EMC Update) v0.20_NRA_model_for_NEMO2 (EMC Update) v0.25_NRA_model_for_NEMO2 (EMC Update) v0.26_NRA_model_for_NEMO2 (EMC Update) v0.29.4" xfId="955" xr:uid="{00000000-0005-0000-0000-0000BA030000}"/>
    <cellStyle name="%_NRA_model_for_NEMO2 (EMC Update) v0.20_NRA_model_for_NEMO2 (EMC Update) v0.25_NRA_model_for_NEMO2 (EMC Update) v0.26_NRA_model_for_NEMO2 (EMC Update) v0.29.4_NRA_model_for_NEMO2 (EMC Update) v0 30 1" xfId="958" xr:uid="{00000000-0005-0000-0000-0000BB030000}"/>
    <cellStyle name="%_NRA_model_for_NEMO2 (EMC Update) v0.20_NRA_model_for_NEMO2 (EMC Update) v0.25_NRA_model_for_NEMO2 (EMC Update) v0.26_NRA_model_for_NEMO2 (EMC Update) v0.29.4_NRA_model_for_NEMO2 (EMC Update) v0.29.5" xfId="956" xr:uid="{00000000-0005-0000-0000-0000BC030000}"/>
    <cellStyle name="%_NRA_model_for_NEMO2 (EMC Update) v0.20_NRA_model_for_NEMO2 (EMC Update) v0.25_NRA_model_for_NEMO2 (EMC Update) v0.26_NRA_model_for_NEMO2 (EMC Update) v0.29.4_NRA_model_for_NEMO2 (EMC Update) v0.29.5_NRA_model_for_NEMO2 (EMC Update) v0 30 1" xfId="957" xr:uid="{00000000-0005-0000-0000-0000BD030000}"/>
    <cellStyle name="%_NRA_model_for_NEMO2 (EMC Update) v0.20_NRA_model_for_NEMO2 (EMC Update) v0.25_NRA_model_for_NEMO2 (EMC Update) v0.26_NRA_model_for_NEMO2 (EMC Update) v0.29.5" xfId="959" xr:uid="{00000000-0005-0000-0000-0000BE030000}"/>
    <cellStyle name="%_NRA_model_for_NEMO2 (EMC Update) v0.20_NRA_model_for_NEMO2 (EMC Update) v0.25_NRA_model_for_NEMO2 (EMC Update) v0.26_NRA_model_for_NEMO2 (EMC Update) v0.29.5_NRA_model_for_NEMO2 (EMC Update) v0 30 1" xfId="960" xr:uid="{00000000-0005-0000-0000-0000BF030000}"/>
    <cellStyle name="%_NRA_model_for_NEMO2 (EMC Update) v0.20_NRA_model_for_NEMO2 (EMC Update) v0.25_NRA_model_for_NEMO2 (EMC Update) v0.26_NRA_model_for_NEMO2 (EMC Update) v0.29_NRA_model_for_NEMO2 (EMC Update) v0 30 1" xfId="974" xr:uid="{00000000-0005-0000-0000-0000C0030000}"/>
    <cellStyle name="%_NRA_model_for_NEMO2 (EMC Update) v0.20_NRA_model_for_NEMO2 (EMC Update) v0.25_NRA_model_for_NEMO2 (EMC Update) v0.26_NRA_model_for_NEMO2 (EMC Update) v0.29_NRA_model_for_NEMO2 (EMC Update) v0.29.2" xfId="961" xr:uid="{00000000-0005-0000-0000-0000C1030000}"/>
    <cellStyle name="%_NRA_model_for_NEMO2 (EMC Update) v0.20_NRA_model_for_NEMO2 (EMC Update) v0.25_NRA_model_for_NEMO2 (EMC Update) v0.26_NRA_model_for_NEMO2 (EMC Update) v0.29_NRA_model_for_NEMO2 (EMC Update) v0.29.2_NRA_model_for_NEMO2 (EMC Update) v0 30 1" xfId="965" xr:uid="{00000000-0005-0000-0000-0000C2030000}"/>
    <cellStyle name="%_NRA_model_for_NEMO2 (EMC Update) v0.20_NRA_model_for_NEMO2 (EMC Update) v0.25_NRA_model_for_NEMO2 (EMC Update) v0.26_NRA_model_for_NEMO2 (EMC Update) v0.29_NRA_model_for_NEMO2 (EMC Update) v0.29.2_NRA_model_for_NEMO2 (EMC Update) v0.29.3" xfId="962" xr:uid="{00000000-0005-0000-0000-0000C3030000}"/>
    <cellStyle name="%_NRA_model_for_NEMO2 (EMC Update) v0.20_NRA_model_for_NEMO2 (EMC Update) v0.25_NRA_model_for_NEMO2 (EMC Update) v0.26_NRA_model_for_NEMO2 (EMC Update) v0.29_NRA_model_for_NEMO2 (EMC Update) v0.29.2_NRA_model_for_NEMO2 (EMC Update) v0.29.4" xfId="963" xr:uid="{00000000-0005-0000-0000-0000C4030000}"/>
    <cellStyle name="%_NRA_model_for_NEMO2 (EMC Update) v0.20_NRA_model_for_NEMO2 (EMC Update) v0.25_NRA_model_for_NEMO2 (EMC Update) v0.26_NRA_model_for_NEMO2 (EMC Update) v0.29_NRA_model_for_NEMO2 (EMC Update) v0.29.2_NRA_model_for_NEMO2 (EMC Update) v0.29.5" xfId="964" xr:uid="{00000000-0005-0000-0000-0000C5030000}"/>
    <cellStyle name="%_NRA_model_for_NEMO2 (EMC Update) v0.20_NRA_model_for_NEMO2 (EMC Update) v0.25_NRA_model_for_NEMO2 (EMC Update) v0.26_NRA_model_for_NEMO2 (EMC Update) v0.29_NRA_model_for_NEMO2 (EMC Update) v0.29.3" xfId="966" xr:uid="{00000000-0005-0000-0000-0000C6030000}"/>
    <cellStyle name="%_NRA_model_for_NEMO2 (EMC Update) v0.20_NRA_model_for_NEMO2 (EMC Update) v0.25_NRA_model_for_NEMO2 (EMC Update) v0.26_NRA_model_for_NEMO2 (EMC Update) v0.29_NRA_model_for_NEMO2 (EMC Update) v0.29.3_NRA_model_for_NEMO2 (EMC Update) v0 30 1" xfId="968" xr:uid="{00000000-0005-0000-0000-0000C7030000}"/>
    <cellStyle name="%_NRA_model_for_NEMO2 (EMC Update) v0.20_NRA_model_for_NEMO2 (EMC Update) v0.25_NRA_model_for_NEMO2 (EMC Update) v0.26_NRA_model_for_NEMO2 (EMC Update) v0.29_NRA_model_for_NEMO2 (EMC Update) v0.29.3_NRA_model_for_NEMO2 (EMC Update) v0.29.5" xfId="967" xr:uid="{00000000-0005-0000-0000-0000C8030000}"/>
    <cellStyle name="%_NRA_model_for_NEMO2 (EMC Update) v0.20_NRA_model_for_NEMO2 (EMC Update) v0.25_NRA_model_for_NEMO2 (EMC Update) v0.26_NRA_model_for_NEMO2 (EMC Update) v0.29_NRA_model_for_NEMO2 (EMC Update) v0.29.4" xfId="969" xr:uid="{00000000-0005-0000-0000-0000C9030000}"/>
    <cellStyle name="%_NRA_model_for_NEMO2 (EMC Update) v0.20_NRA_model_for_NEMO2 (EMC Update) v0.25_NRA_model_for_NEMO2 (EMC Update) v0.26_NRA_model_for_NEMO2 (EMC Update) v0.29_NRA_model_for_NEMO2 (EMC Update) v0.29.4_NRA_model_for_NEMO2 (EMC Update) v0 30 1" xfId="971" xr:uid="{00000000-0005-0000-0000-0000CA030000}"/>
    <cellStyle name="%_NRA_model_for_NEMO2 (EMC Update) v0.20_NRA_model_for_NEMO2 (EMC Update) v0.25_NRA_model_for_NEMO2 (EMC Update) v0.26_NRA_model_for_NEMO2 (EMC Update) v0.29_NRA_model_for_NEMO2 (EMC Update) v0.29.4_NRA_model_for_NEMO2 (EMC Update) v0.29.5" xfId="970" xr:uid="{00000000-0005-0000-0000-0000CB030000}"/>
    <cellStyle name="%_NRA_model_for_NEMO2 (EMC Update) v0.20_NRA_model_for_NEMO2 (EMC Update) v0.25_NRA_model_for_NEMO2 (EMC Update) v0.26_NRA_model_for_NEMO2 (EMC Update) v0.29_NRA_model_for_NEMO2 (EMC Update) v0.29.5" xfId="972" xr:uid="{00000000-0005-0000-0000-0000CC030000}"/>
    <cellStyle name="%_NRA_model_for_NEMO2 (EMC Update) v0.20_NRA_model_for_NEMO2 (EMC Update) v0.25_NRA_model_for_NEMO2 (EMC Update) v0.26_NRA_model_for_NEMO2 (EMC Update) v0.29_NRA_model_for_NEMO2 (EMC Update) v0.29.5_NRA_model_for_NEMO2 (EMC Update) v0 30 1" xfId="973" xr:uid="{00000000-0005-0000-0000-0000CD030000}"/>
    <cellStyle name="%_NRA_model_for_NEMO2 (EMC Update) v0.20_NRA_model_for_NEMO2 (EMC Update) v0.25_NRA_model_for_NEMO2 (EMC Update) v0.29" xfId="976" xr:uid="{00000000-0005-0000-0000-0000CE030000}"/>
    <cellStyle name="%_NRA_model_for_NEMO2 (EMC Update) v0.20_NRA_model_for_NEMO2 (EMC Update) v0.25_NRA_model_for_NEMO2 (EMC Update) v0.29.2" xfId="977" xr:uid="{00000000-0005-0000-0000-0000CF030000}"/>
    <cellStyle name="%_NRA_model_for_NEMO2 (EMC Update) v0.20_NRA_model_for_NEMO2 (EMC Update) v0.25_NRA_model_for_NEMO2 (EMC Update) v0.29.2_NRA_model_for_NEMO2 (EMC Update) v0 30 1" xfId="988" xr:uid="{00000000-0005-0000-0000-0000D0030000}"/>
    <cellStyle name="%_NRA_model_for_NEMO2 (EMC Update) v0.20_NRA_model_for_NEMO2 (EMC Update) v0.25_NRA_model_for_NEMO2 (EMC Update) v0.29.2_NRA_model_for_NEMO2 (EMC Update) v0.29.3" xfId="978" xr:uid="{00000000-0005-0000-0000-0000D1030000}"/>
    <cellStyle name="%_NRA_model_for_NEMO2 (EMC Update) v0.20_NRA_model_for_NEMO2 (EMC Update) v0.25_NRA_model_for_NEMO2 (EMC Update) v0.29.2_NRA_model_for_NEMO2 (EMC Update) v0.29.3_NRA_model_for_NEMO2 (EMC Update) v0 30 1" xfId="981" xr:uid="{00000000-0005-0000-0000-0000D2030000}"/>
    <cellStyle name="%_NRA_model_for_NEMO2 (EMC Update) v0.20_NRA_model_for_NEMO2 (EMC Update) v0.25_NRA_model_for_NEMO2 (EMC Update) v0.29.2_NRA_model_for_NEMO2 (EMC Update) v0.29.3_NRA_model_for_NEMO2 (EMC Update) v0.29.5" xfId="979" xr:uid="{00000000-0005-0000-0000-0000D3030000}"/>
    <cellStyle name="%_NRA_model_for_NEMO2 (EMC Update) v0.20_NRA_model_for_NEMO2 (EMC Update) v0.25_NRA_model_for_NEMO2 (EMC Update) v0.29.2_NRA_model_for_NEMO2 (EMC Update) v0.29.3_NRA_model_for_NEMO2 (EMC Update) v0.29.5_NRA_model_for_NEMO2 (EMC Update) v0 30 1" xfId="980" xr:uid="{00000000-0005-0000-0000-0000D4030000}"/>
    <cellStyle name="%_NRA_model_for_NEMO2 (EMC Update) v0.20_NRA_model_for_NEMO2 (EMC Update) v0.25_NRA_model_for_NEMO2 (EMC Update) v0.29.2_NRA_model_for_NEMO2 (EMC Update) v0.29.4" xfId="982" xr:uid="{00000000-0005-0000-0000-0000D5030000}"/>
    <cellStyle name="%_NRA_model_for_NEMO2 (EMC Update) v0.20_NRA_model_for_NEMO2 (EMC Update) v0.25_NRA_model_for_NEMO2 (EMC Update) v0.29.2_NRA_model_for_NEMO2 (EMC Update) v0.29.4_NRA_model_for_NEMO2 (EMC Update) v0 30 1" xfId="985" xr:uid="{00000000-0005-0000-0000-0000D6030000}"/>
    <cellStyle name="%_NRA_model_for_NEMO2 (EMC Update) v0.20_NRA_model_for_NEMO2 (EMC Update) v0.25_NRA_model_for_NEMO2 (EMC Update) v0.29.2_NRA_model_for_NEMO2 (EMC Update) v0.29.4_NRA_model_for_NEMO2 (EMC Update) v0.29.5" xfId="983" xr:uid="{00000000-0005-0000-0000-0000D7030000}"/>
    <cellStyle name="%_NRA_model_for_NEMO2 (EMC Update) v0.20_NRA_model_for_NEMO2 (EMC Update) v0.25_NRA_model_for_NEMO2 (EMC Update) v0.29.2_NRA_model_for_NEMO2 (EMC Update) v0.29.4_NRA_model_for_NEMO2 (EMC Update) v0.29.5_NRA_model_for_NEMO2 (EMC Update) v0 30 1" xfId="984" xr:uid="{00000000-0005-0000-0000-0000D8030000}"/>
    <cellStyle name="%_NRA_model_for_NEMO2 (EMC Update) v0.20_NRA_model_for_NEMO2 (EMC Update) v0.25_NRA_model_for_NEMO2 (EMC Update) v0.29.2_NRA_model_for_NEMO2 (EMC Update) v0.29.5" xfId="986" xr:uid="{00000000-0005-0000-0000-0000D9030000}"/>
    <cellStyle name="%_NRA_model_for_NEMO2 (EMC Update) v0.20_NRA_model_for_NEMO2 (EMC Update) v0.25_NRA_model_for_NEMO2 (EMC Update) v0.29.2_NRA_model_for_NEMO2 (EMC Update) v0.29.5_NRA_model_for_NEMO2 (EMC Update) v0 30 1" xfId="987" xr:uid="{00000000-0005-0000-0000-0000DA030000}"/>
    <cellStyle name="%_NRA_model_for_NEMO2 (EMC Update) v0.20_NRA_model_for_NEMO2 (EMC Update) v0.25_NRA_model_for_NEMO2 (EMC Update) v0.29.3" xfId="989" xr:uid="{00000000-0005-0000-0000-0000DB030000}"/>
    <cellStyle name="%_NRA_model_for_NEMO2 (EMC Update) v0.20_NRA_model_for_NEMO2 (EMC Update) v0.25_NRA_model_for_NEMO2 (EMC Update) v0.29.3_NRA_model_for_NEMO2 (EMC Update) v0 30 1" xfId="992" xr:uid="{00000000-0005-0000-0000-0000DC030000}"/>
    <cellStyle name="%_NRA_model_for_NEMO2 (EMC Update) v0.20_NRA_model_for_NEMO2 (EMC Update) v0.25_NRA_model_for_NEMO2 (EMC Update) v0.29.3_NRA_model_for_NEMO2 (EMC Update) v0.29.5" xfId="990" xr:uid="{00000000-0005-0000-0000-0000DD030000}"/>
    <cellStyle name="%_NRA_model_for_NEMO2 (EMC Update) v0.20_NRA_model_for_NEMO2 (EMC Update) v0.25_NRA_model_for_NEMO2 (EMC Update) v0.29.3_NRA_model_for_NEMO2 (EMC Update) v0.29.5_NRA_model_for_NEMO2 (EMC Update) v0 30 1" xfId="991" xr:uid="{00000000-0005-0000-0000-0000DE030000}"/>
    <cellStyle name="%_NRA_model_for_NEMO2 (EMC Update) v0.20_NRA_model_for_NEMO2 (EMC Update) v0.25_NRA_model_for_NEMO2 (EMC Update) v0.29.4" xfId="993" xr:uid="{00000000-0005-0000-0000-0000DF030000}"/>
    <cellStyle name="%_NRA_model_for_NEMO2 (EMC Update) v0.20_NRA_model_for_NEMO2 (EMC Update) v0.25_NRA_model_for_NEMO2 (EMC Update) v0.29.4_NRA_model_for_NEMO2 (EMC Update) v0 30 1" xfId="996" xr:uid="{00000000-0005-0000-0000-0000E0030000}"/>
    <cellStyle name="%_NRA_model_for_NEMO2 (EMC Update) v0.20_NRA_model_for_NEMO2 (EMC Update) v0.25_NRA_model_for_NEMO2 (EMC Update) v0.29.4_NRA_model_for_NEMO2 (EMC Update) v0.29.5" xfId="994" xr:uid="{00000000-0005-0000-0000-0000E1030000}"/>
    <cellStyle name="%_NRA_model_for_NEMO2 (EMC Update) v0.20_NRA_model_for_NEMO2 (EMC Update) v0.25_NRA_model_for_NEMO2 (EMC Update) v0.29.4_NRA_model_for_NEMO2 (EMC Update) v0.29.5_NRA_model_for_NEMO2 (EMC Update) v0 30 1" xfId="995" xr:uid="{00000000-0005-0000-0000-0000E2030000}"/>
    <cellStyle name="%_NRA_model_for_NEMO2 (EMC Update) v0.20_NRA_model_for_NEMO2 (EMC Update) v0.25_NRA_model_for_NEMO2 (EMC Update) v0.29.5" xfId="997" xr:uid="{00000000-0005-0000-0000-0000E3030000}"/>
    <cellStyle name="%_NRA_model_for_NEMO2 (EMC Update) v0.20_NRA_model_for_NEMO2 (EMC Update) v0.25_NRA_model_for_NEMO2 (EMC Update) v0.29.5_NRA_model_for_NEMO2 (EMC Update) v0 30 1" xfId="998" xr:uid="{00000000-0005-0000-0000-0000E4030000}"/>
    <cellStyle name="%_NRA_model_for_NEMO2 (EMC Update) v0.20_NRA_model_for_NEMO2 (EMC Update) v0.25_NRA_model_for_NEMO2 (EMC Update) v0.29_NRA_model_for_NEMO2 (EMC Update) v0 30 1" xfId="1019" xr:uid="{00000000-0005-0000-0000-0000E5030000}"/>
    <cellStyle name="%_NRA_model_for_NEMO2 (EMC Update) v0.20_NRA_model_for_NEMO2 (EMC Update) v0.25_NRA_model_for_NEMO2 (EMC Update) v0.29_NRA_model_for_NEMO2 (EMC Update) v0.29.2" xfId="999" xr:uid="{00000000-0005-0000-0000-0000E6030000}"/>
    <cellStyle name="%_NRA_model_for_NEMO2 (EMC Update) v0.20_NRA_model_for_NEMO2 (EMC Update) v0.25_NRA_model_for_NEMO2 (EMC Update) v0.29_NRA_model_for_NEMO2 (EMC Update) v0.29.2_NRA_model_for_NEMO2 (EMC Update) v0 30 1" xfId="1008" xr:uid="{00000000-0005-0000-0000-0000E7030000}"/>
    <cellStyle name="%_NRA_model_for_NEMO2 (EMC Update) v0.20_NRA_model_for_NEMO2 (EMC Update) v0.25_NRA_model_for_NEMO2 (EMC Update) v0.29_NRA_model_for_NEMO2 (EMC Update) v0.29.2_NRA_model_for_NEMO2 (EMC Update) v0.29.3" xfId="1000" xr:uid="{00000000-0005-0000-0000-0000E8030000}"/>
    <cellStyle name="%_NRA_model_for_NEMO2 (EMC Update) v0.20_NRA_model_for_NEMO2 (EMC Update) v0.25_NRA_model_for_NEMO2 (EMC Update) v0.29_NRA_model_for_NEMO2 (EMC Update) v0.29.2_NRA_model_for_NEMO2 (EMC Update) v0.29.3_NRA_model_for_NEMO2 (EMC Update) v0 30 1" xfId="1002" xr:uid="{00000000-0005-0000-0000-0000E9030000}"/>
    <cellStyle name="%_NRA_model_for_NEMO2 (EMC Update) v0.20_NRA_model_for_NEMO2 (EMC Update) v0.25_NRA_model_for_NEMO2 (EMC Update) v0.29_NRA_model_for_NEMO2 (EMC Update) v0.29.2_NRA_model_for_NEMO2 (EMC Update) v0.29.3_NRA_model_for_NEMO2 (EMC Update) v0.29.5" xfId="1001" xr:uid="{00000000-0005-0000-0000-0000EA030000}"/>
    <cellStyle name="%_NRA_model_for_NEMO2 (EMC Update) v0.20_NRA_model_for_NEMO2 (EMC Update) v0.25_NRA_model_for_NEMO2 (EMC Update) v0.29_NRA_model_for_NEMO2 (EMC Update) v0.29.2_NRA_model_for_NEMO2 (EMC Update) v0.29.4" xfId="1003" xr:uid="{00000000-0005-0000-0000-0000EB030000}"/>
    <cellStyle name="%_NRA_model_for_NEMO2 (EMC Update) v0.20_NRA_model_for_NEMO2 (EMC Update) v0.25_NRA_model_for_NEMO2 (EMC Update) v0.29_NRA_model_for_NEMO2 (EMC Update) v0.29.2_NRA_model_for_NEMO2 (EMC Update) v0.29.4_NRA_model_for_NEMO2 (EMC Update) v0 30 1" xfId="1005" xr:uid="{00000000-0005-0000-0000-0000EC030000}"/>
    <cellStyle name="%_NRA_model_for_NEMO2 (EMC Update) v0.20_NRA_model_for_NEMO2 (EMC Update) v0.25_NRA_model_for_NEMO2 (EMC Update) v0.29_NRA_model_for_NEMO2 (EMC Update) v0.29.2_NRA_model_for_NEMO2 (EMC Update) v0.29.4_NRA_model_for_NEMO2 (EMC Update) v0.29.5" xfId="1004" xr:uid="{00000000-0005-0000-0000-0000ED030000}"/>
    <cellStyle name="%_NRA_model_for_NEMO2 (EMC Update) v0.20_NRA_model_for_NEMO2 (EMC Update) v0.25_NRA_model_for_NEMO2 (EMC Update) v0.29_NRA_model_for_NEMO2 (EMC Update) v0.29.2_NRA_model_for_NEMO2 (EMC Update) v0.29.5" xfId="1006" xr:uid="{00000000-0005-0000-0000-0000EE030000}"/>
    <cellStyle name="%_NRA_model_for_NEMO2 (EMC Update) v0.20_NRA_model_for_NEMO2 (EMC Update) v0.25_NRA_model_for_NEMO2 (EMC Update) v0.29_NRA_model_for_NEMO2 (EMC Update) v0.29.2_NRA_model_for_NEMO2 (EMC Update) v0.29.5_NRA_model_for_NEMO2 (EMC Update) v0 30 1" xfId="1007" xr:uid="{00000000-0005-0000-0000-0000EF030000}"/>
    <cellStyle name="%_NRA_model_for_NEMO2 (EMC Update) v0.20_NRA_model_for_NEMO2 (EMC Update) v0.25_NRA_model_for_NEMO2 (EMC Update) v0.29_NRA_model_for_NEMO2 (EMC Update) v0.29.3" xfId="1009" xr:uid="{00000000-0005-0000-0000-0000F0030000}"/>
    <cellStyle name="%_NRA_model_for_NEMO2 (EMC Update) v0.20_NRA_model_for_NEMO2 (EMC Update) v0.25_NRA_model_for_NEMO2 (EMC Update) v0.29_NRA_model_for_NEMO2 (EMC Update) v0.29.3_NRA_model_for_NEMO2 (EMC Update) v0 30 1" xfId="1012" xr:uid="{00000000-0005-0000-0000-0000F1030000}"/>
    <cellStyle name="%_NRA_model_for_NEMO2 (EMC Update) v0.20_NRA_model_for_NEMO2 (EMC Update) v0.25_NRA_model_for_NEMO2 (EMC Update) v0.29_NRA_model_for_NEMO2 (EMC Update) v0.29.3_NRA_model_for_NEMO2 (EMC Update) v0.29.5" xfId="1010" xr:uid="{00000000-0005-0000-0000-0000F2030000}"/>
    <cellStyle name="%_NRA_model_for_NEMO2 (EMC Update) v0.20_NRA_model_for_NEMO2 (EMC Update) v0.25_NRA_model_for_NEMO2 (EMC Update) v0.29_NRA_model_for_NEMO2 (EMC Update) v0.29.3_NRA_model_for_NEMO2 (EMC Update) v0.29.5_NRA_model_for_NEMO2 (EMC Update) v0 30 1" xfId="1011" xr:uid="{00000000-0005-0000-0000-0000F3030000}"/>
    <cellStyle name="%_NRA_model_for_NEMO2 (EMC Update) v0.20_NRA_model_for_NEMO2 (EMC Update) v0.25_NRA_model_for_NEMO2 (EMC Update) v0.29_NRA_model_for_NEMO2 (EMC Update) v0.29.4" xfId="1013" xr:uid="{00000000-0005-0000-0000-0000F4030000}"/>
    <cellStyle name="%_NRA_model_for_NEMO2 (EMC Update) v0.20_NRA_model_for_NEMO2 (EMC Update) v0.25_NRA_model_for_NEMO2 (EMC Update) v0.29_NRA_model_for_NEMO2 (EMC Update) v0.29.4_NRA_model_for_NEMO2 (EMC Update) v0 30 1" xfId="1016" xr:uid="{00000000-0005-0000-0000-0000F5030000}"/>
    <cellStyle name="%_NRA_model_for_NEMO2 (EMC Update) v0.20_NRA_model_for_NEMO2 (EMC Update) v0.25_NRA_model_for_NEMO2 (EMC Update) v0.29_NRA_model_for_NEMO2 (EMC Update) v0.29.4_NRA_model_for_NEMO2 (EMC Update) v0.29.5" xfId="1014" xr:uid="{00000000-0005-0000-0000-0000F6030000}"/>
    <cellStyle name="%_NRA_model_for_NEMO2 (EMC Update) v0.20_NRA_model_for_NEMO2 (EMC Update) v0.25_NRA_model_for_NEMO2 (EMC Update) v0.29_NRA_model_for_NEMO2 (EMC Update) v0.29.4_NRA_model_for_NEMO2 (EMC Update) v0.29.5_NRA_model_for_NEMO2 (EMC Update) v0 30 1" xfId="1015" xr:uid="{00000000-0005-0000-0000-0000F7030000}"/>
    <cellStyle name="%_NRA_model_for_NEMO2 (EMC Update) v0.20_NRA_model_for_NEMO2 (EMC Update) v0.25_NRA_model_for_NEMO2 (EMC Update) v0.29_NRA_model_for_NEMO2 (EMC Update) v0.29.5" xfId="1017" xr:uid="{00000000-0005-0000-0000-0000F8030000}"/>
    <cellStyle name="%_NRA_model_for_NEMO2 (EMC Update) v0.20_NRA_model_for_NEMO2 (EMC Update) v0.25_NRA_model_for_NEMO2 (EMC Update) v0.29_NRA_model_for_NEMO2 (EMC Update) v0.29.5_NRA_model_for_NEMO2 (EMC Update) v0 30 1" xfId="1018" xr:uid="{00000000-0005-0000-0000-0000F9030000}"/>
    <cellStyle name="%_NRA_model_for_NEMO2 (EMC Update) v0.20_NRA_model_for_NEMO2 (EMC Update) v0.26" xfId="1021" xr:uid="{00000000-0005-0000-0000-0000FA030000}"/>
    <cellStyle name="%_NRA_model_for_NEMO2 (EMC Update) v0.20_NRA_model_for_NEMO2 (EMC Update) v0.26_NRA_model_for_NEMO2 (EMC Update) v0 30 1" xfId="1066" xr:uid="{00000000-0005-0000-0000-0000FB030000}"/>
    <cellStyle name="%_NRA_model_for_NEMO2 (EMC Update) v0.20_NRA_model_for_NEMO2 (EMC Update) v0.26_NRA_model_for_NEMO2 (EMC Update) v0.29" xfId="1022" xr:uid="{00000000-0005-0000-0000-0000FC030000}"/>
    <cellStyle name="%_NRA_model_for_NEMO2 (EMC Update) v0.20_NRA_model_for_NEMO2 (EMC Update) v0.26_NRA_model_for_NEMO2 (EMC Update) v0.29.2" xfId="1023" xr:uid="{00000000-0005-0000-0000-0000FD030000}"/>
    <cellStyle name="%_NRA_model_for_NEMO2 (EMC Update) v0.20_NRA_model_for_NEMO2 (EMC Update) v0.26_NRA_model_for_NEMO2 (EMC Update) v0.29.2_NRA_model_for_NEMO2 (EMC Update) v0 30 1" xfId="1034" xr:uid="{00000000-0005-0000-0000-0000FE030000}"/>
    <cellStyle name="%_NRA_model_for_NEMO2 (EMC Update) v0.20_NRA_model_for_NEMO2 (EMC Update) v0.26_NRA_model_for_NEMO2 (EMC Update) v0.29.2_NRA_model_for_NEMO2 (EMC Update) v0.29.3" xfId="1024" xr:uid="{00000000-0005-0000-0000-0000FF030000}"/>
    <cellStyle name="%_NRA_model_for_NEMO2 (EMC Update) v0.20_NRA_model_for_NEMO2 (EMC Update) v0.26_NRA_model_for_NEMO2 (EMC Update) v0.29.2_NRA_model_for_NEMO2 (EMC Update) v0.29.3_NRA_model_for_NEMO2 (EMC Update) v0 30 1" xfId="1027" xr:uid="{00000000-0005-0000-0000-000000040000}"/>
    <cellStyle name="%_NRA_model_for_NEMO2 (EMC Update) v0.20_NRA_model_for_NEMO2 (EMC Update) v0.26_NRA_model_for_NEMO2 (EMC Update) v0.29.2_NRA_model_for_NEMO2 (EMC Update) v0.29.3_NRA_model_for_NEMO2 (EMC Update) v0.29.5" xfId="1025" xr:uid="{00000000-0005-0000-0000-000001040000}"/>
    <cellStyle name="%_NRA_model_for_NEMO2 (EMC Update) v0.20_NRA_model_for_NEMO2 (EMC Update) v0.26_NRA_model_for_NEMO2 (EMC Update) v0.29.2_NRA_model_for_NEMO2 (EMC Update) v0.29.3_NRA_model_for_NEMO2 (EMC Update) v0.29.5_NRA_model_for_NEMO2 (EMC Update) v0 30 1" xfId="1026" xr:uid="{00000000-0005-0000-0000-000002040000}"/>
    <cellStyle name="%_NRA_model_for_NEMO2 (EMC Update) v0.20_NRA_model_for_NEMO2 (EMC Update) v0.26_NRA_model_for_NEMO2 (EMC Update) v0.29.2_NRA_model_for_NEMO2 (EMC Update) v0.29.4" xfId="1028" xr:uid="{00000000-0005-0000-0000-000003040000}"/>
    <cellStyle name="%_NRA_model_for_NEMO2 (EMC Update) v0.20_NRA_model_for_NEMO2 (EMC Update) v0.26_NRA_model_for_NEMO2 (EMC Update) v0.29.2_NRA_model_for_NEMO2 (EMC Update) v0.29.4_NRA_model_for_NEMO2 (EMC Update) v0 30 1" xfId="1031" xr:uid="{00000000-0005-0000-0000-000004040000}"/>
    <cellStyle name="%_NRA_model_for_NEMO2 (EMC Update) v0.20_NRA_model_for_NEMO2 (EMC Update) v0.26_NRA_model_for_NEMO2 (EMC Update) v0.29.2_NRA_model_for_NEMO2 (EMC Update) v0.29.4_NRA_model_for_NEMO2 (EMC Update) v0.29.5" xfId="1029" xr:uid="{00000000-0005-0000-0000-000005040000}"/>
    <cellStyle name="%_NRA_model_for_NEMO2 (EMC Update) v0.20_NRA_model_for_NEMO2 (EMC Update) v0.26_NRA_model_for_NEMO2 (EMC Update) v0.29.2_NRA_model_for_NEMO2 (EMC Update) v0.29.4_NRA_model_for_NEMO2 (EMC Update) v0.29.5_NRA_model_for_NEMO2 (EMC Update) v0 30 1" xfId="1030" xr:uid="{00000000-0005-0000-0000-000006040000}"/>
    <cellStyle name="%_NRA_model_for_NEMO2 (EMC Update) v0.20_NRA_model_for_NEMO2 (EMC Update) v0.26_NRA_model_for_NEMO2 (EMC Update) v0.29.2_NRA_model_for_NEMO2 (EMC Update) v0.29.5" xfId="1032" xr:uid="{00000000-0005-0000-0000-000007040000}"/>
    <cellStyle name="%_NRA_model_for_NEMO2 (EMC Update) v0.20_NRA_model_for_NEMO2 (EMC Update) v0.26_NRA_model_for_NEMO2 (EMC Update) v0.29.2_NRA_model_for_NEMO2 (EMC Update) v0.29.5_NRA_model_for_NEMO2 (EMC Update) v0 30 1" xfId="1033" xr:uid="{00000000-0005-0000-0000-000008040000}"/>
    <cellStyle name="%_NRA_model_for_NEMO2 (EMC Update) v0.20_NRA_model_for_NEMO2 (EMC Update) v0.26_NRA_model_for_NEMO2 (EMC Update) v0.29.3" xfId="1035" xr:uid="{00000000-0005-0000-0000-000009040000}"/>
    <cellStyle name="%_NRA_model_for_NEMO2 (EMC Update) v0.20_NRA_model_for_NEMO2 (EMC Update) v0.26_NRA_model_for_NEMO2 (EMC Update) v0.29.3_NRA_model_for_NEMO2 (EMC Update) v0 30 1" xfId="1038" xr:uid="{00000000-0005-0000-0000-00000A040000}"/>
    <cellStyle name="%_NRA_model_for_NEMO2 (EMC Update) v0.20_NRA_model_for_NEMO2 (EMC Update) v0.26_NRA_model_for_NEMO2 (EMC Update) v0.29.3_NRA_model_for_NEMO2 (EMC Update) v0.29.5" xfId="1036" xr:uid="{00000000-0005-0000-0000-00000B040000}"/>
    <cellStyle name="%_NRA_model_for_NEMO2 (EMC Update) v0.20_NRA_model_for_NEMO2 (EMC Update) v0.26_NRA_model_for_NEMO2 (EMC Update) v0.29.3_NRA_model_for_NEMO2 (EMC Update) v0.29.5_NRA_model_for_NEMO2 (EMC Update) v0 30 1" xfId="1037" xr:uid="{00000000-0005-0000-0000-00000C040000}"/>
    <cellStyle name="%_NRA_model_for_NEMO2 (EMC Update) v0.20_NRA_model_for_NEMO2 (EMC Update) v0.26_NRA_model_for_NEMO2 (EMC Update) v0.29.4" xfId="1039" xr:uid="{00000000-0005-0000-0000-00000D040000}"/>
    <cellStyle name="%_NRA_model_for_NEMO2 (EMC Update) v0.20_NRA_model_for_NEMO2 (EMC Update) v0.26_NRA_model_for_NEMO2 (EMC Update) v0.29.4_NRA_model_for_NEMO2 (EMC Update) v0 30 1" xfId="1042" xr:uid="{00000000-0005-0000-0000-00000E040000}"/>
    <cellStyle name="%_NRA_model_for_NEMO2 (EMC Update) v0.20_NRA_model_for_NEMO2 (EMC Update) v0.26_NRA_model_for_NEMO2 (EMC Update) v0.29.4_NRA_model_for_NEMO2 (EMC Update) v0.29.5" xfId="1040" xr:uid="{00000000-0005-0000-0000-00000F040000}"/>
    <cellStyle name="%_NRA_model_for_NEMO2 (EMC Update) v0.20_NRA_model_for_NEMO2 (EMC Update) v0.26_NRA_model_for_NEMO2 (EMC Update) v0.29.4_NRA_model_for_NEMO2 (EMC Update) v0.29.5_NRA_model_for_NEMO2 (EMC Update) v0 30 1" xfId="1041" xr:uid="{00000000-0005-0000-0000-000010040000}"/>
    <cellStyle name="%_NRA_model_for_NEMO2 (EMC Update) v0.20_NRA_model_for_NEMO2 (EMC Update) v0.26_NRA_model_for_NEMO2 (EMC Update) v0.29.5" xfId="1043" xr:uid="{00000000-0005-0000-0000-000011040000}"/>
    <cellStyle name="%_NRA_model_for_NEMO2 (EMC Update) v0.20_NRA_model_for_NEMO2 (EMC Update) v0.26_NRA_model_for_NEMO2 (EMC Update) v0.29.5_NRA_model_for_NEMO2 (EMC Update) v0 30 1" xfId="1044" xr:uid="{00000000-0005-0000-0000-000012040000}"/>
    <cellStyle name="%_NRA_model_for_NEMO2 (EMC Update) v0.20_NRA_model_for_NEMO2 (EMC Update) v0.26_NRA_model_for_NEMO2 (EMC Update) v0.29_NRA_model_for_NEMO2 (EMC Update) v0 30 1" xfId="1065" xr:uid="{00000000-0005-0000-0000-000013040000}"/>
    <cellStyle name="%_NRA_model_for_NEMO2 (EMC Update) v0.20_NRA_model_for_NEMO2 (EMC Update) v0.26_NRA_model_for_NEMO2 (EMC Update) v0.29_NRA_model_for_NEMO2 (EMC Update) v0.29.2" xfId="1045" xr:uid="{00000000-0005-0000-0000-000014040000}"/>
    <cellStyle name="%_NRA_model_for_NEMO2 (EMC Update) v0.20_NRA_model_for_NEMO2 (EMC Update) v0.26_NRA_model_for_NEMO2 (EMC Update) v0.29_NRA_model_for_NEMO2 (EMC Update) v0.29.2_NRA_model_for_NEMO2 (EMC Update) v0 30 1" xfId="1054" xr:uid="{00000000-0005-0000-0000-000015040000}"/>
    <cellStyle name="%_NRA_model_for_NEMO2 (EMC Update) v0.20_NRA_model_for_NEMO2 (EMC Update) v0.26_NRA_model_for_NEMO2 (EMC Update) v0.29_NRA_model_for_NEMO2 (EMC Update) v0.29.2_NRA_model_for_NEMO2 (EMC Update) v0.29.3" xfId="1046" xr:uid="{00000000-0005-0000-0000-000016040000}"/>
    <cellStyle name="%_NRA_model_for_NEMO2 (EMC Update) v0.20_NRA_model_for_NEMO2 (EMC Update) v0.26_NRA_model_for_NEMO2 (EMC Update) v0.29_NRA_model_for_NEMO2 (EMC Update) v0.29.2_NRA_model_for_NEMO2 (EMC Update) v0.29.3_NRA_model_for_NEMO2 (EMC Update) v0 30 1" xfId="1048" xr:uid="{00000000-0005-0000-0000-000017040000}"/>
    <cellStyle name="%_NRA_model_for_NEMO2 (EMC Update) v0.20_NRA_model_for_NEMO2 (EMC Update) v0.26_NRA_model_for_NEMO2 (EMC Update) v0.29_NRA_model_for_NEMO2 (EMC Update) v0.29.2_NRA_model_for_NEMO2 (EMC Update) v0.29.3_NRA_model_for_NEMO2 (EMC Update) v0.29.5" xfId="1047" xr:uid="{00000000-0005-0000-0000-000018040000}"/>
    <cellStyle name="%_NRA_model_for_NEMO2 (EMC Update) v0.20_NRA_model_for_NEMO2 (EMC Update) v0.26_NRA_model_for_NEMO2 (EMC Update) v0.29_NRA_model_for_NEMO2 (EMC Update) v0.29.2_NRA_model_for_NEMO2 (EMC Update) v0.29.4" xfId="1049" xr:uid="{00000000-0005-0000-0000-000019040000}"/>
    <cellStyle name="%_NRA_model_for_NEMO2 (EMC Update) v0.20_NRA_model_for_NEMO2 (EMC Update) v0.26_NRA_model_for_NEMO2 (EMC Update) v0.29_NRA_model_for_NEMO2 (EMC Update) v0.29.2_NRA_model_for_NEMO2 (EMC Update) v0.29.4_NRA_model_for_NEMO2 (EMC Update) v0 30 1" xfId="1051" xr:uid="{00000000-0005-0000-0000-00001A040000}"/>
    <cellStyle name="%_NRA_model_for_NEMO2 (EMC Update) v0.20_NRA_model_for_NEMO2 (EMC Update) v0.26_NRA_model_for_NEMO2 (EMC Update) v0.29_NRA_model_for_NEMO2 (EMC Update) v0.29.2_NRA_model_for_NEMO2 (EMC Update) v0.29.4_NRA_model_for_NEMO2 (EMC Update) v0.29.5" xfId="1050" xr:uid="{00000000-0005-0000-0000-00001B040000}"/>
    <cellStyle name="%_NRA_model_for_NEMO2 (EMC Update) v0.20_NRA_model_for_NEMO2 (EMC Update) v0.26_NRA_model_for_NEMO2 (EMC Update) v0.29_NRA_model_for_NEMO2 (EMC Update) v0.29.2_NRA_model_for_NEMO2 (EMC Update) v0.29.5" xfId="1052" xr:uid="{00000000-0005-0000-0000-00001C040000}"/>
    <cellStyle name="%_NRA_model_for_NEMO2 (EMC Update) v0.20_NRA_model_for_NEMO2 (EMC Update) v0.26_NRA_model_for_NEMO2 (EMC Update) v0.29_NRA_model_for_NEMO2 (EMC Update) v0.29.2_NRA_model_for_NEMO2 (EMC Update) v0.29.5_NRA_model_for_NEMO2 (EMC Update) v0 30 1" xfId="1053" xr:uid="{00000000-0005-0000-0000-00001D040000}"/>
    <cellStyle name="%_NRA_model_for_NEMO2 (EMC Update) v0.20_NRA_model_for_NEMO2 (EMC Update) v0.26_NRA_model_for_NEMO2 (EMC Update) v0.29_NRA_model_for_NEMO2 (EMC Update) v0.29.3" xfId="1055" xr:uid="{00000000-0005-0000-0000-00001E040000}"/>
    <cellStyle name="%_NRA_model_for_NEMO2 (EMC Update) v0.20_NRA_model_for_NEMO2 (EMC Update) v0.26_NRA_model_for_NEMO2 (EMC Update) v0.29_NRA_model_for_NEMO2 (EMC Update) v0.29.3_NRA_model_for_NEMO2 (EMC Update) v0 30 1" xfId="1058" xr:uid="{00000000-0005-0000-0000-00001F040000}"/>
    <cellStyle name="%_NRA_model_for_NEMO2 (EMC Update) v0.20_NRA_model_for_NEMO2 (EMC Update) v0.26_NRA_model_for_NEMO2 (EMC Update) v0.29_NRA_model_for_NEMO2 (EMC Update) v0.29.3_NRA_model_for_NEMO2 (EMC Update) v0.29.5" xfId="1056" xr:uid="{00000000-0005-0000-0000-000020040000}"/>
    <cellStyle name="%_NRA_model_for_NEMO2 (EMC Update) v0.20_NRA_model_for_NEMO2 (EMC Update) v0.26_NRA_model_for_NEMO2 (EMC Update) v0.29_NRA_model_for_NEMO2 (EMC Update) v0.29.3_NRA_model_for_NEMO2 (EMC Update) v0.29.5_NRA_model_for_NEMO2 (EMC Update) v0 30 1" xfId="1057" xr:uid="{00000000-0005-0000-0000-000021040000}"/>
    <cellStyle name="%_NRA_model_for_NEMO2 (EMC Update) v0.20_NRA_model_for_NEMO2 (EMC Update) v0.26_NRA_model_for_NEMO2 (EMC Update) v0.29_NRA_model_for_NEMO2 (EMC Update) v0.29.4" xfId="1059" xr:uid="{00000000-0005-0000-0000-000022040000}"/>
    <cellStyle name="%_NRA_model_for_NEMO2 (EMC Update) v0.20_NRA_model_for_NEMO2 (EMC Update) v0.26_NRA_model_for_NEMO2 (EMC Update) v0.29_NRA_model_for_NEMO2 (EMC Update) v0.29.4_NRA_model_for_NEMO2 (EMC Update) v0 30 1" xfId="1062" xr:uid="{00000000-0005-0000-0000-000023040000}"/>
    <cellStyle name="%_NRA_model_for_NEMO2 (EMC Update) v0.20_NRA_model_for_NEMO2 (EMC Update) v0.26_NRA_model_for_NEMO2 (EMC Update) v0.29_NRA_model_for_NEMO2 (EMC Update) v0.29.4_NRA_model_for_NEMO2 (EMC Update) v0.29.5" xfId="1060" xr:uid="{00000000-0005-0000-0000-000024040000}"/>
    <cellStyle name="%_NRA_model_for_NEMO2 (EMC Update) v0.20_NRA_model_for_NEMO2 (EMC Update) v0.26_NRA_model_for_NEMO2 (EMC Update) v0.29_NRA_model_for_NEMO2 (EMC Update) v0.29.4_NRA_model_for_NEMO2 (EMC Update) v0.29.5_NRA_model_for_NEMO2 (EMC Update) v0 30 1" xfId="1061" xr:uid="{00000000-0005-0000-0000-000025040000}"/>
    <cellStyle name="%_NRA_model_for_NEMO2 (EMC Update) v0.20_NRA_model_for_NEMO2 (EMC Update) v0.26_NRA_model_for_NEMO2 (EMC Update) v0.29_NRA_model_for_NEMO2 (EMC Update) v0.29.5" xfId="1063" xr:uid="{00000000-0005-0000-0000-000026040000}"/>
    <cellStyle name="%_NRA_model_for_NEMO2 (EMC Update) v0.20_NRA_model_for_NEMO2 (EMC Update) v0.26_NRA_model_for_NEMO2 (EMC Update) v0.29_NRA_model_for_NEMO2 (EMC Update) v0.29.5_NRA_model_for_NEMO2 (EMC Update) v0 30 1" xfId="1064" xr:uid="{00000000-0005-0000-0000-000027040000}"/>
    <cellStyle name="%_NRA_model_for_NEMO2 (EMC Update) v0.20_NRA_model_for_NEMO2 (EMC Update) v0.29" xfId="1067" xr:uid="{00000000-0005-0000-0000-000028040000}"/>
    <cellStyle name="%_NRA_model_for_NEMO2 (EMC Update) v0.20_NRA_model_for_NEMO2 (EMC Update) v0.29.2" xfId="1068" xr:uid="{00000000-0005-0000-0000-000029040000}"/>
    <cellStyle name="%_NRA_model_for_NEMO2 (EMC Update) v0.20_NRA_model_for_NEMO2 (EMC Update) v0.29.2_NRA_model_for_NEMO2 (EMC Update) v0 30 1" xfId="1079" xr:uid="{00000000-0005-0000-0000-00002A040000}"/>
    <cellStyle name="%_NRA_model_for_NEMO2 (EMC Update) v0.20_NRA_model_for_NEMO2 (EMC Update) v0.29.2_NRA_model_for_NEMO2 (EMC Update) v0.29.3" xfId="1069" xr:uid="{00000000-0005-0000-0000-00002B040000}"/>
    <cellStyle name="%_NRA_model_for_NEMO2 (EMC Update) v0.20_NRA_model_for_NEMO2 (EMC Update) v0.29.2_NRA_model_for_NEMO2 (EMC Update) v0.29.3_NRA_model_for_NEMO2 (EMC Update) v0 30 1" xfId="1072" xr:uid="{00000000-0005-0000-0000-00002C040000}"/>
    <cellStyle name="%_NRA_model_for_NEMO2 (EMC Update) v0.20_NRA_model_for_NEMO2 (EMC Update) v0.29.2_NRA_model_for_NEMO2 (EMC Update) v0.29.3_NRA_model_for_NEMO2 (EMC Update) v0.29.5" xfId="1070" xr:uid="{00000000-0005-0000-0000-00002D040000}"/>
    <cellStyle name="%_NRA_model_for_NEMO2 (EMC Update) v0.20_NRA_model_for_NEMO2 (EMC Update) v0.29.2_NRA_model_for_NEMO2 (EMC Update) v0.29.3_NRA_model_for_NEMO2 (EMC Update) v0.29.5_NRA_model_for_NEMO2 (EMC Update) v0 30 1" xfId="1071" xr:uid="{00000000-0005-0000-0000-00002E040000}"/>
    <cellStyle name="%_NRA_model_for_NEMO2 (EMC Update) v0.20_NRA_model_for_NEMO2 (EMC Update) v0.29.2_NRA_model_for_NEMO2 (EMC Update) v0.29.4" xfId="1073" xr:uid="{00000000-0005-0000-0000-00002F040000}"/>
    <cellStyle name="%_NRA_model_for_NEMO2 (EMC Update) v0.20_NRA_model_for_NEMO2 (EMC Update) v0.29.2_NRA_model_for_NEMO2 (EMC Update) v0.29.4_NRA_model_for_NEMO2 (EMC Update) v0 30 1" xfId="1076" xr:uid="{00000000-0005-0000-0000-000030040000}"/>
    <cellStyle name="%_NRA_model_for_NEMO2 (EMC Update) v0.20_NRA_model_for_NEMO2 (EMC Update) v0.29.2_NRA_model_for_NEMO2 (EMC Update) v0.29.4_NRA_model_for_NEMO2 (EMC Update) v0.29.5" xfId="1074" xr:uid="{00000000-0005-0000-0000-000031040000}"/>
    <cellStyle name="%_NRA_model_for_NEMO2 (EMC Update) v0.20_NRA_model_for_NEMO2 (EMC Update) v0.29.2_NRA_model_for_NEMO2 (EMC Update) v0.29.4_NRA_model_for_NEMO2 (EMC Update) v0.29.5_NRA_model_for_NEMO2 (EMC Update) v0 30 1" xfId="1075" xr:uid="{00000000-0005-0000-0000-000032040000}"/>
    <cellStyle name="%_NRA_model_for_NEMO2 (EMC Update) v0.20_NRA_model_for_NEMO2 (EMC Update) v0.29.2_NRA_model_for_NEMO2 (EMC Update) v0.29.5" xfId="1077" xr:uid="{00000000-0005-0000-0000-000033040000}"/>
    <cellStyle name="%_NRA_model_for_NEMO2 (EMC Update) v0.20_NRA_model_for_NEMO2 (EMC Update) v0.29.2_NRA_model_for_NEMO2 (EMC Update) v0.29.5_NRA_model_for_NEMO2 (EMC Update) v0 30 1" xfId="1078" xr:uid="{00000000-0005-0000-0000-000034040000}"/>
    <cellStyle name="%_NRA_model_for_NEMO2 (EMC Update) v0.20_NRA_model_for_NEMO2 (EMC Update) v0.29.3" xfId="1080" xr:uid="{00000000-0005-0000-0000-000035040000}"/>
    <cellStyle name="%_NRA_model_for_NEMO2 (EMC Update) v0.20_NRA_model_for_NEMO2 (EMC Update) v0.29.3_NRA_model_for_NEMO2 (EMC Update) v0 30 1" xfId="1083" xr:uid="{00000000-0005-0000-0000-000036040000}"/>
    <cellStyle name="%_NRA_model_for_NEMO2 (EMC Update) v0.20_NRA_model_for_NEMO2 (EMC Update) v0.29.3_NRA_model_for_NEMO2 (EMC Update) v0.29.5" xfId="1081" xr:uid="{00000000-0005-0000-0000-000037040000}"/>
    <cellStyle name="%_NRA_model_for_NEMO2 (EMC Update) v0.20_NRA_model_for_NEMO2 (EMC Update) v0.29.3_NRA_model_for_NEMO2 (EMC Update) v0.29.5_NRA_model_for_NEMO2 (EMC Update) v0 30 1" xfId="1082" xr:uid="{00000000-0005-0000-0000-000038040000}"/>
    <cellStyle name="%_NRA_model_for_NEMO2 (EMC Update) v0.20_NRA_model_for_NEMO2 (EMC Update) v0.29.4" xfId="1084" xr:uid="{00000000-0005-0000-0000-000039040000}"/>
    <cellStyle name="%_NRA_model_for_NEMO2 (EMC Update) v0.20_NRA_model_for_NEMO2 (EMC Update) v0.29.4_NRA_model_for_NEMO2 (EMC Update) v0 30 1" xfId="1087" xr:uid="{00000000-0005-0000-0000-00003A040000}"/>
    <cellStyle name="%_NRA_model_for_NEMO2 (EMC Update) v0.20_NRA_model_for_NEMO2 (EMC Update) v0.29.4_NRA_model_for_NEMO2 (EMC Update) v0.29.5" xfId="1085" xr:uid="{00000000-0005-0000-0000-00003B040000}"/>
    <cellStyle name="%_NRA_model_for_NEMO2 (EMC Update) v0.20_NRA_model_for_NEMO2 (EMC Update) v0.29.4_NRA_model_for_NEMO2 (EMC Update) v0.29.5_NRA_model_for_NEMO2 (EMC Update) v0 30 1" xfId="1086" xr:uid="{00000000-0005-0000-0000-00003C040000}"/>
    <cellStyle name="%_NRA_model_for_NEMO2 (EMC Update) v0.20_NRA_model_for_NEMO2 (EMC Update) v0.29.5" xfId="1088" xr:uid="{00000000-0005-0000-0000-00003D040000}"/>
    <cellStyle name="%_NRA_model_for_NEMO2 (EMC Update) v0.20_NRA_model_for_NEMO2 (EMC Update) v0.29.5_NRA_model_for_NEMO2 (EMC Update) v0 30 1" xfId="1089" xr:uid="{00000000-0005-0000-0000-00003E040000}"/>
    <cellStyle name="%_NRA_model_for_NEMO2 (EMC Update) v0.20_NRA_model_for_NEMO2 (EMC Update) v0.29_NRA_model_for_NEMO2 (EMC Update) v0 30 1" xfId="1112" xr:uid="{00000000-0005-0000-0000-00003F040000}"/>
    <cellStyle name="%_NRA_model_for_NEMO2 (EMC Update) v0.20_NRA_model_for_NEMO2 (EMC Update) v0.29_NRA_model_for_NEMO2 (EMC Update) v0.29.2" xfId="1090" xr:uid="{00000000-0005-0000-0000-000040040000}"/>
    <cellStyle name="%_NRA_model_for_NEMO2 (EMC Update) v0.20_NRA_model_for_NEMO2 (EMC Update) v0.29_NRA_model_for_NEMO2 (EMC Update) v0.29.2_NRA_model_for_NEMO2 (EMC Update) v0 30 1" xfId="1101" xr:uid="{00000000-0005-0000-0000-000041040000}"/>
    <cellStyle name="%_NRA_model_for_NEMO2 (EMC Update) v0.20_NRA_model_for_NEMO2 (EMC Update) v0.29_NRA_model_for_NEMO2 (EMC Update) v0.29.2_NRA_model_for_NEMO2 (EMC Update) v0.29.3" xfId="1091" xr:uid="{00000000-0005-0000-0000-000042040000}"/>
    <cellStyle name="%_NRA_model_for_NEMO2 (EMC Update) v0.20_NRA_model_for_NEMO2 (EMC Update) v0.29_NRA_model_for_NEMO2 (EMC Update) v0.29.2_NRA_model_for_NEMO2 (EMC Update) v0.29.3_NRA_model_for_NEMO2 (EMC Update) v0 30 1" xfId="1094" xr:uid="{00000000-0005-0000-0000-000043040000}"/>
    <cellStyle name="%_NRA_model_for_NEMO2 (EMC Update) v0.20_NRA_model_for_NEMO2 (EMC Update) v0.29_NRA_model_for_NEMO2 (EMC Update) v0.29.2_NRA_model_for_NEMO2 (EMC Update) v0.29.3_NRA_model_for_NEMO2 (EMC Update) v0.29.5" xfId="1092" xr:uid="{00000000-0005-0000-0000-000044040000}"/>
    <cellStyle name="%_NRA_model_for_NEMO2 (EMC Update) v0.20_NRA_model_for_NEMO2 (EMC Update) v0.29_NRA_model_for_NEMO2 (EMC Update) v0.29.2_NRA_model_for_NEMO2 (EMC Update) v0.29.3_NRA_model_for_NEMO2 (EMC Update) v0.29.5_NRA_model_for_NEMO2 (EMC Update) v0 30 1" xfId="1093" xr:uid="{00000000-0005-0000-0000-000045040000}"/>
    <cellStyle name="%_NRA_model_for_NEMO2 (EMC Update) v0.20_NRA_model_for_NEMO2 (EMC Update) v0.29_NRA_model_for_NEMO2 (EMC Update) v0.29.2_NRA_model_for_NEMO2 (EMC Update) v0.29.4" xfId="1095" xr:uid="{00000000-0005-0000-0000-000046040000}"/>
    <cellStyle name="%_NRA_model_for_NEMO2 (EMC Update) v0.20_NRA_model_for_NEMO2 (EMC Update) v0.29_NRA_model_for_NEMO2 (EMC Update) v0.29.2_NRA_model_for_NEMO2 (EMC Update) v0.29.4_NRA_model_for_NEMO2 (EMC Update) v0 30 1" xfId="1098" xr:uid="{00000000-0005-0000-0000-000047040000}"/>
    <cellStyle name="%_NRA_model_for_NEMO2 (EMC Update) v0.20_NRA_model_for_NEMO2 (EMC Update) v0.29_NRA_model_for_NEMO2 (EMC Update) v0.29.2_NRA_model_for_NEMO2 (EMC Update) v0.29.4_NRA_model_for_NEMO2 (EMC Update) v0.29.5" xfId="1096" xr:uid="{00000000-0005-0000-0000-000048040000}"/>
    <cellStyle name="%_NRA_model_for_NEMO2 (EMC Update) v0.20_NRA_model_for_NEMO2 (EMC Update) v0.29_NRA_model_for_NEMO2 (EMC Update) v0.29.2_NRA_model_for_NEMO2 (EMC Update) v0.29.4_NRA_model_for_NEMO2 (EMC Update) v0.29.5_NRA_model_for_NEMO2 (EMC Update) v0 30 1" xfId="1097" xr:uid="{00000000-0005-0000-0000-000049040000}"/>
    <cellStyle name="%_NRA_model_for_NEMO2 (EMC Update) v0.20_NRA_model_for_NEMO2 (EMC Update) v0.29_NRA_model_for_NEMO2 (EMC Update) v0.29.2_NRA_model_for_NEMO2 (EMC Update) v0.29.5" xfId="1099" xr:uid="{00000000-0005-0000-0000-00004A040000}"/>
    <cellStyle name="%_NRA_model_for_NEMO2 (EMC Update) v0.20_NRA_model_for_NEMO2 (EMC Update) v0.29_NRA_model_for_NEMO2 (EMC Update) v0.29.2_NRA_model_for_NEMO2 (EMC Update) v0.29.5_NRA_model_for_NEMO2 (EMC Update) v0 30 1" xfId="1100" xr:uid="{00000000-0005-0000-0000-00004B040000}"/>
    <cellStyle name="%_NRA_model_for_NEMO2 (EMC Update) v0.20_NRA_model_for_NEMO2 (EMC Update) v0.29_NRA_model_for_NEMO2 (EMC Update) v0.29.3" xfId="1102" xr:uid="{00000000-0005-0000-0000-00004C040000}"/>
    <cellStyle name="%_NRA_model_for_NEMO2 (EMC Update) v0.20_NRA_model_for_NEMO2 (EMC Update) v0.29_NRA_model_for_NEMO2 (EMC Update) v0.29.3_NRA_model_for_NEMO2 (EMC Update) v0 30 1" xfId="1105" xr:uid="{00000000-0005-0000-0000-00004D040000}"/>
    <cellStyle name="%_NRA_model_for_NEMO2 (EMC Update) v0.20_NRA_model_for_NEMO2 (EMC Update) v0.29_NRA_model_for_NEMO2 (EMC Update) v0.29.3_NRA_model_for_NEMO2 (EMC Update) v0.29.5" xfId="1103" xr:uid="{00000000-0005-0000-0000-00004E040000}"/>
    <cellStyle name="%_NRA_model_for_NEMO2 (EMC Update) v0.20_NRA_model_for_NEMO2 (EMC Update) v0.29_NRA_model_for_NEMO2 (EMC Update) v0.29.3_NRA_model_for_NEMO2 (EMC Update) v0.29.5_NRA_model_for_NEMO2 (EMC Update) v0 30 1" xfId="1104" xr:uid="{00000000-0005-0000-0000-00004F040000}"/>
    <cellStyle name="%_NRA_model_for_NEMO2 (EMC Update) v0.20_NRA_model_for_NEMO2 (EMC Update) v0.29_NRA_model_for_NEMO2 (EMC Update) v0.29.4" xfId="1106" xr:uid="{00000000-0005-0000-0000-000050040000}"/>
    <cellStyle name="%_NRA_model_for_NEMO2 (EMC Update) v0.20_NRA_model_for_NEMO2 (EMC Update) v0.29_NRA_model_for_NEMO2 (EMC Update) v0.29.4_NRA_model_for_NEMO2 (EMC Update) v0 30 1" xfId="1109" xr:uid="{00000000-0005-0000-0000-000051040000}"/>
    <cellStyle name="%_NRA_model_for_NEMO2 (EMC Update) v0.20_NRA_model_for_NEMO2 (EMC Update) v0.29_NRA_model_for_NEMO2 (EMC Update) v0.29.4_NRA_model_for_NEMO2 (EMC Update) v0.29.5" xfId="1107" xr:uid="{00000000-0005-0000-0000-000052040000}"/>
    <cellStyle name="%_NRA_model_for_NEMO2 (EMC Update) v0.20_NRA_model_for_NEMO2 (EMC Update) v0.29_NRA_model_for_NEMO2 (EMC Update) v0.29.4_NRA_model_for_NEMO2 (EMC Update) v0.29.5_NRA_model_for_NEMO2 (EMC Update) v0 30 1" xfId="1108" xr:uid="{00000000-0005-0000-0000-000053040000}"/>
    <cellStyle name="%_NRA_model_for_NEMO2 (EMC Update) v0.20_NRA_model_for_NEMO2 (EMC Update) v0.29_NRA_model_for_NEMO2 (EMC Update) v0.29.5" xfId="1110" xr:uid="{00000000-0005-0000-0000-000054040000}"/>
    <cellStyle name="%_NRA_model_for_NEMO2 (EMC Update) v0.20_NRA_model_for_NEMO2 (EMC Update) v0.29_NRA_model_for_NEMO2 (EMC Update) v0.29.5_NRA_model_for_NEMO2 (EMC Update) v0 30 1" xfId="1111" xr:uid="{00000000-0005-0000-0000-000055040000}"/>
    <cellStyle name="%_NRA_model_for_NEMO2 (EMC Update) v0.21" xfId="1114" xr:uid="{00000000-0005-0000-0000-000056040000}"/>
    <cellStyle name="%_NRA_model_for_NEMO2 (EMC Update) v0.21_NRA_model_for_NEMO2 (EMC Update) v0 30 1" xfId="1431" xr:uid="{00000000-0005-0000-0000-000057040000}"/>
    <cellStyle name="%_NRA_model_for_NEMO2 (EMC Update) v0.21_NRA_model_for_NEMO2 (EMC Update) v0.22" xfId="1115" xr:uid="{00000000-0005-0000-0000-000058040000}"/>
    <cellStyle name="%_NRA_model_for_NEMO2 (EMC Update) v0.21_NRA_model_for_NEMO2 (EMC Update) v0.22_NRA_model_for_NEMO2 (EMC Update) v0 30 1" xfId="1255" xr:uid="{00000000-0005-0000-0000-000059040000}"/>
    <cellStyle name="%_NRA_model_for_NEMO2 (EMC Update) v0.21_NRA_model_for_NEMO2 (EMC Update) v0.22_NRA_model_for_NEMO2 (EMC Update) v0.25" xfId="1116" xr:uid="{00000000-0005-0000-0000-00005A040000}"/>
    <cellStyle name="%_NRA_model_for_NEMO2 (EMC Update) v0.21_NRA_model_for_NEMO2 (EMC Update) v0.22_NRA_model_for_NEMO2 (EMC Update) v0.25_NRA_model_for_NEMO2 (EMC Update) v0 30 1" xfId="1173" xr:uid="{00000000-0005-0000-0000-00005B040000}"/>
    <cellStyle name="%_NRA_model_for_NEMO2 (EMC Update) v0.21_NRA_model_for_NEMO2 (EMC Update) v0.22_NRA_model_for_NEMO2 (EMC Update) v0.25_NRA_model_for_NEMO2 (EMC Update) v0.26" xfId="1117" xr:uid="{00000000-0005-0000-0000-00005C040000}"/>
    <cellStyle name="%_NRA_model_for_NEMO2 (EMC Update) v0.21_NRA_model_for_NEMO2 (EMC Update) v0.22_NRA_model_for_NEMO2 (EMC Update) v0.25_NRA_model_for_NEMO2 (EMC Update) v0.26_NRA_model_for_NEMO2 (EMC Update) v0 30 1" xfId="1137" xr:uid="{00000000-0005-0000-0000-00005D040000}"/>
    <cellStyle name="%_NRA_model_for_NEMO2 (EMC Update) v0.21_NRA_model_for_NEMO2 (EMC Update) v0.22_NRA_model_for_NEMO2 (EMC Update) v0.25_NRA_model_for_NEMO2 (EMC Update) v0.26_NRA_model_for_NEMO2 (EMC Update) v0.29" xfId="1118" xr:uid="{00000000-0005-0000-0000-00005E040000}"/>
    <cellStyle name="%_NRA_model_for_NEMO2 (EMC Update) v0.21_NRA_model_for_NEMO2 (EMC Update) v0.22_NRA_model_for_NEMO2 (EMC Update) v0.25_NRA_model_for_NEMO2 (EMC Update) v0.26_NRA_model_for_NEMO2 (EMC Update) v0.29.2" xfId="1119" xr:uid="{00000000-0005-0000-0000-00005F040000}"/>
    <cellStyle name="%_NRA_model_for_NEMO2 (EMC Update) v0.21_NRA_model_for_NEMO2 (EMC Update) v0.22_NRA_model_for_NEMO2 (EMC Update) v0.25_NRA_model_for_NEMO2 (EMC Update) v0.26_NRA_model_for_NEMO2 (EMC Update) v0.29.2_NRA_model_for_NEMO2 (EMC Update) v0 30 1" xfId="1123" xr:uid="{00000000-0005-0000-0000-000060040000}"/>
    <cellStyle name="%_NRA_model_for_NEMO2 (EMC Update) v0.21_NRA_model_for_NEMO2 (EMC Update) v0.22_NRA_model_for_NEMO2 (EMC Update) v0.25_NRA_model_for_NEMO2 (EMC Update) v0.26_NRA_model_for_NEMO2 (EMC Update) v0.29.2_NRA_model_for_NEMO2 (EMC Update) v0.29.3" xfId="1120" xr:uid="{00000000-0005-0000-0000-000061040000}"/>
    <cellStyle name="%_NRA_model_for_NEMO2 (EMC Update) v0.21_NRA_model_for_NEMO2 (EMC Update) v0.22_NRA_model_for_NEMO2 (EMC Update) v0.25_NRA_model_for_NEMO2 (EMC Update) v0.26_NRA_model_for_NEMO2 (EMC Update) v0.29.2_NRA_model_for_NEMO2 (EMC Update) v0.29.4" xfId="1121" xr:uid="{00000000-0005-0000-0000-000062040000}"/>
    <cellStyle name="%_NRA_model_for_NEMO2 (EMC Update) v0.21_NRA_model_for_NEMO2 (EMC Update) v0.22_NRA_model_for_NEMO2 (EMC Update) v0.25_NRA_model_for_NEMO2 (EMC Update) v0.26_NRA_model_for_NEMO2 (EMC Update) v0.29.2_NRA_model_for_NEMO2 (EMC Update) v0.29.5" xfId="1122" xr:uid="{00000000-0005-0000-0000-000063040000}"/>
    <cellStyle name="%_NRA_model_for_NEMO2 (EMC Update) v0.21_NRA_model_for_NEMO2 (EMC Update) v0.22_NRA_model_for_NEMO2 (EMC Update) v0.25_NRA_model_for_NEMO2 (EMC Update) v0.26_NRA_model_for_NEMO2 (EMC Update) v0.29.3" xfId="1124" xr:uid="{00000000-0005-0000-0000-000064040000}"/>
    <cellStyle name="%_NRA_model_for_NEMO2 (EMC Update) v0.21_NRA_model_for_NEMO2 (EMC Update) v0.22_NRA_model_for_NEMO2 (EMC Update) v0.25_NRA_model_for_NEMO2 (EMC Update) v0.26_NRA_model_for_NEMO2 (EMC Update) v0.29.3_NRA_model_for_NEMO2 (EMC Update) v0 30 1" xfId="1126" xr:uid="{00000000-0005-0000-0000-000065040000}"/>
    <cellStyle name="%_NRA_model_for_NEMO2 (EMC Update) v0.21_NRA_model_for_NEMO2 (EMC Update) v0.22_NRA_model_for_NEMO2 (EMC Update) v0.25_NRA_model_for_NEMO2 (EMC Update) v0.26_NRA_model_for_NEMO2 (EMC Update) v0.29.3_NRA_model_for_NEMO2 (EMC Update) v0.29.5" xfId="1125" xr:uid="{00000000-0005-0000-0000-000066040000}"/>
    <cellStyle name="%_NRA_model_for_NEMO2 (EMC Update) v0.21_NRA_model_for_NEMO2 (EMC Update) v0.22_NRA_model_for_NEMO2 (EMC Update) v0.25_NRA_model_for_NEMO2 (EMC Update) v0.26_NRA_model_for_NEMO2 (EMC Update) v0.29.4" xfId="1127" xr:uid="{00000000-0005-0000-0000-000067040000}"/>
    <cellStyle name="%_NRA_model_for_NEMO2 (EMC Update) v0.21_NRA_model_for_NEMO2 (EMC Update) v0.22_NRA_model_for_NEMO2 (EMC Update) v0.25_NRA_model_for_NEMO2 (EMC Update) v0.26_NRA_model_for_NEMO2 (EMC Update) v0.29.4_NRA_model_for_NEMO2 (EMC Update) v0 30 1" xfId="1129" xr:uid="{00000000-0005-0000-0000-000068040000}"/>
    <cellStyle name="%_NRA_model_for_NEMO2 (EMC Update) v0.21_NRA_model_for_NEMO2 (EMC Update) v0.22_NRA_model_for_NEMO2 (EMC Update) v0.25_NRA_model_for_NEMO2 (EMC Update) v0.26_NRA_model_for_NEMO2 (EMC Update) v0.29.4_NRA_model_for_NEMO2 (EMC Update) v0.29.5" xfId="1128" xr:uid="{00000000-0005-0000-0000-000069040000}"/>
    <cellStyle name="%_NRA_model_for_NEMO2 (EMC Update) v0.21_NRA_model_for_NEMO2 (EMC Update) v0.22_NRA_model_for_NEMO2 (EMC Update) v0.25_NRA_model_for_NEMO2 (EMC Update) v0.26_NRA_model_for_NEMO2 (EMC Update) v0.29.5" xfId="1130" xr:uid="{00000000-0005-0000-0000-00006A040000}"/>
    <cellStyle name="%_NRA_model_for_NEMO2 (EMC Update) v0.21_NRA_model_for_NEMO2 (EMC Update) v0.22_NRA_model_for_NEMO2 (EMC Update) v0.25_NRA_model_for_NEMO2 (EMC Update) v0.26_NRA_model_for_NEMO2 (EMC Update) v0.29.5_NRA_model_for_NEMO2 (EMC Update) v0 30 1" xfId="1131" xr:uid="{00000000-0005-0000-0000-00006B040000}"/>
    <cellStyle name="%_NRA_model_for_NEMO2 (EMC Update) v0.21_NRA_model_for_NEMO2 (EMC Update) v0.22_NRA_model_for_NEMO2 (EMC Update) v0.25_NRA_model_for_NEMO2 (EMC Update) v0.26_NRA_model_for_NEMO2 (EMC Update) v0.29_NRA_model_for_NEMO2 (EMC Update) v0 30 1" xfId="1136" xr:uid="{00000000-0005-0000-0000-00006C040000}"/>
    <cellStyle name="%_NRA_model_for_NEMO2 (EMC Update) v0.21_NRA_model_for_NEMO2 (EMC Update) v0.22_NRA_model_for_NEMO2 (EMC Update) v0.25_NRA_model_for_NEMO2 (EMC Update) v0.26_NRA_model_for_NEMO2 (EMC Update) v0.29_NRA_model_for_NEMO2 (EMC Update) v0.29.2" xfId="1132" xr:uid="{00000000-0005-0000-0000-00006D040000}"/>
    <cellStyle name="%_NRA_model_for_NEMO2 (EMC Update) v0.21_NRA_model_for_NEMO2 (EMC Update) v0.22_NRA_model_for_NEMO2 (EMC Update) v0.25_NRA_model_for_NEMO2 (EMC Update) v0.26_NRA_model_for_NEMO2 (EMC Update) v0.29_NRA_model_for_NEMO2 (EMC Update) v0.29.3" xfId="1133" xr:uid="{00000000-0005-0000-0000-00006E040000}"/>
    <cellStyle name="%_NRA_model_for_NEMO2 (EMC Update) v0.21_NRA_model_for_NEMO2 (EMC Update) v0.22_NRA_model_for_NEMO2 (EMC Update) v0.25_NRA_model_for_NEMO2 (EMC Update) v0.26_NRA_model_for_NEMO2 (EMC Update) v0.29_NRA_model_for_NEMO2 (EMC Update) v0.29.4" xfId="1134" xr:uid="{00000000-0005-0000-0000-00006F040000}"/>
    <cellStyle name="%_NRA_model_for_NEMO2 (EMC Update) v0.21_NRA_model_for_NEMO2 (EMC Update) v0.22_NRA_model_for_NEMO2 (EMC Update) v0.25_NRA_model_for_NEMO2 (EMC Update) v0.26_NRA_model_for_NEMO2 (EMC Update) v0.29_NRA_model_for_NEMO2 (EMC Update) v0.29.5" xfId="1135" xr:uid="{00000000-0005-0000-0000-000070040000}"/>
    <cellStyle name="%_NRA_model_for_NEMO2 (EMC Update) v0.21_NRA_model_for_NEMO2 (EMC Update) v0.22_NRA_model_for_NEMO2 (EMC Update) v0.25_NRA_model_for_NEMO2 (EMC Update) v0.29" xfId="1138" xr:uid="{00000000-0005-0000-0000-000071040000}"/>
    <cellStyle name="%_NRA_model_for_NEMO2 (EMC Update) v0.21_NRA_model_for_NEMO2 (EMC Update) v0.22_NRA_model_for_NEMO2 (EMC Update) v0.25_NRA_model_for_NEMO2 (EMC Update) v0.29.2" xfId="1139" xr:uid="{00000000-0005-0000-0000-000072040000}"/>
    <cellStyle name="%_NRA_model_for_NEMO2 (EMC Update) v0.21_NRA_model_for_NEMO2 (EMC Update) v0.22_NRA_model_for_NEMO2 (EMC Update) v0.25_NRA_model_for_NEMO2 (EMC Update) v0.29.2_NRA_model_for_NEMO2 (EMC Update) v0 30 1" xfId="1148" xr:uid="{00000000-0005-0000-0000-000073040000}"/>
    <cellStyle name="%_NRA_model_for_NEMO2 (EMC Update) v0.21_NRA_model_for_NEMO2 (EMC Update) v0.22_NRA_model_for_NEMO2 (EMC Update) v0.25_NRA_model_for_NEMO2 (EMC Update) v0.29.2_NRA_model_for_NEMO2 (EMC Update) v0.29.3" xfId="1140" xr:uid="{00000000-0005-0000-0000-000074040000}"/>
    <cellStyle name="%_NRA_model_for_NEMO2 (EMC Update) v0.21_NRA_model_for_NEMO2 (EMC Update) v0.22_NRA_model_for_NEMO2 (EMC Update) v0.25_NRA_model_for_NEMO2 (EMC Update) v0.29.2_NRA_model_for_NEMO2 (EMC Update) v0.29.3_NRA_model_for_NEMO2 (EMC Update) v0 30 1" xfId="1142" xr:uid="{00000000-0005-0000-0000-000075040000}"/>
    <cellStyle name="%_NRA_model_for_NEMO2 (EMC Update) v0.21_NRA_model_for_NEMO2 (EMC Update) v0.22_NRA_model_for_NEMO2 (EMC Update) v0.25_NRA_model_for_NEMO2 (EMC Update) v0.29.2_NRA_model_for_NEMO2 (EMC Update) v0.29.3_NRA_model_for_NEMO2 (EMC Update) v0.29.5" xfId="1141" xr:uid="{00000000-0005-0000-0000-000076040000}"/>
    <cellStyle name="%_NRA_model_for_NEMO2 (EMC Update) v0.21_NRA_model_for_NEMO2 (EMC Update) v0.22_NRA_model_for_NEMO2 (EMC Update) v0.25_NRA_model_for_NEMO2 (EMC Update) v0.29.2_NRA_model_for_NEMO2 (EMC Update) v0.29.4" xfId="1143" xr:uid="{00000000-0005-0000-0000-000077040000}"/>
    <cellStyle name="%_NRA_model_for_NEMO2 (EMC Update) v0.21_NRA_model_for_NEMO2 (EMC Update) v0.22_NRA_model_for_NEMO2 (EMC Update) v0.25_NRA_model_for_NEMO2 (EMC Update) v0.29.2_NRA_model_for_NEMO2 (EMC Update) v0.29.4_NRA_model_for_NEMO2 (EMC Update) v0 30 1" xfId="1145" xr:uid="{00000000-0005-0000-0000-000078040000}"/>
    <cellStyle name="%_NRA_model_for_NEMO2 (EMC Update) v0.21_NRA_model_for_NEMO2 (EMC Update) v0.22_NRA_model_for_NEMO2 (EMC Update) v0.25_NRA_model_for_NEMO2 (EMC Update) v0.29.2_NRA_model_for_NEMO2 (EMC Update) v0.29.4_NRA_model_for_NEMO2 (EMC Update) v0.29.5" xfId="1144" xr:uid="{00000000-0005-0000-0000-000079040000}"/>
    <cellStyle name="%_NRA_model_for_NEMO2 (EMC Update) v0.21_NRA_model_for_NEMO2 (EMC Update) v0.22_NRA_model_for_NEMO2 (EMC Update) v0.25_NRA_model_for_NEMO2 (EMC Update) v0.29.2_NRA_model_for_NEMO2 (EMC Update) v0.29.5" xfId="1146" xr:uid="{00000000-0005-0000-0000-00007A040000}"/>
    <cellStyle name="%_NRA_model_for_NEMO2 (EMC Update) v0.21_NRA_model_for_NEMO2 (EMC Update) v0.22_NRA_model_for_NEMO2 (EMC Update) v0.25_NRA_model_for_NEMO2 (EMC Update) v0.29.2_NRA_model_for_NEMO2 (EMC Update) v0.29.5_NRA_model_for_NEMO2 (EMC Update) v0 30 1" xfId="1147" xr:uid="{00000000-0005-0000-0000-00007B040000}"/>
    <cellStyle name="%_NRA_model_for_NEMO2 (EMC Update) v0.21_NRA_model_for_NEMO2 (EMC Update) v0.22_NRA_model_for_NEMO2 (EMC Update) v0.25_NRA_model_for_NEMO2 (EMC Update) v0.29.3" xfId="1149" xr:uid="{00000000-0005-0000-0000-00007C040000}"/>
    <cellStyle name="%_NRA_model_for_NEMO2 (EMC Update) v0.21_NRA_model_for_NEMO2 (EMC Update) v0.22_NRA_model_for_NEMO2 (EMC Update) v0.25_NRA_model_for_NEMO2 (EMC Update) v0.29.3_NRA_model_for_NEMO2 (EMC Update) v0 30 1" xfId="1152" xr:uid="{00000000-0005-0000-0000-00007D040000}"/>
    <cellStyle name="%_NRA_model_for_NEMO2 (EMC Update) v0.21_NRA_model_for_NEMO2 (EMC Update) v0.22_NRA_model_for_NEMO2 (EMC Update) v0.25_NRA_model_for_NEMO2 (EMC Update) v0.29.3_NRA_model_for_NEMO2 (EMC Update) v0.29.5" xfId="1150" xr:uid="{00000000-0005-0000-0000-00007E040000}"/>
    <cellStyle name="%_NRA_model_for_NEMO2 (EMC Update) v0.21_NRA_model_for_NEMO2 (EMC Update) v0.22_NRA_model_for_NEMO2 (EMC Update) v0.25_NRA_model_for_NEMO2 (EMC Update) v0.29.3_NRA_model_for_NEMO2 (EMC Update) v0.29.5_NRA_model_for_NEMO2 (EMC Update) v0 30 1" xfId="1151" xr:uid="{00000000-0005-0000-0000-00007F040000}"/>
    <cellStyle name="%_NRA_model_for_NEMO2 (EMC Update) v0.21_NRA_model_for_NEMO2 (EMC Update) v0.22_NRA_model_for_NEMO2 (EMC Update) v0.25_NRA_model_for_NEMO2 (EMC Update) v0.29.4" xfId="1153" xr:uid="{00000000-0005-0000-0000-000080040000}"/>
    <cellStyle name="%_NRA_model_for_NEMO2 (EMC Update) v0.21_NRA_model_for_NEMO2 (EMC Update) v0.22_NRA_model_for_NEMO2 (EMC Update) v0.25_NRA_model_for_NEMO2 (EMC Update) v0.29.4_NRA_model_for_NEMO2 (EMC Update) v0 30 1" xfId="1156" xr:uid="{00000000-0005-0000-0000-000081040000}"/>
    <cellStyle name="%_NRA_model_for_NEMO2 (EMC Update) v0.21_NRA_model_for_NEMO2 (EMC Update) v0.22_NRA_model_for_NEMO2 (EMC Update) v0.25_NRA_model_for_NEMO2 (EMC Update) v0.29.4_NRA_model_for_NEMO2 (EMC Update) v0.29.5" xfId="1154" xr:uid="{00000000-0005-0000-0000-000082040000}"/>
    <cellStyle name="%_NRA_model_for_NEMO2 (EMC Update) v0.21_NRA_model_for_NEMO2 (EMC Update) v0.22_NRA_model_for_NEMO2 (EMC Update) v0.25_NRA_model_for_NEMO2 (EMC Update) v0.29.4_NRA_model_for_NEMO2 (EMC Update) v0.29.5_NRA_model_for_NEMO2 (EMC Update) v0 30 1" xfId="1155" xr:uid="{00000000-0005-0000-0000-000083040000}"/>
    <cellStyle name="%_NRA_model_for_NEMO2 (EMC Update) v0.21_NRA_model_for_NEMO2 (EMC Update) v0.22_NRA_model_for_NEMO2 (EMC Update) v0.25_NRA_model_for_NEMO2 (EMC Update) v0.29.5" xfId="1157" xr:uid="{00000000-0005-0000-0000-000084040000}"/>
    <cellStyle name="%_NRA_model_for_NEMO2 (EMC Update) v0.21_NRA_model_for_NEMO2 (EMC Update) v0.22_NRA_model_for_NEMO2 (EMC Update) v0.25_NRA_model_for_NEMO2 (EMC Update) v0.29.5_NRA_model_for_NEMO2 (EMC Update) v0 30 1" xfId="1158" xr:uid="{00000000-0005-0000-0000-000085040000}"/>
    <cellStyle name="%_NRA_model_for_NEMO2 (EMC Update) v0.21_NRA_model_for_NEMO2 (EMC Update) v0.22_NRA_model_for_NEMO2 (EMC Update) v0.25_NRA_model_for_NEMO2 (EMC Update) v0.29_NRA_model_for_NEMO2 (EMC Update) v0 30 1" xfId="1172" xr:uid="{00000000-0005-0000-0000-000086040000}"/>
    <cellStyle name="%_NRA_model_for_NEMO2 (EMC Update) v0.21_NRA_model_for_NEMO2 (EMC Update) v0.22_NRA_model_for_NEMO2 (EMC Update) v0.25_NRA_model_for_NEMO2 (EMC Update) v0.29_NRA_model_for_NEMO2 (EMC Update) v0.29.2" xfId="1159" xr:uid="{00000000-0005-0000-0000-000087040000}"/>
    <cellStyle name="%_NRA_model_for_NEMO2 (EMC Update) v0.21_NRA_model_for_NEMO2 (EMC Update) v0.22_NRA_model_for_NEMO2 (EMC Update) v0.25_NRA_model_for_NEMO2 (EMC Update) v0.29_NRA_model_for_NEMO2 (EMC Update) v0.29.2_NRA_model_for_NEMO2 (EMC Update) v0 30 1" xfId="1163" xr:uid="{00000000-0005-0000-0000-000088040000}"/>
    <cellStyle name="%_NRA_model_for_NEMO2 (EMC Update) v0.21_NRA_model_for_NEMO2 (EMC Update) v0.22_NRA_model_for_NEMO2 (EMC Update) v0.25_NRA_model_for_NEMO2 (EMC Update) v0.29_NRA_model_for_NEMO2 (EMC Update) v0.29.2_NRA_model_for_NEMO2 (EMC Update) v0.29.3" xfId="1160" xr:uid="{00000000-0005-0000-0000-000089040000}"/>
    <cellStyle name="%_NRA_model_for_NEMO2 (EMC Update) v0.21_NRA_model_for_NEMO2 (EMC Update) v0.22_NRA_model_for_NEMO2 (EMC Update) v0.25_NRA_model_for_NEMO2 (EMC Update) v0.29_NRA_model_for_NEMO2 (EMC Update) v0.29.2_NRA_model_for_NEMO2 (EMC Update) v0.29.4" xfId="1161" xr:uid="{00000000-0005-0000-0000-00008A040000}"/>
    <cellStyle name="%_NRA_model_for_NEMO2 (EMC Update) v0.21_NRA_model_for_NEMO2 (EMC Update) v0.22_NRA_model_for_NEMO2 (EMC Update) v0.25_NRA_model_for_NEMO2 (EMC Update) v0.29_NRA_model_for_NEMO2 (EMC Update) v0.29.2_NRA_model_for_NEMO2 (EMC Update) v0.29.5" xfId="1162" xr:uid="{00000000-0005-0000-0000-00008B040000}"/>
    <cellStyle name="%_NRA_model_for_NEMO2 (EMC Update) v0.21_NRA_model_for_NEMO2 (EMC Update) v0.22_NRA_model_for_NEMO2 (EMC Update) v0.25_NRA_model_for_NEMO2 (EMC Update) v0.29_NRA_model_for_NEMO2 (EMC Update) v0.29.3" xfId="1164" xr:uid="{00000000-0005-0000-0000-00008C040000}"/>
    <cellStyle name="%_NRA_model_for_NEMO2 (EMC Update) v0.21_NRA_model_for_NEMO2 (EMC Update) v0.22_NRA_model_for_NEMO2 (EMC Update) v0.25_NRA_model_for_NEMO2 (EMC Update) v0.29_NRA_model_for_NEMO2 (EMC Update) v0.29.3_NRA_model_for_NEMO2 (EMC Update) v0 30 1" xfId="1166" xr:uid="{00000000-0005-0000-0000-00008D040000}"/>
    <cellStyle name="%_NRA_model_for_NEMO2 (EMC Update) v0.21_NRA_model_for_NEMO2 (EMC Update) v0.22_NRA_model_for_NEMO2 (EMC Update) v0.25_NRA_model_for_NEMO2 (EMC Update) v0.29_NRA_model_for_NEMO2 (EMC Update) v0.29.3_NRA_model_for_NEMO2 (EMC Update) v0.29.5" xfId="1165" xr:uid="{00000000-0005-0000-0000-00008E040000}"/>
    <cellStyle name="%_NRA_model_for_NEMO2 (EMC Update) v0.21_NRA_model_for_NEMO2 (EMC Update) v0.22_NRA_model_for_NEMO2 (EMC Update) v0.25_NRA_model_for_NEMO2 (EMC Update) v0.29_NRA_model_for_NEMO2 (EMC Update) v0.29.4" xfId="1167" xr:uid="{00000000-0005-0000-0000-00008F040000}"/>
    <cellStyle name="%_NRA_model_for_NEMO2 (EMC Update) v0.21_NRA_model_for_NEMO2 (EMC Update) v0.22_NRA_model_for_NEMO2 (EMC Update) v0.25_NRA_model_for_NEMO2 (EMC Update) v0.29_NRA_model_for_NEMO2 (EMC Update) v0.29.4_NRA_model_for_NEMO2 (EMC Update) v0 30 1" xfId="1169" xr:uid="{00000000-0005-0000-0000-000090040000}"/>
    <cellStyle name="%_NRA_model_for_NEMO2 (EMC Update) v0.21_NRA_model_for_NEMO2 (EMC Update) v0.22_NRA_model_for_NEMO2 (EMC Update) v0.25_NRA_model_for_NEMO2 (EMC Update) v0.29_NRA_model_for_NEMO2 (EMC Update) v0.29.4_NRA_model_for_NEMO2 (EMC Update) v0.29.5" xfId="1168" xr:uid="{00000000-0005-0000-0000-000091040000}"/>
    <cellStyle name="%_NRA_model_for_NEMO2 (EMC Update) v0.21_NRA_model_for_NEMO2 (EMC Update) v0.22_NRA_model_for_NEMO2 (EMC Update) v0.25_NRA_model_for_NEMO2 (EMC Update) v0.29_NRA_model_for_NEMO2 (EMC Update) v0.29.5" xfId="1170" xr:uid="{00000000-0005-0000-0000-000092040000}"/>
    <cellStyle name="%_NRA_model_for_NEMO2 (EMC Update) v0.21_NRA_model_for_NEMO2 (EMC Update) v0.22_NRA_model_for_NEMO2 (EMC Update) v0.25_NRA_model_for_NEMO2 (EMC Update) v0.29_NRA_model_for_NEMO2 (EMC Update) v0.29.5_NRA_model_for_NEMO2 (EMC Update) v0 30 1" xfId="1171" xr:uid="{00000000-0005-0000-0000-000093040000}"/>
    <cellStyle name="%_NRA_model_for_NEMO2 (EMC Update) v0.21_NRA_model_for_NEMO2 (EMC Update) v0.22_NRA_model_for_NEMO2 (EMC Update) v0.26" xfId="1174" xr:uid="{00000000-0005-0000-0000-000094040000}"/>
    <cellStyle name="%_NRA_model_for_NEMO2 (EMC Update) v0.21_NRA_model_for_NEMO2 (EMC Update) v0.22_NRA_model_for_NEMO2 (EMC Update) v0.26_NRA_model_for_NEMO2 (EMC Update) v0 30 1" xfId="1210" xr:uid="{00000000-0005-0000-0000-000095040000}"/>
    <cellStyle name="%_NRA_model_for_NEMO2 (EMC Update) v0.21_NRA_model_for_NEMO2 (EMC Update) v0.22_NRA_model_for_NEMO2 (EMC Update) v0.26_NRA_model_for_NEMO2 (EMC Update) v0.29" xfId="1175" xr:uid="{00000000-0005-0000-0000-000096040000}"/>
    <cellStyle name="%_NRA_model_for_NEMO2 (EMC Update) v0.21_NRA_model_for_NEMO2 (EMC Update) v0.22_NRA_model_for_NEMO2 (EMC Update) v0.26_NRA_model_for_NEMO2 (EMC Update) v0.29.2" xfId="1176" xr:uid="{00000000-0005-0000-0000-000097040000}"/>
    <cellStyle name="%_NRA_model_for_NEMO2 (EMC Update) v0.21_NRA_model_for_NEMO2 (EMC Update) v0.22_NRA_model_for_NEMO2 (EMC Update) v0.26_NRA_model_for_NEMO2 (EMC Update) v0.29.2_NRA_model_for_NEMO2 (EMC Update) v0 30 1" xfId="1185" xr:uid="{00000000-0005-0000-0000-000098040000}"/>
    <cellStyle name="%_NRA_model_for_NEMO2 (EMC Update) v0.21_NRA_model_for_NEMO2 (EMC Update) v0.22_NRA_model_for_NEMO2 (EMC Update) v0.26_NRA_model_for_NEMO2 (EMC Update) v0.29.2_NRA_model_for_NEMO2 (EMC Update) v0.29.3" xfId="1177" xr:uid="{00000000-0005-0000-0000-000099040000}"/>
    <cellStyle name="%_NRA_model_for_NEMO2 (EMC Update) v0.21_NRA_model_for_NEMO2 (EMC Update) v0.22_NRA_model_for_NEMO2 (EMC Update) v0.26_NRA_model_for_NEMO2 (EMC Update) v0.29.2_NRA_model_for_NEMO2 (EMC Update) v0.29.3_NRA_model_for_NEMO2 (EMC Update) v0 30 1" xfId="1179" xr:uid="{00000000-0005-0000-0000-00009A040000}"/>
    <cellStyle name="%_NRA_model_for_NEMO2 (EMC Update) v0.21_NRA_model_for_NEMO2 (EMC Update) v0.22_NRA_model_for_NEMO2 (EMC Update) v0.26_NRA_model_for_NEMO2 (EMC Update) v0.29.2_NRA_model_for_NEMO2 (EMC Update) v0.29.3_NRA_model_for_NEMO2 (EMC Update) v0.29.5" xfId="1178" xr:uid="{00000000-0005-0000-0000-00009B040000}"/>
    <cellStyle name="%_NRA_model_for_NEMO2 (EMC Update) v0.21_NRA_model_for_NEMO2 (EMC Update) v0.22_NRA_model_for_NEMO2 (EMC Update) v0.26_NRA_model_for_NEMO2 (EMC Update) v0.29.2_NRA_model_for_NEMO2 (EMC Update) v0.29.4" xfId="1180" xr:uid="{00000000-0005-0000-0000-00009C040000}"/>
    <cellStyle name="%_NRA_model_for_NEMO2 (EMC Update) v0.21_NRA_model_for_NEMO2 (EMC Update) v0.22_NRA_model_for_NEMO2 (EMC Update) v0.26_NRA_model_for_NEMO2 (EMC Update) v0.29.2_NRA_model_for_NEMO2 (EMC Update) v0.29.4_NRA_model_for_NEMO2 (EMC Update) v0 30 1" xfId="1182" xr:uid="{00000000-0005-0000-0000-00009D040000}"/>
    <cellStyle name="%_NRA_model_for_NEMO2 (EMC Update) v0.21_NRA_model_for_NEMO2 (EMC Update) v0.22_NRA_model_for_NEMO2 (EMC Update) v0.26_NRA_model_for_NEMO2 (EMC Update) v0.29.2_NRA_model_for_NEMO2 (EMC Update) v0.29.4_NRA_model_for_NEMO2 (EMC Update) v0.29.5" xfId="1181" xr:uid="{00000000-0005-0000-0000-00009E040000}"/>
    <cellStyle name="%_NRA_model_for_NEMO2 (EMC Update) v0.21_NRA_model_for_NEMO2 (EMC Update) v0.22_NRA_model_for_NEMO2 (EMC Update) v0.26_NRA_model_for_NEMO2 (EMC Update) v0.29.2_NRA_model_for_NEMO2 (EMC Update) v0.29.5" xfId="1183" xr:uid="{00000000-0005-0000-0000-00009F040000}"/>
    <cellStyle name="%_NRA_model_for_NEMO2 (EMC Update) v0.21_NRA_model_for_NEMO2 (EMC Update) v0.22_NRA_model_for_NEMO2 (EMC Update) v0.26_NRA_model_for_NEMO2 (EMC Update) v0.29.2_NRA_model_for_NEMO2 (EMC Update) v0.29.5_NRA_model_for_NEMO2 (EMC Update) v0 30 1" xfId="1184" xr:uid="{00000000-0005-0000-0000-0000A0040000}"/>
    <cellStyle name="%_NRA_model_for_NEMO2 (EMC Update) v0.21_NRA_model_for_NEMO2 (EMC Update) v0.22_NRA_model_for_NEMO2 (EMC Update) v0.26_NRA_model_for_NEMO2 (EMC Update) v0.29.3" xfId="1186" xr:uid="{00000000-0005-0000-0000-0000A1040000}"/>
    <cellStyle name="%_NRA_model_for_NEMO2 (EMC Update) v0.21_NRA_model_for_NEMO2 (EMC Update) v0.22_NRA_model_for_NEMO2 (EMC Update) v0.26_NRA_model_for_NEMO2 (EMC Update) v0.29.3_NRA_model_for_NEMO2 (EMC Update) v0 30 1" xfId="1189" xr:uid="{00000000-0005-0000-0000-0000A2040000}"/>
    <cellStyle name="%_NRA_model_for_NEMO2 (EMC Update) v0.21_NRA_model_for_NEMO2 (EMC Update) v0.22_NRA_model_for_NEMO2 (EMC Update) v0.26_NRA_model_for_NEMO2 (EMC Update) v0.29.3_NRA_model_for_NEMO2 (EMC Update) v0.29.5" xfId="1187" xr:uid="{00000000-0005-0000-0000-0000A3040000}"/>
    <cellStyle name="%_NRA_model_for_NEMO2 (EMC Update) v0.21_NRA_model_for_NEMO2 (EMC Update) v0.22_NRA_model_for_NEMO2 (EMC Update) v0.26_NRA_model_for_NEMO2 (EMC Update) v0.29.3_NRA_model_for_NEMO2 (EMC Update) v0.29.5_NRA_model_for_NEMO2 (EMC Update) v0 30 1" xfId="1188" xr:uid="{00000000-0005-0000-0000-0000A4040000}"/>
    <cellStyle name="%_NRA_model_for_NEMO2 (EMC Update) v0.21_NRA_model_for_NEMO2 (EMC Update) v0.22_NRA_model_for_NEMO2 (EMC Update) v0.26_NRA_model_for_NEMO2 (EMC Update) v0.29.4" xfId="1190" xr:uid="{00000000-0005-0000-0000-0000A5040000}"/>
    <cellStyle name="%_NRA_model_for_NEMO2 (EMC Update) v0.21_NRA_model_for_NEMO2 (EMC Update) v0.22_NRA_model_for_NEMO2 (EMC Update) v0.26_NRA_model_for_NEMO2 (EMC Update) v0.29.4_NRA_model_for_NEMO2 (EMC Update) v0 30 1" xfId="1193" xr:uid="{00000000-0005-0000-0000-0000A6040000}"/>
    <cellStyle name="%_NRA_model_for_NEMO2 (EMC Update) v0.21_NRA_model_for_NEMO2 (EMC Update) v0.22_NRA_model_for_NEMO2 (EMC Update) v0.26_NRA_model_for_NEMO2 (EMC Update) v0.29.4_NRA_model_for_NEMO2 (EMC Update) v0.29.5" xfId="1191" xr:uid="{00000000-0005-0000-0000-0000A7040000}"/>
    <cellStyle name="%_NRA_model_for_NEMO2 (EMC Update) v0.21_NRA_model_for_NEMO2 (EMC Update) v0.22_NRA_model_for_NEMO2 (EMC Update) v0.26_NRA_model_for_NEMO2 (EMC Update) v0.29.4_NRA_model_for_NEMO2 (EMC Update) v0.29.5_NRA_model_for_NEMO2 (EMC Update) v0 30 1" xfId="1192" xr:uid="{00000000-0005-0000-0000-0000A8040000}"/>
    <cellStyle name="%_NRA_model_for_NEMO2 (EMC Update) v0.21_NRA_model_for_NEMO2 (EMC Update) v0.22_NRA_model_for_NEMO2 (EMC Update) v0.26_NRA_model_for_NEMO2 (EMC Update) v0.29.5" xfId="1194" xr:uid="{00000000-0005-0000-0000-0000A9040000}"/>
    <cellStyle name="%_NRA_model_for_NEMO2 (EMC Update) v0.21_NRA_model_for_NEMO2 (EMC Update) v0.22_NRA_model_for_NEMO2 (EMC Update) v0.26_NRA_model_for_NEMO2 (EMC Update) v0.29.5_NRA_model_for_NEMO2 (EMC Update) v0 30 1" xfId="1195" xr:uid="{00000000-0005-0000-0000-0000AA040000}"/>
    <cellStyle name="%_NRA_model_for_NEMO2 (EMC Update) v0.21_NRA_model_for_NEMO2 (EMC Update) v0.22_NRA_model_for_NEMO2 (EMC Update) v0.26_NRA_model_for_NEMO2 (EMC Update) v0.29_NRA_model_for_NEMO2 (EMC Update) v0 30 1" xfId="1209" xr:uid="{00000000-0005-0000-0000-0000AB040000}"/>
    <cellStyle name="%_NRA_model_for_NEMO2 (EMC Update) v0.21_NRA_model_for_NEMO2 (EMC Update) v0.22_NRA_model_for_NEMO2 (EMC Update) v0.26_NRA_model_for_NEMO2 (EMC Update) v0.29_NRA_model_for_NEMO2 (EMC Update) v0.29.2" xfId="1196" xr:uid="{00000000-0005-0000-0000-0000AC040000}"/>
    <cellStyle name="%_NRA_model_for_NEMO2 (EMC Update) v0.21_NRA_model_for_NEMO2 (EMC Update) v0.22_NRA_model_for_NEMO2 (EMC Update) v0.26_NRA_model_for_NEMO2 (EMC Update) v0.29_NRA_model_for_NEMO2 (EMC Update) v0.29.2_NRA_model_for_NEMO2 (EMC Update) v0 30 1" xfId="1200" xr:uid="{00000000-0005-0000-0000-0000AD040000}"/>
    <cellStyle name="%_NRA_model_for_NEMO2 (EMC Update) v0.21_NRA_model_for_NEMO2 (EMC Update) v0.22_NRA_model_for_NEMO2 (EMC Update) v0.26_NRA_model_for_NEMO2 (EMC Update) v0.29_NRA_model_for_NEMO2 (EMC Update) v0.29.2_NRA_model_for_NEMO2 (EMC Update) v0.29.3" xfId="1197" xr:uid="{00000000-0005-0000-0000-0000AE040000}"/>
    <cellStyle name="%_NRA_model_for_NEMO2 (EMC Update) v0.21_NRA_model_for_NEMO2 (EMC Update) v0.22_NRA_model_for_NEMO2 (EMC Update) v0.26_NRA_model_for_NEMO2 (EMC Update) v0.29_NRA_model_for_NEMO2 (EMC Update) v0.29.2_NRA_model_for_NEMO2 (EMC Update) v0.29.4" xfId="1198" xr:uid="{00000000-0005-0000-0000-0000AF040000}"/>
    <cellStyle name="%_NRA_model_for_NEMO2 (EMC Update) v0.21_NRA_model_for_NEMO2 (EMC Update) v0.22_NRA_model_for_NEMO2 (EMC Update) v0.26_NRA_model_for_NEMO2 (EMC Update) v0.29_NRA_model_for_NEMO2 (EMC Update) v0.29.2_NRA_model_for_NEMO2 (EMC Update) v0.29.5" xfId="1199" xr:uid="{00000000-0005-0000-0000-0000B0040000}"/>
    <cellStyle name="%_NRA_model_for_NEMO2 (EMC Update) v0.21_NRA_model_for_NEMO2 (EMC Update) v0.22_NRA_model_for_NEMO2 (EMC Update) v0.26_NRA_model_for_NEMO2 (EMC Update) v0.29_NRA_model_for_NEMO2 (EMC Update) v0.29.3" xfId="1201" xr:uid="{00000000-0005-0000-0000-0000B1040000}"/>
    <cellStyle name="%_NRA_model_for_NEMO2 (EMC Update) v0.21_NRA_model_for_NEMO2 (EMC Update) v0.22_NRA_model_for_NEMO2 (EMC Update) v0.26_NRA_model_for_NEMO2 (EMC Update) v0.29_NRA_model_for_NEMO2 (EMC Update) v0.29.3_NRA_model_for_NEMO2 (EMC Update) v0 30 1" xfId="1203" xr:uid="{00000000-0005-0000-0000-0000B2040000}"/>
    <cellStyle name="%_NRA_model_for_NEMO2 (EMC Update) v0.21_NRA_model_for_NEMO2 (EMC Update) v0.22_NRA_model_for_NEMO2 (EMC Update) v0.26_NRA_model_for_NEMO2 (EMC Update) v0.29_NRA_model_for_NEMO2 (EMC Update) v0.29.3_NRA_model_for_NEMO2 (EMC Update) v0.29.5" xfId="1202" xr:uid="{00000000-0005-0000-0000-0000B3040000}"/>
    <cellStyle name="%_NRA_model_for_NEMO2 (EMC Update) v0.21_NRA_model_for_NEMO2 (EMC Update) v0.22_NRA_model_for_NEMO2 (EMC Update) v0.26_NRA_model_for_NEMO2 (EMC Update) v0.29_NRA_model_for_NEMO2 (EMC Update) v0.29.4" xfId="1204" xr:uid="{00000000-0005-0000-0000-0000B4040000}"/>
    <cellStyle name="%_NRA_model_for_NEMO2 (EMC Update) v0.21_NRA_model_for_NEMO2 (EMC Update) v0.22_NRA_model_for_NEMO2 (EMC Update) v0.26_NRA_model_for_NEMO2 (EMC Update) v0.29_NRA_model_for_NEMO2 (EMC Update) v0.29.4_NRA_model_for_NEMO2 (EMC Update) v0 30 1" xfId="1206" xr:uid="{00000000-0005-0000-0000-0000B5040000}"/>
    <cellStyle name="%_NRA_model_for_NEMO2 (EMC Update) v0.21_NRA_model_for_NEMO2 (EMC Update) v0.22_NRA_model_for_NEMO2 (EMC Update) v0.26_NRA_model_for_NEMO2 (EMC Update) v0.29_NRA_model_for_NEMO2 (EMC Update) v0.29.4_NRA_model_for_NEMO2 (EMC Update) v0.29.5" xfId="1205" xr:uid="{00000000-0005-0000-0000-0000B6040000}"/>
    <cellStyle name="%_NRA_model_for_NEMO2 (EMC Update) v0.21_NRA_model_for_NEMO2 (EMC Update) v0.22_NRA_model_for_NEMO2 (EMC Update) v0.26_NRA_model_for_NEMO2 (EMC Update) v0.29_NRA_model_for_NEMO2 (EMC Update) v0.29.5" xfId="1207" xr:uid="{00000000-0005-0000-0000-0000B7040000}"/>
    <cellStyle name="%_NRA_model_for_NEMO2 (EMC Update) v0.21_NRA_model_for_NEMO2 (EMC Update) v0.22_NRA_model_for_NEMO2 (EMC Update) v0.26_NRA_model_for_NEMO2 (EMC Update) v0.29_NRA_model_for_NEMO2 (EMC Update) v0.29.5_NRA_model_for_NEMO2 (EMC Update) v0 30 1" xfId="1208" xr:uid="{00000000-0005-0000-0000-0000B8040000}"/>
    <cellStyle name="%_NRA_model_for_NEMO2 (EMC Update) v0.21_NRA_model_for_NEMO2 (EMC Update) v0.22_NRA_model_for_NEMO2 (EMC Update) v0.29" xfId="1211" xr:uid="{00000000-0005-0000-0000-0000B9040000}"/>
    <cellStyle name="%_NRA_model_for_NEMO2 (EMC Update) v0.21_NRA_model_for_NEMO2 (EMC Update) v0.22_NRA_model_for_NEMO2 (EMC Update) v0.29.2" xfId="1212" xr:uid="{00000000-0005-0000-0000-0000BA040000}"/>
    <cellStyle name="%_NRA_model_for_NEMO2 (EMC Update) v0.21_NRA_model_for_NEMO2 (EMC Update) v0.22_NRA_model_for_NEMO2 (EMC Update) v0.29.2_NRA_model_for_NEMO2 (EMC Update) v0 30 1" xfId="1223" xr:uid="{00000000-0005-0000-0000-0000BB040000}"/>
    <cellStyle name="%_NRA_model_for_NEMO2 (EMC Update) v0.21_NRA_model_for_NEMO2 (EMC Update) v0.22_NRA_model_for_NEMO2 (EMC Update) v0.29.2_NRA_model_for_NEMO2 (EMC Update) v0.29.3" xfId="1213" xr:uid="{00000000-0005-0000-0000-0000BC040000}"/>
    <cellStyle name="%_NRA_model_for_NEMO2 (EMC Update) v0.21_NRA_model_for_NEMO2 (EMC Update) v0.22_NRA_model_for_NEMO2 (EMC Update) v0.29.2_NRA_model_for_NEMO2 (EMC Update) v0.29.3_NRA_model_for_NEMO2 (EMC Update) v0 30 1" xfId="1216" xr:uid="{00000000-0005-0000-0000-0000BD040000}"/>
    <cellStyle name="%_NRA_model_for_NEMO2 (EMC Update) v0.21_NRA_model_for_NEMO2 (EMC Update) v0.22_NRA_model_for_NEMO2 (EMC Update) v0.29.2_NRA_model_for_NEMO2 (EMC Update) v0.29.3_NRA_model_for_NEMO2 (EMC Update) v0.29.5" xfId="1214" xr:uid="{00000000-0005-0000-0000-0000BE040000}"/>
    <cellStyle name="%_NRA_model_for_NEMO2 (EMC Update) v0.21_NRA_model_for_NEMO2 (EMC Update) v0.22_NRA_model_for_NEMO2 (EMC Update) v0.29.2_NRA_model_for_NEMO2 (EMC Update) v0.29.3_NRA_model_for_NEMO2 (EMC Update) v0.29.5_NRA_model_for_NEMO2 (EMC Update) v0 30 1" xfId="1215" xr:uid="{00000000-0005-0000-0000-0000BF040000}"/>
    <cellStyle name="%_NRA_model_for_NEMO2 (EMC Update) v0.21_NRA_model_for_NEMO2 (EMC Update) v0.22_NRA_model_for_NEMO2 (EMC Update) v0.29.2_NRA_model_for_NEMO2 (EMC Update) v0.29.4" xfId="1217" xr:uid="{00000000-0005-0000-0000-0000C0040000}"/>
    <cellStyle name="%_NRA_model_for_NEMO2 (EMC Update) v0.21_NRA_model_for_NEMO2 (EMC Update) v0.22_NRA_model_for_NEMO2 (EMC Update) v0.29.2_NRA_model_for_NEMO2 (EMC Update) v0.29.4_NRA_model_for_NEMO2 (EMC Update) v0 30 1" xfId="1220" xr:uid="{00000000-0005-0000-0000-0000C1040000}"/>
    <cellStyle name="%_NRA_model_for_NEMO2 (EMC Update) v0.21_NRA_model_for_NEMO2 (EMC Update) v0.22_NRA_model_for_NEMO2 (EMC Update) v0.29.2_NRA_model_for_NEMO2 (EMC Update) v0.29.4_NRA_model_for_NEMO2 (EMC Update) v0.29.5" xfId="1218" xr:uid="{00000000-0005-0000-0000-0000C2040000}"/>
    <cellStyle name="%_NRA_model_for_NEMO2 (EMC Update) v0.21_NRA_model_for_NEMO2 (EMC Update) v0.22_NRA_model_for_NEMO2 (EMC Update) v0.29.2_NRA_model_for_NEMO2 (EMC Update) v0.29.4_NRA_model_for_NEMO2 (EMC Update) v0.29.5_NRA_model_for_NEMO2 (EMC Update) v0 30 1" xfId="1219" xr:uid="{00000000-0005-0000-0000-0000C3040000}"/>
    <cellStyle name="%_NRA_model_for_NEMO2 (EMC Update) v0.21_NRA_model_for_NEMO2 (EMC Update) v0.22_NRA_model_for_NEMO2 (EMC Update) v0.29.2_NRA_model_for_NEMO2 (EMC Update) v0.29.5" xfId="1221" xr:uid="{00000000-0005-0000-0000-0000C4040000}"/>
    <cellStyle name="%_NRA_model_for_NEMO2 (EMC Update) v0.21_NRA_model_for_NEMO2 (EMC Update) v0.22_NRA_model_for_NEMO2 (EMC Update) v0.29.2_NRA_model_for_NEMO2 (EMC Update) v0.29.5_NRA_model_for_NEMO2 (EMC Update) v0 30 1" xfId="1222" xr:uid="{00000000-0005-0000-0000-0000C5040000}"/>
    <cellStyle name="%_NRA_model_for_NEMO2 (EMC Update) v0.21_NRA_model_for_NEMO2 (EMC Update) v0.22_NRA_model_for_NEMO2 (EMC Update) v0.29.3" xfId="1224" xr:uid="{00000000-0005-0000-0000-0000C6040000}"/>
    <cellStyle name="%_NRA_model_for_NEMO2 (EMC Update) v0.21_NRA_model_for_NEMO2 (EMC Update) v0.22_NRA_model_for_NEMO2 (EMC Update) v0.29.3_NRA_model_for_NEMO2 (EMC Update) v0 30 1" xfId="1227" xr:uid="{00000000-0005-0000-0000-0000C7040000}"/>
    <cellStyle name="%_NRA_model_for_NEMO2 (EMC Update) v0.21_NRA_model_for_NEMO2 (EMC Update) v0.22_NRA_model_for_NEMO2 (EMC Update) v0.29.3_NRA_model_for_NEMO2 (EMC Update) v0.29.5" xfId="1225" xr:uid="{00000000-0005-0000-0000-0000C8040000}"/>
    <cellStyle name="%_NRA_model_for_NEMO2 (EMC Update) v0.21_NRA_model_for_NEMO2 (EMC Update) v0.22_NRA_model_for_NEMO2 (EMC Update) v0.29.3_NRA_model_for_NEMO2 (EMC Update) v0.29.5_NRA_model_for_NEMO2 (EMC Update) v0 30 1" xfId="1226" xr:uid="{00000000-0005-0000-0000-0000C9040000}"/>
    <cellStyle name="%_NRA_model_for_NEMO2 (EMC Update) v0.21_NRA_model_for_NEMO2 (EMC Update) v0.22_NRA_model_for_NEMO2 (EMC Update) v0.29.4" xfId="1228" xr:uid="{00000000-0005-0000-0000-0000CA040000}"/>
    <cellStyle name="%_NRA_model_for_NEMO2 (EMC Update) v0.21_NRA_model_for_NEMO2 (EMC Update) v0.22_NRA_model_for_NEMO2 (EMC Update) v0.29.4_NRA_model_for_NEMO2 (EMC Update) v0 30 1" xfId="1231" xr:uid="{00000000-0005-0000-0000-0000CB040000}"/>
    <cellStyle name="%_NRA_model_for_NEMO2 (EMC Update) v0.21_NRA_model_for_NEMO2 (EMC Update) v0.22_NRA_model_for_NEMO2 (EMC Update) v0.29.4_NRA_model_for_NEMO2 (EMC Update) v0.29.5" xfId="1229" xr:uid="{00000000-0005-0000-0000-0000CC040000}"/>
    <cellStyle name="%_NRA_model_for_NEMO2 (EMC Update) v0.21_NRA_model_for_NEMO2 (EMC Update) v0.22_NRA_model_for_NEMO2 (EMC Update) v0.29.4_NRA_model_for_NEMO2 (EMC Update) v0.29.5_NRA_model_for_NEMO2 (EMC Update) v0 30 1" xfId="1230" xr:uid="{00000000-0005-0000-0000-0000CD040000}"/>
    <cellStyle name="%_NRA_model_for_NEMO2 (EMC Update) v0.21_NRA_model_for_NEMO2 (EMC Update) v0.22_NRA_model_for_NEMO2 (EMC Update) v0.29.5" xfId="1232" xr:uid="{00000000-0005-0000-0000-0000CE040000}"/>
    <cellStyle name="%_NRA_model_for_NEMO2 (EMC Update) v0.21_NRA_model_for_NEMO2 (EMC Update) v0.22_NRA_model_for_NEMO2 (EMC Update) v0.29.5_NRA_model_for_NEMO2 (EMC Update) v0 30 1" xfId="1233" xr:uid="{00000000-0005-0000-0000-0000CF040000}"/>
    <cellStyle name="%_NRA_model_for_NEMO2 (EMC Update) v0.21_NRA_model_for_NEMO2 (EMC Update) v0.22_NRA_model_for_NEMO2 (EMC Update) v0.29_NRA_model_for_NEMO2 (EMC Update) v0 30 1" xfId="1254" xr:uid="{00000000-0005-0000-0000-0000D0040000}"/>
    <cellStyle name="%_NRA_model_for_NEMO2 (EMC Update) v0.21_NRA_model_for_NEMO2 (EMC Update) v0.22_NRA_model_for_NEMO2 (EMC Update) v0.29_NRA_model_for_NEMO2 (EMC Update) v0.29.2" xfId="1234" xr:uid="{00000000-0005-0000-0000-0000D1040000}"/>
    <cellStyle name="%_NRA_model_for_NEMO2 (EMC Update) v0.21_NRA_model_for_NEMO2 (EMC Update) v0.22_NRA_model_for_NEMO2 (EMC Update) v0.29_NRA_model_for_NEMO2 (EMC Update) v0.29.2_NRA_model_for_NEMO2 (EMC Update) v0 30 1" xfId="1243" xr:uid="{00000000-0005-0000-0000-0000D2040000}"/>
    <cellStyle name="%_NRA_model_for_NEMO2 (EMC Update) v0.21_NRA_model_for_NEMO2 (EMC Update) v0.22_NRA_model_for_NEMO2 (EMC Update) v0.29_NRA_model_for_NEMO2 (EMC Update) v0.29.2_NRA_model_for_NEMO2 (EMC Update) v0.29.3" xfId="1235" xr:uid="{00000000-0005-0000-0000-0000D3040000}"/>
    <cellStyle name="%_NRA_model_for_NEMO2 (EMC Update) v0.21_NRA_model_for_NEMO2 (EMC Update) v0.22_NRA_model_for_NEMO2 (EMC Update) v0.29_NRA_model_for_NEMO2 (EMC Update) v0.29.2_NRA_model_for_NEMO2 (EMC Update) v0.29.3_NRA_model_for_NEMO2 (EMC Update) v0 30 1" xfId="1237" xr:uid="{00000000-0005-0000-0000-0000D4040000}"/>
    <cellStyle name="%_NRA_model_for_NEMO2 (EMC Update) v0.21_NRA_model_for_NEMO2 (EMC Update) v0.22_NRA_model_for_NEMO2 (EMC Update) v0.29_NRA_model_for_NEMO2 (EMC Update) v0.29.2_NRA_model_for_NEMO2 (EMC Update) v0.29.3_NRA_model_for_NEMO2 (EMC Update) v0.29.5" xfId="1236" xr:uid="{00000000-0005-0000-0000-0000D5040000}"/>
    <cellStyle name="%_NRA_model_for_NEMO2 (EMC Update) v0.21_NRA_model_for_NEMO2 (EMC Update) v0.22_NRA_model_for_NEMO2 (EMC Update) v0.29_NRA_model_for_NEMO2 (EMC Update) v0.29.2_NRA_model_for_NEMO2 (EMC Update) v0.29.4" xfId="1238" xr:uid="{00000000-0005-0000-0000-0000D6040000}"/>
    <cellStyle name="%_NRA_model_for_NEMO2 (EMC Update) v0.21_NRA_model_for_NEMO2 (EMC Update) v0.22_NRA_model_for_NEMO2 (EMC Update) v0.29_NRA_model_for_NEMO2 (EMC Update) v0.29.2_NRA_model_for_NEMO2 (EMC Update) v0.29.4_NRA_model_for_NEMO2 (EMC Update) v0 30 1" xfId="1240" xr:uid="{00000000-0005-0000-0000-0000D7040000}"/>
    <cellStyle name="%_NRA_model_for_NEMO2 (EMC Update) v0.21_NRA_model_for_NEMO2 (EMC Update) v0.22_NRA_model_for_NEMO2 (EMC Update) v0.29_NRA_model_for_NEMO2 (EMC Update) v0.29.2_NRA_model_for_NEMO2 (EMC Update) v0.29.4_NRA_model_for_NEMO2 (EMC Update) v0.29.5" xfId="1239" xr:uid="{00000000-0005-0000-0000-0000D8040000}"/>
    <cellStyle name="%_NRA_model_for_NEMO2 (EMC Update) v0.21_NRA_model_for_NEMO2 (EMC Update) v0.22_NRA_model_for_NEMO2 (EMC Update) v0.29_NRA_model_for_NEMO2 (EMC Update) v0.29.2_NRA_model_for_NEMO2 (EMC Update) v0.29.5" xfId="1241" xr:uid="{00000000-0005-0000-0000-0000D9040000}"/>
    <cellStyle name="%_NRA_model_for_NEMO2 (EMC Update) v0.21_NRA_model_for_NEMO2 (EMC Update) v0.22_NRA_model_for_NEMO2 (EMC Update) v0.29_NRA_model_for_NEMO2 (EMC Update) v0.29.2_NRA_model_for_NEMO2 (EMC Update) v0.29.5_NRA_model_for_NEMO2 (EMC Update) v0 30 1" xfId="1242" xr:uid="{00000000-0005-0000-0000-0000DA040000}"/>
    <cellStyle name="%_NRA_model_for_NEMO2 (EMC Update) v0.21_NRA_model_for_NEMO2 (EMC Update) v0.22_NRA_model_for_NEMO2 (EMC Update) v0.29_NRA_model_for_NEMO2 (EMC Update) v0.29.3" xfId="1244" xr:uid="{00000000-0005-0000-0000-0000DB040000}"/>
    <cellStyle name="%_NRA_model_for_NEMO2 (EMC Update) v0.21_NRA_model_for_NEMO2 (EMC Update) v0.22_NRA_model_for_NEMO2 (EMC Update) v0.29_NRA_model_for_NEMO2 (EMC Update) v0.29.3_NRA_model_for_NEMO2 (EMC Update) v0 30 1" xfId="1247" xr:uid="{00000000-0005-0000-0000-0000DC040000}"/>
    <cellStyle name="%_NRA_model_for_NEMO2 (EMC Update) v0.21_NRA_model_for_NEMO2 (EMC Update) v0.22_NRA_model_for_NEMO2 (EMC Update) v0.29_NRA_model_for_NEMO2 (EMC Update) v0.29.3_NRA_model_for_NEMO2 (EMC Update) v0.29.5" xfId="1245" xr:uid="{00000000-0005-0000-0000-0000DD040000}"/>
    <cellStyle name="%_NRA_model_for_NEMO2 (EMC Update) v0.21_NRA_model_for_NEMO2 (EMC Update) v0.22_NRA_model_for_NEMO2 (EMC Update) v0.29_NRA_model_for_NEMO2 (EMC Update) v0.29.3_NRA_model_for_NEMO2 (EMC Update) v0.29.5_NRA_model_for_NEMO2 (EMC Update) v0 30 1" xfId="1246" xr:uid="{00000000-0005-0000-0000-0000DE040000}"/>
    <cellStyle name="%_NRA_model_for_NEMO2 (EMC Update) v0.21_NRA_model_for_NEMO2 (EMC Update) v0.22_NRA_model_for_NEMO2 (EMC Update) v0.29_NRA_model_for_NEMO2 (EMC Update) v0.29.4" xfId="1248" xr:uid="{00000000-0005-0000-0000-0000DF040000}"/>
    <cellStyle name="%_NRA_model_for_NEMO2 (EMC Update) v0.21_NRA_model_for_NEMO2 (EMC Update) v0.22_NRA_model_for_NEMO2 (EMC Update) v0.29_NRA_model_for_NEMO2 (EMC Update) v0.29.4_NRA_model_for_NEMO2 (EMC Update) v0 30 1" xfId="1251" xr:uid="{00000000-0005-0000-0000-0000E0040000}"/>
    <cellStyle name="%_NRA_model_for_NEMO2 (EMC Update) v0.21_NRA_model_for_NEMO2 (EMC Update) v0.22_NRA_model_for_NEMO2 (EMC Update) v0.29_NRA_model_for_NEMO2 (EMC Update) v0.29.4_NRA_model_for_NEMO2 (EMC Update) v0.29.5" xfId="1249" xr:uid="{00000000-0005-0000-0000-0000E1040000}"/>
    <cellStyle name="%_NRA_model_for_NEMO2 (EMC Update) v0.21_NRA_model_for_NEMO2 (EMC Update) v0.22_NRA_model_for_NEMO2 (EMC Update) v0.29_NRA_model_for_NEMO2 (EMC Update) v0.29.4_NRA_model_for_NEMO2 (EMC Update) v0.29.5_NRA_model_for_NEMO2 (EMC Update) v0 30 1" xfId="1250" xr:uid="{00000000-0005-0000-0000-0000E2040000}"/>
    <cellStyle name="%_NRA_model_for_NEMO2 (EMC Update) v0.21_NRA_model_for_NEMO2 (EMC Update) v0.22_NRA_model_for_NEMO2 (EMC Update) v0.29_NRA_model_for_NEMO2 (EMC Update) v0.29.5" xfId="1252" xr:uid="{00000000-0005-0000-0000-0000E3040000}"/>
    <cellStyle name="%_NRA_model_for_NEMO2 (EMC Update) v0.21_NRA_model_for_NEMO2 (EMC Update) v0.22_NRA_model_for_NEMO2 (EMC Update) v0.29_NRA_model_for_NEMO2 (EMC Update) v0.29.5_NRA_model_for_NEMO2 (EMC Update) v0 30 1" xfId="1253" xr:uid="{00000000-0005-0000-0000-0000E4040000}"/>
    <cellStyle name="%_NRA_model_for_NEMO2 (EMC Update) v0.21_NRA_model_for_NEMO2 (EMC Update) v0.25" xfId="1256" xr:uid="{00000000-0005-0000-0000-0000E5040000}"/>
    <cellStyle name="%_NRA_model_for_NEMO2 (EMC Update) v0.21_NRA_model_for_NEMO2 (EMC Update) v0.25_NRA_model_for_NEMO2 (EMC Update) v0 30 1" xfId="1338" xr:uid="{00000000-0005-0000-0000-0000E6040000}"/>
    <cellStyle name="%_NRA_model_for_NEMO2 (EMC Update) v0.21_NRA_model_for_NEMO2 (EMC Update) v0.25_NRA_model_for_NEMO2 (EMC Update) v0.26" xfId="1257" xr:uid="{00000000-0005-0000-0000-0000E7040000}"/>
    <cellStyle name="%_NRA_model_for_NEMO2 (EMC Update) v0.21_NRA_model_for_NEMO2 (EMC Update) v0.25_NRA_model_for_NEMO2 (EMC Update) v0.26_NRA_model_for_NEMO2 (EMC Update) v0 30 1" xfId="1293" xr:uid="{00000000-0005-0000-0000-0000E8040000}"/>
    <cellStyle name="%_NRA_model_for_NEMO2 (EMC Update) v0.21_NRA_model_for_NEMO2 (EMC Update) v0.25_NRA_model_for_NEMO2 (EMC Update) v0.26_NRA_model_for_NEMO2 (EMC Update) v0.29" xfId="1258" xr:uid="{00000000-0005-0000-0000-0000E9040000}"/>
    <cellStyle name="%_NRA_model_for_NEMO2 (EMC Update) v0.21_NRA_model_for_NEMO2 (EMC Update) v0.25_NRA_model_for_NEMO2 (EMC Update) v0.26_NRA_model_for_NEMO2 (EMC Update) v0.29.2" xfId="1259" xr:uid="{00000000-0005-0000-0000-0000EA040000}"/>
    <cellStyle name="%_NRA_model_for_NEMO2 (EMC Update) v0.21_NRA_model_for_NEMO2 (EMC Update) v0.25_NRA_model_for_NEMO2 (EMC Update) v0.26_NRA_model_for_NEMO2 (EMC Update) v0.29.2_NRA_model_for_NEMO2 (EMC Update) v0 30 1" xfId="1268" xr:uid="{00000000-0005-0000-0000-0000EB040000}"/>
    <cellStyle name="%_NRA_model_for_NEMO2 (EMC Update) v0.21_NRA_model_for_NEMO2 (EMC Update) v0.25_NRA_model_for_NEMO2 (EMC Update) v0.26_NRA_model_for_NEMO2 (EMC Update) v0.29.2_NRA_model_for_NEMO2 (EMC Update) v0.29.3" xfId="1260" xr:uid="{00000000-0005-0000-0000-0000EC040000}"/>
    <cellStyle name="%_NRA_model_for_NEMO2 (EMC Update) v0.21_NRA_model_for_NEMO2 (EMC Update) v0.25_NRA_model_for_NEMO2 (EMC Update) v0.26_NRA_model_for_NEMO2 (EMC Update) v0.29.2_NRA_model_for_NEMO2 (EMC Update) v0.29.3_NRA_model_for_NEMO2 (EMC Update) v0 30 1" xfId="1262" xr:uid="{00000000-0005-0000-0000-0000ED040000}"/>
    <cellStyle name="%_NRA_model_for_NEMO2 (EMC Update) v0.21_NRA_model_for_NEMO2 (EMC Update) v0.25_NRA_model_for_NEMO2 (EMC Update) v0.26_NRA_model_for_NEMO2 (EMC Update) v0.29.2_NRA_model_for_NEMO2 (EMC Update) v0.29.3_NRA_model_for_NEMO2 (EMC Update) v0.29.5" xfId="1261" xr:uid="{00000000-0005-0000-0000-0000EE040000}"/>
    <cellStyle name="%_NRA_model_for_NEMO2 (EMC Update) v0.21_NRA_model_for_NEMO2 (EMC Update) v0.25_NRA_model_for_NEMO2 (EMC Update) v0.26_NRA_model_for_NEMO2 (EMC Update) v0.29.2_NRA_model_for_NEMO2 (EMC Update) v0.29.4" xfId="1263" xr:uid="{00000000-0005-0000-0000-0000EF040000}"/>
    <cellStyle name="%_NRA_model_for_NEMO2 (EMC Update) v0.21_NRA_model_for_NEMO2 (EMC Update) v0.25_NRA_model_for_NEMO2 (EMC Update) v0.26_NRA_model_for_NEMO2 (EMC Update) v0.29.2_NRA_model_for_NEMO2 (EMC Update) v0.29.4_NRA_model_for_NEMO2 (EMC Update) v0 30 1" xfId="1265" xr:uid="{00000000-0005-0000-0000-0000F0040000}"/>
    <cellStyle name="%_NRA_model_for_NEMO2 (EMC Update) v0.21_NRA_model_for_NEMO2 (EMC Update) v0.25_NRA_model_for_NEMO2 (EMC Update) v0.26_NRA_model_for_NEMO2 (EMC Update) v0.29.2_NRA_model_for_NEMO2 (EMC Update) v0.29.4_NRA_model_for_NEMO2 (EMC Update) v0.29.5" xfId="1264" xr:uid="{00000000-0005-0000-0000-0000F1040000}"/>
    <cellStyle name="%_NRA_model_for_NEMO2 (EMC Update) v0.21_NRA_model_for_NEMO2 (EMC Update) v0.25_NRA_model_for_NEMO2 (EMC Update) v0.26_NRA_model_for_NEMO2 (EMC Update) v0.29.2_NRA_model_for_NEMO2 (EMC Update) v0.29.5" xfId="1266" xr:uid="{00000000-0005-0000-0000-0000F2040000}"/>
    <cellStyle name="%_NRA_model_for_NEMO2 (EMC Update) v0.21_NRA_model_for_NEMO2 (EMC Update) v0.25_NRA_model_for_NEMO2 (EMC Update) v0.26_NRA_model_for_NEMO2 (EMC Update) v0.29.2_NRA_model_for_NEMO2 (EMC Update) v0.29.5_NRA_model_for_NEMO2 (EMC Update) v0 30 1" xfId="1267" xr:uid="{00000000-0005-0000-0000-0000F3040000}"/>
    <cellStyle name="%_NRA_model_for_NEMO2 (EMC Update) v0.21_NRA_model_for_NEMO2 (EMC Update) v0.25_NRA_model_for_NEMO2 (EMC Update) v0.26_NRA_model_for_NEMO2 (EMC Update) v0.29.3" xfId="1269" xr:uid="{00000000-0005-0000-0000-0000F4040000}"/>
    <cellStyle name="%_NRA_model_for_NEMO2 (EMC Update) v0.21_NRA_model_for_NEMO2 (EMC Update) v0.25_NRA_model_for_NEMO2 (EMC Update) v0.26_NRA_model_for_NEMO2 (EMC Update) v0.29.3_NRA_model_for_NEMO2 (EMC Update) v0 30 1" xfId="1272" xr:uid="{00000000-0005-0000-0000-0000F5040000}"/>
    <cellStyle name="%_NRA_model_for_NEMO2 (EMC Update) v0.21_NRA_model_for_NEMO2 (EMC Update) v0.25_NRA_model_for_NEMO2 (EMC Update) v0.26_NRA_model_for_NEMO2 (EMC Update) v0.29.3_NRA_model_for_NEMO2 (EMC Update) v0.29.5" xfId="1270" xr:uid="{00000000-0005-0000-0000-0000F6040000}"/>
    <cellStyle name="%_NRA_model_for_NEMO2 (EMC Update) v0.21_NRA_model_for_NEMO2 (EMC Update) v0.25_NRA_model_for_NEMO2 (EMC Update) v0.26_NRA_model_for_NEMO2 (EMC Update) v0.29.3_NRA_model_for_NEMO2 (EMC Update) v0.29.5_NRA_model_for_NEMO2 (EMC Update) v0 30 1" xfId="1271" xr:uid="{00000000-0005-0000-0000-0000F7040000}"/>
    <cellStyle name="%_NRA_model_for_NEMO2 (EMC Update) v0.21_NRA_model_for_NEMO2 (EMC Update) v0.25_NRA_model_for_NEMO2 (EMC Update) v0.26_NRA_model_for_NEMO2 (EMC Update) v0.29.4" xfId="1273" xr:uid="{00000000-0005-0000-0000-0000F8040000}"/>
    <cellStyle name="%_NRA_model_for_NEMO2 (EMC Update) v0.21_NRA_model_for_NEMO2 (EMC Update) v0.25_NRA_model_for_NEMO2 (EMC Update) v0.26_NRA_model_for_NEMO2 (EMC Update) v0.29.4_NRA_model_for_NEMO2 (EMC Update) v0 30 1" xfId="1276" xr:uid="{00000000-0005-0000-0000-0000F9040000}"/>
    <cellStyle name="%_NRA_model_for_NEMO2 (EMC Update) v0.21_NRA_model_for_NEMO2 (EMC Update) v0.25_NRA_model_for_NEMO2 (EMC Update) v0.26_NRA_model_for_NEMO2 (EMC Update) v0.29.4_NRA_model_for_NEMO2 (EMC Update) v0.29.5" xfId="1274" xr:uid="{00000000-0005-0000-0000-0000FA040000}"/>
    <cellStyle name="%_NRA_model_for_NEMO2 (EMC Update) v0.21_NRA_model_for_NEMO2 (EMC Update) v0.25_NRA_model_for_NEMO2 (EMC Update) v0.26_NRA_model_for_NEMO2 (EMC Update) v0.29.4_NRA_model_for_NEMO2 (EMC Update) v0.29.5_NRA_model_for_NEMO2 (EMC Update) v0 30 1" xfId="1275" xr:uid="{00000000-0005-0000-0000-0000FB040000}"/>
    <cellStyle name="%_NRA_model_for_NEMO2 (EMC Update) v0.21_NRA_model_for_NEMO2 (EMC Update) v0.25_NRA_model_for_NEMO2 (EMC Update) v0.26_NRA_model_for_NEMO2 (EMC Update) v0.29.5" xfId="1277" xr:uid="{00000000-0005-0000-0000-0000FC040000}"/>
    <cellStyle name="%_NRA_model_for_NEMO2 (EMC Update) v0.21_NRA_model_for_NEMO2 (EMC Update) v0.25_NRA_model_for_NEMO2 (EMC Update) v0.26_NRA_model_for_NEMO2 (EMC Update) v0.29.5_NRA_model_for_NEMO2 (EMC Update) v0 30 1" xfId="1278" xr:uid="{00000000-0005-0000-0000-0000FD040000}"/>
    <cellStyle name="%_NRA_model_for_NEMO2 (EMC Update) v0.21_NRA_model_for_NEMO2 (EMC Update) v0.25_NRA_model_for_NEMO2 (EMC Update) v0.26_NRA_model_for_NEMO2 (EMC Update) v0.29_NRA_model_for_NEMO2 (EMC Update) v0 30 1" xfId="1292" xr:uid="{00000000-0005-0000-0000-0000FE040000}"/>
    <cellStyle name="%_NRA_model_for_NEMO2 (EMC Update) v0.21_NRA_model_for_NEMO2 (EMC Update) v0.25_NRA_model_for_NEMO2 (EMC Update) v0.26_NRA_model_for_NEMO2 (EMC Update) v0.29_NRA_model_for_NEMO2 (EMC Update) v0.29.2" xfId="1279" xr:uid="{00000000-0005-0000-0000-0000FF040000}"/>
    <cellStyle name="%_NRA_model_for_NEMO2 (EMC Update) v0.21_NRA_model_for_NEMO2 (EMC Update) v0.25_NRA_model_for_NEMO2 (EMC Update) v0.26_NRA_model_for_NEMO2 (EMC Update) v0.29_NRA_model_for_NEMO2 (EMC Update) v0.29.2_NRA_model_for_NEMO2 (EMC Update) v0 30 1" xfId="1283" xr:uid="{00000000-0005-0000-0000-000000050000}"/>
    <cellStyle name="%_NRA_model_for_NEMO2 (EMC Update) v0.21_NRA_model_for_NEMO2 (EMC Update) v0.25_NRA_model_for_NEMO2 (EMC Update) v0.26_NRA_model_for_NEMO2 (EMC Update) v0.29_NRA_model_for_NEMO2 (EMC Update) v0.29.2_NRA_model_for_NEMO2 (EMC Update) v0.29.3" xfId="1280" xr:uid="{00000000-0005-0000-0000-000001050000}"/>
    <cellStyle name="%_NRA_model_for_NEMO2 (EMC Update) v0.21_NRA_model_for_NEMO2 (EMC Update) v0.25_NRA_model_for_NEMO2 (EMC Update) v0.26_NRA_model_for_NEMO2 (EMC Update) v0.29_NRA_model_for_NEMO2 (EMC Update) v0.29.2_NRA_model_for_NEMO2 (EMC Update) v0.29.4" xfId="1281" xr:uid="{00000000-0005-0000-0000-000002050000}"/>
    <cellStyle name="%_NRA_model_for_NEMO2 (EMC Update) v0.21_NRA_model_for_NEMO2 (EMC Update) v0.25_NRA_model_for_NEMO2 (EMC Update) v0.26_NRA_model_for_NEMO2 (EMC Update) v0.29_NRA_model_for_NEMO2 (EMC Update) v0.29.2_NRA_model_for_NEMO2 (EMC Update) v0.29.5" xfId="1282" xr:uid="{00000000-0005-0000-0000-000003050000}"/>
    <cellStyle name="%_NRA_model_for_NEMO2 (EMC Update) v0.21_NRA_model_for_NEMO2 (EMC Update) v0.25_NRA_model_for_NEMO2 (EMC Update) v0.26_NRA_model_for_NEMO2 (EMC Update) v0.29_NRA_model_for_NEMO2 (EMC Update) v0.29.3" xfId="1284" xr:uid="{00000000-0005-0000-0000-000004050000}"/>
    <cellStyle name="%_NRA_model_for_NEMO2 (EMC Update) v0.21_NRA_model_for_NEMO2 (EMC Update) v0.25_NRA_model_for_NEMO2 (EMC Update) v0.26_NRA_model_for_NEMO2 (EMC Update) v0.29_NRA_model_for_NEMO2 (EMC Update) v0.29.3_NRA_model_for_NEMO2 (EMC Update) v0 30 1" xfId="1286" xr:uid="{00000000-0005-0000-0000-000005050000}"/>
    <cellStyle name="%_NRA_model_for_NEMO2 (EMC Update) v0.21_NRA_model_for_NEMO2 (EMC Update) v0.25_NRA_model_for_NEMO2 (EMC Update) v0.26_NRA_model_for_NEMO2 (EMC Update) v0.29_NRA_model_for_NEMO2 (EMC Update) v0.29.3_NRA_model_for_NEMO2 (EMC Update) v0.29.5" xfId="1285" xr:uid="{00000000-0005-0000-0000-000006050000}"/>
    <cellStyle name="%_NRA_model_for_NEMO2 (EMC Update) v0.21_NRA_model_for_NEMO2 (EMC Update) v0.25_NRA_model_for_NEMO2 (EMC Update) v0.26_NRA_model_for_NEMO2 (EMC Update) v0.29_NRA_model_for_NEMO2 (EMC Update) v0.29.4" xfId="1287" xr:uid="{00000000-0005-0000-0000-000007050000}"/>
    <cellStyle name="%_NRA_model_for_NEMO2 (EMC Update) v0.21_NRA_model_for_NEMO2 (EMC Update) v0.25_NRA_model_for_NEMO2 (EMC Update) v0.26_NRA_model_for_NEMO2 (EMC Update) v0.29_NRA_model_for_NEMO2 (EMC Update) v0.29.4_NRA_model_for_NEMO2 (EMC Update) v0 30 1" xfId="1289" xr:uid="{00000000-0005-0000-0000-000008050000}"/>
    <cellStyle name="%_NRA_model_for_NEMO2 (EMC Update) v0.21_NRA_model_for_NEMO2 (EMC Update) v0.25_NRA_model_for_NEMO2 (EMC Update) v0.26_NRA_model_for_NEMO2 (EMC Update) v0.29_NRA_model_for_NEMO2 (EMC Update) v0.29.4_NRA_model_for_NEMO2 (EMC Update) v0.29.5" xfId="1288" xr:uid="{00000000-0005-0000-0000-000009050000}"/>
    <cellStyle name="%_NRA_model_for_NEMO2 (EMC Update) v0.21_NRA_model_for_NEMO2 (EMC Update) v0.25_NRA_model_for_NEMO2 (EMC Update) v0.26_NRA_model_for_NEMO2 (EMC Update) v0.29_NRA_model_for_NEMO2 (EMC Update) v0.29.5" xfId="1290" xr:uid="{00000000-0005-0000-0000-00000A050000}"/>
    <cellStyle name="%_NRA_model_for_NEMO2 (EMC Update) v0.21_NRA_model_for_NEMO2 (EMC Update) v0.25_NRA_model_for_NEMO2 (EMC Update) v0.26_NRA_model_for_NEMO2 (EMC Update) v0.29_NRA_model_for_NEMO2 (EMC Update) v0.29.5_NRA_model_for_NEMO2 (EMC Update) v0 30 1" xfId="1291" xr:uid="{00000000-0005-0000-0000-00000B050000}"/>
    <cellStyle name="%_NRA_model_for_NEMO2 (EMC Update) v0.21_NRA_model_for_NEMO2 (EMC Update) v0.25_NRA_model_for_NEMO2 (EMC Update) v0.29" xfId="1294" xr:uid="{00000000-0005-0000-0000-00000C050000}"/>
    <cellStyle name="%_NRA_model_for_NEMO2 (EMC Update) v0.21_NRA_model_for_NEMO2 (EMC Update) v0.25_NRA_model_for_NEMO2 (EMC Update) v0.29.2" xfId="1295" xr:uid="{00000000-0005-0000-0000-00000D050000}"/>
    <cellStyle name="%_NRA_model_for_NEMO2 (EMC Update) v0.21_NRA_model_for_NEMO2 (EMC Update) v0.25_NRA_model_for_NEMO2 (EMC Update) v0.29.2_NRA_model_for_NEMO2 (EMC Update) v0 30 1" xfId="1306" xr:uid="{00000000-0005-0000-0000-00000E050000}"/>
    <cellStyle name="%_NRA_model_for_NEMO2 (EMC Update) v0.21_NRA_model_for_NEMO2 (EMC Update) v0.25_NRA_model_for_NEMO2 (EMC Update) v0.29.2_NRA_model_for_NEMO2 (EMC Update) v0.29.3" xfId="1296" xr:uid="{00000000-0005-0000-0000-00000F050000}"/>
    <cellStyle name="%_NRA_model_for_NEMO2 (EMC Update) v0.21_NRA_model_for_NEMO2 (EMC Update) v0.25_NRA_model_for_NEMO2 (EMC Update) v0.29.2_NRA_model_for_NEMO2 (EMC Update) v0.29.3_NRA_model_for_NEMO2 (EMC Update) v0 30 1" xfId="1299" xr:uid="{00000000-0005-0000-0000-000010050000}"/>
    <cellStyle name="%_NRA_model_for_NEMO2 (EMC Update) v0.21_NRA_model_for_NEMO2 (EMC Update) v0.25_NRA_model_for_NEMO2 (EMC Update) v0.29.2_NRA_model_for_NEMO2 (EMC Update) v0.29.3_NRA_model_for_NEMO2 (EMC Update) v0.29.5" xfId="1297" xr:uid="{00000000-0005-0000-0000-000011050000}"/>
    <cellStyle name="%_NRA_model_for_NEMO2 (EMC Update) v0.21_NRA_model_for_NEMO2 (EMC Update) v0.25_NRA_model_for_NEMO2 (EMC Update) v0.29.2_NRA_model_for_NEMO2 (EMC Update) v0.29.3_NRA_model_for_NEMO2 (EMC Update) v0.29.5_NRA_model_for_NEMO2 (EMC Update) v0 30 1" xfId="1298" xr:uid="{00000000-0005-0000-0000-000012050000}"/>
    <cellStyle name="%_NRA_model_for_NEMO2 (EMC Update) v0.21_NRA_model_for_NEMO2 (EMC Update) v0.25_NRA_model_for_NEMO2 (EMC Update) v0.29.2_NRA_model_for_NEMO2 (EMC Update) v0.29.4" xfId="1300" xr:uid="{00000000-0005-0000-0000-000013050000}"/>
    <cellStyle name="%_NRA_model_for_NEMO2 (EMC Update) v0.21_NRA_model_for_NEMO2 (EMC Update) v0.25_NRA_model_for_NEMO2 (EMC Update) v0.29.2_NRA_model_for_NEMO2 (EMC Update) v0.29.4_NRA_model_for_NEMO2 (EMC Update) v0 30 1" xfId="1303" xr:uid="{00000000-0005-0000-0000-000014050000}"/>
    <cellStyle name="%_NRA_model_for_NEMO2 (EMC Update) v0.21_NRA_model_for_NEMO2 (EMC Update) v0.25_NRA_model_for_NEMO2 (EMC Update) v0.29.2_NRA_model_for_NEMO2 (EMC Update) v0.29.4_NRA_model_for_NEMO2 (EMC Update) v0.29.5" xfId="1301" xr:uid="{00000000-0005-0000-0000-000015050000}"/>
    <cellStyle name="%_NRA_model_for_NEMO2 (EMC Update) v0.21_NRA_model_for_NEMO2 (EMC Update) v0.25_NRA_model_for_NEMO2 (EMC Update) v0.29.2_NRA_model_for_NEMO2 (EMC Update) v0.29.4_NRA_model_for_NEMO2 (EMC Update) v0.29.5_NRA_model_for_NEMO2 (EMC Update) v0 30 1" xfId="1302" xr:uid="{00000000-0005-0000-0000-000016050000}"/>
    <cellStyle name="%_NRA_model_for_NEMO2 (EMC Update) v0.21_NRA_model_for_NEMO2 (EMC Update) v0.25_NRA_model_for_NEMO2 (EMC Update) v0.29.2_NRA_model_for_NEMO2 (EMC Update) v0.29.5" xfId="1304" xr:uid="{00000000-0005-0000-0000-000017050000}"/>
    <cellStyle name="%_NRA_model_for_NEMO2 (EMC Update) v0.21_NRA_model_for_NEMO2 (EMC Update) v0.25_NRA_model_for_NEMO2 (EMC Update) v0.29.2_NRA_model_for_NEMO2 (EMC Update) v0.29.5_NRA_model_for_NEMO2 (EMC Update) v0 30 1" xfId="1305" xr:uid="{00000000-0005-0000-0000-000018050000}"/>
    <cellStyle name="%_NRA_model_for_NEMO2 (EMC Update) v0.21_NRA_model_for_NEMO2 (EMC Update) v0.25_NRA_model_for_NEMO2 (EMC Update) v0.29.3" xfId="1307" xr:uid="{00000000-0005-0000-0000-000019050000}"/>
    <cellStyle name="%_NRA_model_for_NEMO2 (EMC Update) v0.21_NRA_model_for_NEMO2 (EMC Update) v0.25_NRA_model_for_NEMO2 (EMC Update) v0.29.3_NRA_model_for_NEMO2 (EMC Update) v0 30 1" xfId="1310" xr:uid="{00000000-0005-0000-0000-00001A050000}"/>
    <cellStyle name="%_NRA_model_for_NEMO2 (EMC Update) v0.21_NRA_model_for_NEMO2 (EMC Update) v0.25_NRA_model_for_NEMO2 (EMC Update) v0.29.3_NRA_model_for_NEMO2 (EMC Update) v0.29.5" xfId="1308" xr:uid="{00000000-0005-0000-0000-00001B050000}"/>
    <cellStyle name="%_NRA_model_for_NEMO2 (EMC Update) v0.21_NRA_model_for_NEMO2 (EMC Update) v0.25_NRA_model_for_NEMO2 (EMC Update) v0.29.3_NRA_model_for_NEMO2 (EMC Update) v0.29.5_NRA_model_for_NEMO2 (EMC Update) v0 30 1" xfId="1309" xr:uid="{00000000-0005-0000-0000-00001C050000}"/>
    <cellStyle name="%_NRA_model_for_NEMO2 (EMC Update) v0.21_NRA_model_for_NEMO2 (EMC Update) v0.25_NRA_model_for_NEMO2 (EMC Update) v0.29.4" xfId="1311" xr:uid="{00000000-0005-0000-0000-00001D050000}"/>
    <cellStyle name="%_NRA_model_for_NEMO2 (EMC Update) v0.21_NRA_model_for_NEMO2 (EMC Update) v0.25_NRA_model_for_NEMO2 (EMC Update) v0.29.4_NRA_model_for_NEMO2 (EMC Update) v0 30 1" xfId="1314" xr:uid="{00000000-0005-0000-0000-00001E050000}"/>
    <cellStyle name="%_NRA_model_for_NEMO2 (EMC Update) v0.21_NRA_model_for_NEMO2 (EMC Update) v0.25_NRA_model_for_NEMO2 (EMC Update) v0.29.4_NRA_model_for_NEMO2 (EMC Update) v0.29.5" xfId="1312" xr:uid="{00000000-0005-0000-0000-00001F050000}"/>
    <cellStyle name="%_NRA_model_for_NEMO2 (EMC Update) v0.21_NRA_model_for_NEMO2 (EMC Update) v0.25_NRA_model_for_NEMO2 (EMC Update) v0.29.4_NRA_model_for_NEMO2 (EMC Update) v0.29.5_NRA_model_for_NEMO2 (EMC Update) v0 30 1" xfId="1313" xr:uid="{00000000-0005-0000-0000-000020050000}"/>
    <cellStyle name="%_NRA_model_for_NEMO2 (EMC Update) v0.21_NRA_model_for_NEMO2 (EMC Update) v0.25_NRA_model_for_NEMO2 (EMC Update) v0.29.5" xfId="1315" xr:uid="{00000000-0005-0000-0000-000021050000}"/>
    <cellStyle name="%_NRA_model_for_NEMO2 (EMC Update) v0.21_NRA_model_for_NEMO2 (EMC Update) v0.25_NRA_model_for_NEMO2 (EMC Update) v0.29.5_NRA_model_for_NEMO2 (EMC Update) v0 30 1" xfId="1316" xr:uid="{00000000-0005-0000-0000-000022050000}"/>
    <cellStyle name="%_NRA_model_for_NEMO2 (EMC Update) v0.21_NRA_model_for_NEMO2 (EMC Update) v0.25_NRA_model_for_NEMO2 (EMC Update) v0.29_NRA_model_for_NEMO2 (EMC Update) v0 30 1" xfId="1337" xr:uid="{00000000-0005-0000-0000-000023050000}"/>
    <cellStyle name="%_NRA_model_for_NEMO2 (EMC Update) v0.21_NRA_model_for_NEMO2 (EMC Update) v0.25_NRA_model_for_NEMO2 (EMC Update) v0.29_NRA_model_for_NEMO2 (EMC Update) v0.29.2" xfId="1317" xr:uid="{00000000-0005-0000-0000-000024050000}"/>
    <cellStyle name="%_NRA_model_for_NEMO2 (EMC Update) v0.21_NRA_model_for_NEMO2 (EMC Update) v0.25_NRA_model_for_NEMO2 (EMC Update) v0.29_NRA_model_for_NEMO2 (EMC Update) v0.29.2_NRA_model_for_NEMO2 (EMC Update) v0 30 1" xfId="1326" xr:uid="{00000000-0005-0000-0000-000025050000}"/>
    <cellStyle name="%_NRA_model_for_NEMO2 (EMC Update) v0.21_NRA_model_for_NEMO2 (EMC Update) v0.25_NRA_model_for_NEMO2 (EMC Update) v0.29_NRA_model_for_NEMO2 (EMC Update) v0.29.2_NRA_model_for_NEMO2 (EMC Update) v0.29.3" xfId="1318" xr:uid="{00000000-0005-0000-0000-000026050000}"/>
    <cellStyle name="%_NRA_model_for_NEMO2 (EMC Update) v0.21_NRA_model_for_NEMO2 (EMC Update) v0.25_NRA_model_for_NEMO2 (EMC Update) v0.29_NRA_model_for_NEMO2 (EMC Update) v0.29.2_NRA_model_for_NEMO2 (EMC Update) v0.29.3_NRA_model_for_NEMO2 (EMC Update) v0 30 1" xfId="1320" xr:uid="{00000000-0005-0000-0000-000027050000}"/>
    <cellStyle name="%_NRA_model_for_NEMO2 (EMC Update) v0.21_NRA_model_for_NEMO2 (EMC Update) v0.25_NRA_model_for_NEMO2 (EMC Update) v0.29_NRA_model_for_NEMO2 (EMC Update) v0.29.2_NRA_model_for_NEMO2 (EMC Update) v0.29.3_NRA_model_for_NEMO2 (EMC Update) v0.29.5" xfId="1319" xr:uid="{00000000-0005-0000-0000-000028050000}"/>
    <cellStyle name="%_NRA_model_for_NEMO2 (EMC Update) v0.21_NRA_model_for_NEMO2 (EMC Update) v0.25_NRA_model_for_NEMO2 (EMC Update) v0.29_NRA_model_for_NEMO2 (EMC Update) v0.29.2_NRA_model_for_NEMO2 (EMC Update) v0.29.4" xfId="1321" xr:uid="{00000000-0005-0000-0000-000029050000}"/>
    <cellStyle name="%_NRA_model_for_NEMO2 (EMC Update) v0.21_NRA_model_for_NEMO2 (EMC Update) v0.25_NRA_model_for_NEMO2 (EMC Update) v0.29_NRA_model_for_NEMO2 (EMC Update) v0.29.2_NRA_model_for_NEMO2 (EMC Update) v0.29.4_NRA_model_for_NEMO2 (EMC Update) v0 30 1" xfId="1323" xr:uid="{00000000-0005-0000-0000-00002A050000}"/>
    <cellStyle name="%_NRA_model_for_NEMO2 (EMC Update) v0.21_NRA_model_for_NEMO2 (EMC Update) v0.25_NRA_model_for_NEMO2 (EMC Update) v0.29_NRA_model_for_NEMO2 (EMC Update) v0.29.2_NRA_model_for_NEMO2 (EMC Update) v0.29.4_NRA_model_for_NEMO2 (EMC Update) v0.29.5" xfId="1322" xr:uid="{00000000-0005-0000-0000-00002B050000}"/>
    <cellStyle name="%_NRA_model_for_NEMO2 (EMC Update) v0.21_NRA_model_for_NEMO2 (EMC Update) v0.25_NRA_model_for_NEMO2 (EMC Update) v0.29_NRA_model_for_NEMO2 (EMC Update) v0.29.2_NRA_model_for_NEMO2 (EMC Update) v0.29.5" xfId="1324" xr:uid="{00000000-0005-0000-0000-00002C050000}"/>
    <cellStyle name="%_NRA_model_for_NEMO2 (EMC Update) v0.21_NRA_model_for_NEMO2 (EMC Update) v0.25_NRA_model_for_NEMO2 (EMC Update) v0.29_NRA_model_for_NEMO2 (EMC Update) v0.29.2_NRA_model_for_NEMO2 (EMC Update) v0.29.5_NRA_model_for_NEMO2 (EMC Update) v0 30 1" xfId="1325" xr:uid="{00000000-0005-0000-0000-00002D050000}"/>
    <cellStyle name="%_NRA_model_for_NEMO2 (EMC Update) v0.21_NRA_model_for_NEMO2 (EMC Update) v0.25_NRA_model_for_NEMO2 (EMC Update) v0.29_NRA_model_for_NEMO2 (EMC Update) v0.29.3" xfId="1327" xr:uid="{00000000-0005-0000-0000-00002E050000}"/>
    <cellStyle name="%_NRA_model_for_NEMO2 (EMC Update) v0.21_NRA_model_for_NEMO2 (EMC Update) v0.25_NRA_model_for_NEMO2 (EMC Update) v0.29_NRA_model_for_NEMO2 (EMC Update) v0.29.3_NRA_model_for_NEMO2 (EMC Update) v0 30 1" xfId="1330" xr:uid="{00000000-0005-0000-0000-00002F050000}"/>
    <cellStyle name="%_NRA_model_for_NEMO2 (EMC Update) v0.21_NRA_model_for_NEMO2 (EMC Update) v0.25_NRA_model_for_NEMO2 (EMC Update) v0.29_NRA_model_for_NEMO2 (EMC Update) v0.29.3_NRA_model_for_NEMO2 (EMC Update) v0.29.5" xfId="1328" xr:uid="{00000000-0005-0000-0000-000030050000}"/>
    <cellStyle name="%_NRA_model_for_NEMO2 (EMC Update) v0.21_NRA_model_for_NEMO2 (EMC Update) v0.25_NRA_model_for_NEMO2 (EMC Update) v0.29_NRA_model_for_NEMO2 (EMC Update) v0.29.3_NRA_model_for_NEMO2 (EMC Update) v0.29.5_NRA_model_for_NEMO2 (EMC Update) v0 30 1" xfId="1329" xr:uid="{00000000-0005-0000-0000-000031050000}"/>
    <cellStyle name="%_NRA_model_for_NEMO2 (EMC Update) v0.21_NRA_model_for_NEMO2 (EMC Update) v0.25_NRA_model_for_NEMO2 (EMC Update) v0.29_NRA_model_for_NEMO2 (EMC Update) v0.29.4" xfId="1331" xr:uid="{00000000-0005-0000-0000-000032050000}"/>
    <cellStyle name="%_NRA_model_for_NEMO2 (EMC Update) v0.21_NRA_model_for_NEMO2 (EMC Update) v0.25_NRA_model_for_NEMO2 (EMC Update) v0.29_NRA_model_for_NEMO2 (EMC Update) v0.29.4_NRA_model_for_NEMO2 (EMC Update) v0 30 1" xfId="1334" xr:uid="{00000000-0005-0000-0000-000033050000}"/>
    <cellStyle name="%_NRA_model_for_NEMO2 (EMC Update) v0.21_NRA_model_for_NEMO2 (EMC Update) v0.25_NRA_model_for_NEMO2 (EMC Update) v0.29_NRA_model_for_NEMO2 (EMC Update) v0.29.4_NRA_model_for_NEMO2 (EMC Update) v0.29.5" xfId="1332" xr:uid="{00000000-0005-0000-0000-000034050000}"/>
    <cellStyle name="%_NRA_model_for_NEMO2 (EMC Update) v0.21_NRA_model_for_NEMO2 (EMC Update) v0.25_NRA_model_for_NEMO2 (EMC Update) v0.29_NRA_model_for_NEMO2 (EMC Update) v0.29.4_NRA_model_for_NEMO2 (EMC Update) v0.29.5_NRA_model_for_NEMO2 (EMC Update) v0 30 1" xfId="1333" xr:uid="{00000000-0005-0000-0000-000035050000}"/>
    <cellStyle name="%_NRA_model_for_NEMO2 (EMC Update) v0.21_NRA_model_for_NEMO2 (EMC Update) v0.25_NRA_model_for_NEMO2 (EMC Update) v0.29_NRA_model_for_NEMO2 (EMC Update) v0.29.5" xfId="1335" xr:uid="{00000000-0005-0000-0000-000036050000}"/>
    <cellStyle name="%_NRA_model_for_NEMO2 (EMC Update) v0.21_NRA_model_for_NEMO2 (EMC Update) v0.25_NRA_model_for_NEMO2 (EMC Update) v0.29_NRA_model_for_NEMO2 (EMC Update) v0.29.5_NRA_model_for_NEMO2 (EMC Update) v0 30 1" xfId="1336" xr:uid="{00000000-0005-0000-0000-000037050000}"/>
    <cellStyle name="%_NRA_model_for_NEMO2 (EMC Update) v0.21_NRA_model_for_NEMO2 (EMC Update) v0.26" xfId="1339" xr:uid="{00000000-0005-0000-0000-000038050000}"/>
    <cellStyle name="%_NRA_model_for_NEMO2 (EMC Update) v0.21_NRA_model_for_NEMO2 (EMC Update) v0.26_NRA_model_for_NEMO2 (EMC Update) v0 30 1" xfId="1384" xr:uid="{00000000-0005-0000-0000-000039050000}"/>
    <cellStyle name="%_NRA_model_for_NEMO2 (EMC Update) v0.21_NRA_model_for_NEMO2 (EMC Update) v0.26_NRA_model_for_NEMO2 (EMC Update) v0.29" xfId="1340" xr:uid="{00000000-0005-0000-0000-00003A050000}"/>
    <cellStyle name="%_NRA_model_for_NEMO2 (EMC Update) v0.21_NRA_model_for_NEMO2 (EMC Update) v0.26_NRA_model_for_NEMO2 (EMC Update) v0.29.2" xfId="1341" xr:uid="{00000000-0005-0000-0000-00003B050000}"/>
    <cellStyle name="%_NRA_model_for_NEMO2 (EMC Update) v0.21_NRA_model_for_NEMO2 (EMC Update) v0.26_NRA_model_for_NEMO2 (EMC Update) v0.29.2_NRA_model_for_NEMO2 (EMC Update) v0 30 1" xfId="1352" xr:uid="{00000000-0005-0000-0000-00003C050000}"/>
    <cellStyle name="%_NRA_model_for_NEMO2 (EMC Update) v0.21_NRA_model_for_NEMO2 (EMC Update) v0.26_NRA_model_for_NEMO2 (EMC Update) v0.29.2_NRA_model_for_NEMO2 (EMC Update) v0.29.3" xfId="1342" xr:uid="{00000000-0005-0000-0000-00003D050000}"/>
    <cellStyle name="%_NRA_model_for_NEMO2 (EMC Update) v0.21_NRA_model_for_NEMO2 (EMC Update) v0.26_NRA_model_for_NEMO2 (EMC Update) v0.29.2_NRA_model_for_NEMO2 (EMC Update) v0.29.3_NRA_model_for_NEMO2 (EMC Update) v0 30 1" xfId="1345" xr:uid="{00000000-0005-0000-0000-00003E050000}"/>
    <cellStyle name="%_NRA_model_for_NEMO2 (EMC Update) v0.21_NRA_model_for_NEMO2 (EMC Update) v0.26_NRA_model_for_NEMO2 (EMC Update) v0.29.2_NRA_model_for_NEMO2 (EMC Update) v0.29.3_NRA_model_for_NEMO2 (EMC Update) v0.29.5" xfId="1343" xr:uid="{00000000-0005-0000-0000-00003F050000}"/>
    <cellStyle name="%_NRA_model_for_NEMO2 (EMC Update) v0.21_NRA_model_for_NEMO2 (EMC Update) v0.26_NRA_model_for_NEMO2 (EMC Update) v0.29.2_NRA_model_for_NEMO2 (EMC Update) v0.29.3_NRA_model_for_NEMO2 (EMC Update) v0.29.5_NRA_model_for_NEMO2 (EMC Update) v0 30 1" xfId="1344" xr:uid="{00000000-0005-0000-0000-000040050000}"/>
    <cellStyle name="%_NRA_model_for_NEMO2 (EMC Update) v0.21_NRA_model_for_NEMO2 (EMC Update) v0.26_NRA_model_for_NEMO2 (EMC Update) v0.29.2_NRA_model_for_NEMO2 (EMC Update) v0.29.4" xfId="1346" xr:uid="{00000000-0005-0000-0000-000041050000}"/>
    <cellStyle name="%_NRA_model_for_NEMO2 (EMC Update) v0.21_NRA_model_for_NEMO2 (EMC Update) v0.26_NRA_model_for_NEMO2 (EMC Update) v0.29.2_NRA_model_for_NEMO2 (EMC Update) v0.29.4_NRA_model_for_NEMO2 (EMC Update) v0 30 1" xfId="1349" xr:uid="{00000000-0005-0000-0000-000042050000}"/>
    <cellStyle name="%_NRA_model_for_NEMO2 (EMC Update) v0.21_NRA_model_for_NEMO2 (EMC Update) v0.26_NRA_model_for_NEMO2 (EMC Update) v0.29.2_NRA_model_for_NEMO2 (EMC Update) v0.29.4_NRA_model_for_NEMO2 (EMC Update) v0.29.5" xfId="1347" xr:uid="{00000000-0005-0000-0000-000043050000}"/>
    <cellStyle name="%_NRA_model_for_NEMO2 (EMC Update) v0.21_NRA_model_for_NEMO2 (EMC Update) v0.26_NRA_model_for_NEMO2 (EMC Update) v0.29.2_NRA_model_for_NEMO2 (EMC Update) v0.29.4_NRA_model_for_NEMO2 (EMC Update) v0.29.5_NRA_model_for_NEMO2 (EMC Update) v0 30 1" xfId="1348" xr:uid="{00000000-0005-0000-0000-000044050000}"/>
    <cellStyle name="%_NRA_model_for_NEMO2 (EMC Update) v0.21_NRA_model_for_NEMO2 (EMC Update) v0.26_NRA_model_for_NEMO2 (EMC Update) v0.29.2_NRA_model_for_NEMO2 (EMC Update) v0.29.5" xfId="1350" xr:uid="{00000000-0005-0000-0000-000045050000}"/>
    <cellStyle name="%_NRA_model_for_NEMO2 (EMC Update) v0.21_NRA_model_for_NEMO2 (EMC Update) v0.26_NRA_model_for_NEMO2 (EMC Update) v0.29.2_NRA_model_for_NEMO2 (EMC Update) v0.29.5_NRA_model_for_NEMO2 (EMC Update) v0 30 1" xfId="1351" xr:uid="{00000000-0005-0000-0000-000046050000}"/>
    <cellStyle name="%_NRA_model_for_NEMO2 (EMC Update) v0.21_NRA_model_for_NEMO2 (EMC Update) v0.26_NRA_model_for_NEMO2 (EMC Update) v0.29.3" xfId="1353" xr:uid="{00000000-0005-0000-0000-000047050000}"/>
    <cellStyle name="%_NRA_model_for_NEMO2 (EMC Update) v0.21_NRA_model_for_NEMO2 (EMC Update) v0.26_NRA_model_for_NEMO2 (EMC Update) v0.29.3_NRA_model_for_NEMO2 (EMC Update) v0 30 1" xfId="1356" xr:uid="{00000000-0005-0000-0000-000048050000}"/>
    <cellStyle name="%_NRA_model_for_NEMO2 (EMC Update) v0.21_NRA_model_for_NEMO2 (EMC Update) v0.26_NRA_model_for_NEMO2 (EMC Update) v0.29.3_NRA_model_for_NEMO2 (EMC Update) v0.29.5" xfId="1354" xr:uid="{00000000-0005-0000-0000-000049050000}"/>
    <cellStyle name="%_NRA_model_for_NEMO2 (EMC Update) v0.21_NRA_model_for_NEMO2 (EMC Update) v0.26_NRA_model_for_NEMO2 (EMC Update) v0.29.3_NRA_model_for_NEMO2 (EMC Update) v0.29.5_NRA_model_for_NEMO2 (EMC Update) v0 30 1" xfId="1355" xr:uid="{00000000-0005-0000-0000-00004A050000}"/>
    <cellStyle name="%_NRA_model_for_NEMO2 (EMC Update) v0.21_NRA_model_for_NEMO2 (EMC Update) v0.26_NRA_model_for_NEMO2 (EMC Update) v0.29.4" xfId="1357" xr:uid="{00000000-0005-0000-0000-00004B050000}"/>
    <cellStyle name="%_NRA_model_for_NEMO2 (EMC Update) v0.21_NRA_model_for_NEMO2 (EMC Update) v0.26_NRA_model_for_NEMO2 (EMC Update) v0.29.4_NRA_model_for_NEMO2 (EMC Update) v0 30 1" xfId="1360" xr:uid="{00000000-0005-0000-0000-00004C050000}"/>
    <cellStyle name="%_NRA_model_for_NEMO2 (EMC Update) v0.21_NRA_model_for_NEMO2 (EMC Update) v0.26_NRA_model_for_NEMO2 (EMC Update) v0.29.4_NRA_model_for_NEMO2 (EMC Update) v0.29.5" xfId="1358" xr:uid="{00000000-0005-0000-0000-00004D050000}"/>
    <cellStyle name="%_NRA_model_for_NEMO2 (EMC Update) v0.21_NRA_model_for_NEMO2 (EMC Update) v0.26_NRA_model_for_NEMO2 (EMC Update) v0.29.4_NRA_model_for_NEMO2 (EMC Update) v0.29.5_NRA_model_for_NEMO2 (EMC Update) v0 30 1" xfId="1359" xr:uid="{00000000-0005-0000-0000-00004E050000}"/>
    <cellStyle name="%_NRA_model_for_NEMO2 (EMC Update) v0.21_NRA_model_for_NEMO2 (EMC Update) v0.26_NRA_model_for_NEMO2 (EMC Update) v0.29.5" xfId="1361" xr:uid="{00000000-0005-0000-0000-00004F050000}"/>
    <cellStyle name="%_NRA_model_for_NEMO2 (EMC Update) v0.21_NRA_model_for_NEMO2 (EMC Update) v0.26_NRA_model_for_NEMO2 (EMC Update) v0.29.5_NRA_model_for_NEMO2 (EMC Update) v0 30 1" xfId="1362" xr:uid="{00000000-0005-0000-0000-000050050000}"/>
    <cellStyle name="%_NRA_model_for_NEMO2 (EMC Update) v0.21_NRA_model_for_NEMO2 (EMC Update) v0.26_NRA_model_for_NEMO2 (EMC Update) v0.29_NRA_model_for_NEMO2 (EMC Update) v0 30 1" xfId="1383" xr:uid="{00000000-0005-0000-0000-000051050000}"/>
    <cellStyle name="%_NRA_model_for_NEMO2 (EMC Update) v0.21_NRA_model_for_NEMO2 (EMC Update) v0.26_NRA_model_for_NEMO2 (EMC Update) v0.29_NRA_model_for_NEMO2 (EMC Update) v0.29.2" xfId="1363" xr:uid="{00000000-0005-0000-0000-000052050000}"/>
    <cellStyle name="%_NRA_model_for_NEMO2 (EMC Update) v0.21_NRA_model_for_NEMO2 (EMC Update) v0.26_NRA_model_for_NEMO2 (EMC Update) v0.29_NRA_model_for_NEMO2 (EMC Update) v0.29.2_NRA_model_for_NEMO2 (EMC Update) v0 30 1" xfId="1372" xr:uid="{00000000-0005-0000-0000-000053050000}"/>
    <cellStyle name="%_NRA_model_for_NEMO2 (EMC Update) v0.21_NRA_model_for_NEMO2 (EMC Update) v0.26_NRA_model_for_NEMO2 (EMC Update) v0.29_NRA_model_for_NEMO2 (EMC Update) v0.29.2_NRA_model_for_NEMO2 (EMC Update) v0.29.3" xfId="1364" xr:uid="{00000000-0005-0000-0000-000054050000}"/>
    <cellStyle name="%_NRA_model_for_NEMO2 (EMC Update) v0.21_NRA_model_for_NEMO2 (EMC Update) v0.26_NRA_model_for_NEMO2 (EMC Update) v0.29_NRA_model_for_NEMO2 (EMC Update) v0.29.2_NRA_model_for_NEMO2 (EMC Update) v0.29.3_NRA_model_for_NEMO2 (EMC Update) v0 30 1" xfId="1366" xr:uid="{00000000-0005-0000-0000-000055050000}"/>
    <cellStyle name="%_NRA_model_for_NEMO2 (EMC Update) v0.21_NRA_model_for_NEMO2 (EMC Update) v0.26_NRA_model_for_NEMO2 (EMC Update) v0.29_NRA_model_for_NEMO2 (EMC Update) v0.29.2_NRA_model_for_NEMO2 (EMC Update) v0.29.3_NRA_model_for_NEMO2 (EMC Update) v0.29.5" xfId="1365" xr:uid="{00000000-0005-0000-0000-000056050000}"/>
    <cellStyle name="%_NRA_model_for_NEMO2 (EMC Update) v0.21_NRA_model_for_NEMO2 (EMC Update) v0.26_NRA_model_for_NEMO2 (EMC Update) v0.29_NRA_model_for_NEMO2 (EMC Update) v0.29.2_NRA_model_for_NEMO2 (EMC Update) v0.29.4" xfId="1367" xr:uid="{00000000-0005-0000-0000-000057050000}"/>
    <cellStyle name="%_NRA_model_for_NEMO2 (EMC Update) v0.21_NRA_model_for_NEMO2 (EMC Update) v0.26_NRA_model_for_NEMO2 (EMC Update) v0.29_NRA_model_for_NEMO2 (EMC Update) v0.29.2_NRA_model_for_NEMO2 (EMC Update) v0.29.4_NRA_model_for_NEMO2 (EMC Update) v0 30 1" xfId="1369" xr:uid="{00000000-0005-0000-0000-000058050000}"/>
    <cellStyle name="%_NRA_model_for_NEMO2 (EMC Update) v0.21_NRA_model_for_NEMO2 (EMC Update) v0.26_NRA_model_for_NEMO2 (EMC Update) v0.29_NRA_model_for_NEMO2 (EMC Update) v0.29.2_NRA_model_for_NEMO2 (EMC Update) v0.29.4_NRA_model_for_NEMO2 (EMC Update) v0.29.5" xfId="1368" xr:uid="{00000000-0005-0000-0000-000059050000}"/>
    <cellStyle name="%_NRA_model_for_NEMO2 (EMC Update) v0.21_NRA_model_for_NEMO2 (EMC Update) v0.26_NRA_model_for_NEMO2 (EMC Update) v0.29_NRA_model_for_NEMO2 (EMC Update) v0.29.2_NRA_model_for_NEMO2 (EMC Update) v0.29.5" xfId="1370" xr:uid="{00000000-0005-0000-0000-00005A050000}"/>
    <cellStyle name="%_NRA_model_for_NEMO2 (EMC Update) v0.21_NRA_model_for_NEMO2 (EMC Update) v0.26_NRA_model_for_NEMO2 (EMC Update) v0.29_NRA_model_for_NEMO2 (EMC Update) v0.29.2_NRA_model_for_NEMO2 (EMC Update) v0.29.5_NRA_model_for_NEMO2 (EMC Update) v0 30 1" xfId="1371" xr:uid="{00000000-0005-0000-0000-00005B050000}"/>
    <cellStyle name="%_NRA_model_for_NEMO2 (EMC Update) v0.21_NRA_model_for_NEMO2 (EMC Update) v0.26_NRA_model_for_NEMO2 (EMC Update) v0.29_NRA_model_for_NEMO2 (EMC Update) v0.29.3" xfId="1373" xr:uid="{00000000-0005-0000-0000-00005C050000}"/>
    <cellStyle name="%_NRA_model_for_NEMO2 (EMC Update) v0.21_NRA_model_for_NEMO2 (EMC Update) v0.26_NRA_model_for_NEMO2 (EMC Update) v0.29_NRA_model_for_NEMO2 (EMC Update) v0.29.3_NRA_model_for_NEMO2 (EMC Update) v0 30 1" xfId="1376" xr:uid="{00000000-0005-0000-0000-00005D050000}"/>
    <cellStyle name="%_NRA_model_for_NEMO2 (EMC Update) v0.21_NRA_model_for_NEMO2 (EMC Update) v0.26_NRA_model_for_NEMO2 (EMC Update) v0.29_NRA_model_for_NEMO2 (EMC Update) v0.29.3_NRA_model_for_NEMO2 (EMC Update) v0.29.5" xfId="1374" xr:uid="{00000000-0005-0000-0000-00005E050000}"/>
    <cellStyle name="%_NRA_model_for_NEMO2 (EMC Update) v0.21_NRA_model_for_NEMO2 (EMC Update) v0.26_NRA_model_for_NEMO2 (EMC Update) v0.29_NRA_model_for_NEMO2 (EMC Update) v0.29.3_NRA_model_for_NEMO2 (EMC Update) v0.29.5_NRA_model_for_NEMO2 (EMC Update) v0 30 1" xfId="1375" xr:uid="{00000000-0005-0000-0000-00005F050000}"/>
    <cellStyle name="%_NRA_model_for_NEMO2 (EMC Update) v0.21_NRA_model_for_NEMO2 (EMC Update) v0.26_NRA_model_for_NEMO2 (EMC Update) v0.29_NRA_model_for_NEMO2 (EMC Update) v0.29.4" xfId="1377" xr:uid="{00000000-0005-0000-0000-000060050000}"/>
    <cellStyle name="%_NRA_model_for_NEMO2 (EMC Update) v0.21_NRA_model_for_NEMO2 (EMC Update) v0.26_NRA_model_for_NEMO2 (EMC Update) v0.29_NRA_model_for_NEMO2 (EMC Update) v0.29.4_NRA_model_for_NEMO2 (EMC Update) v0 30 1" xfId="1380" xr:uid="{00000000-0005-0000-0000-000061050000}"/>
    <cellStyle name="%_NRA_model_for_NEMO2 (EMC Update) v0.21_NRA_model_for_NEMO2 (EMC Update) v0.26_NRA_model_for_NEMO2 (EMC Update) v0.29_NRA_model_for_NEMO2 (EMC Update) v0.29.4_NRA_model_for_NEMO2 (EMC Update) v0.29.5" xfId="1378" xr:uid="{00000000-0005-0000-0000-000062050000}"/>
    <cellStyle name="%_NRA_model_for_NEMO2 (EMC Update) v0.21_NRA_model_for_NEMO2 (EMC Update) v0.26_NRA_model_for_NEMO2 (EMC Update) v0.29_NRA_model_for_NEMO2 (EMC Update) v0.29.4_NRA_model_for_NEMO2 (EMC Update) v0.29.5_NRA_model_for_NEMO2 (EMC Update) v0 30 1" xfId="1379" xr:uid="{00000000-0005-0000-0000-000063050000}"/>
    <cellStyle name="%_NRA_model_for_NEMO2 (EMC Update) v0.21_NRA_model_for_NEMO2 (EMC Update) v0.26_NRA_model_for_NEMO2 (EMC Update) v0.29_NRA_model_for_NEMO2 (EMC Update) v0.29.5" xfId="1381" xr:uid="{00000000-0005-0000-0000-000064050000}"/>
    <cellStyle name="%_NRA_model_for_NEMO2 (EMC Update) v0.21_NRA_model_for_NEMO2 (EMC Update) v0.26_NRA_model_for_NEMO2 (EMC Update) v0.29_NRA_model_for_NEMO2 (EMC Update) v0.29.5_NRA_model_for_NEMO2 (EMC Update) v0 30 1" xfId="1382" xr:uid="{00000000-0005-0000-0000-000065050000}"/>
    <cellStyle name="%_NRA_model_for_NEMO2 (EMC Update) v0.21_NRA_model_for_NEMO2 (EMC Update) v0.29" xfId="1385" xr:uid="{00000000-0005-0000-0000-000066050000}"/>
    <cellStyle name="%_NRA_model_for_NEMO2 (EMC Update) v0.21_NRA_model_for_NEMO2 (EMC Update) v0.29.2" xfId="1386" xr:uid="{00000000-0005-0000-0000-000067050000}"/>
    <cellStyle name="%_NRA_model_for_NEMO2 (EMC Update) v0.21_NRA_model_for_NEMO2 (EMC Update) v0.29.2_NRA_model_for_NEMO2 (EMC Update) v0 30 1" xfId="1397" xr:uid="{00000000-0005-0000-0000-000068050000}"/>
    <cellStyle name="%_NRA_model_for_NEMO2 (EMC Update) v0.21_NRA_model_for_NEMO2 (EMC Update) v0.29.2_NRA_model_for_NEMO2 (EMC Update) v0.29.3" xfId="1387" xr:uid="{00000000-0005-0000-0000-000069050000}"/>
    <cellStyle name="%_NRA_model_for_NEMO2 (EMC Update) v0.21_NRA_model_for_NEMO2 (EMC Update) v0.29.2_NRA_model_for_NEMO2 (EMC Update) v0.29.3_NRA_model_for_NEMO2 (EMC Update) v0 30 1" xfId="1390" xr:uid="{00000000-0005-0000-0000-00006A050000}"/>
    <cellStyle name="%_NRA_model_for_NEMO2 (EMC Update) v0.21_NRA_model_for_NEMO2 (EMC Update) v0.29.2_NRA_model_for_NEMO2 (EMC Update) v0.29.3_NRA_model_for_NEMO2 (EMC Update) v0.29.5" xfId="1388" xr:uid="{00000000-0005-0000-0000-00006B050000}"/>
    <cellStyle name="%_NRA_model_for_NEMO2 (EMC Update) v0.21_NRA_model_for_NEMO2 (EMC Update) v0.29.2_NRA_model_for_NEMO2 (EMC Update) v0.29.3_NRA_model_for_NEMO2 (EMC Update) v0.29.5_NRA_model_for_NEMO2 (EMC Update) v0 30 1" xfId="1389" xr:uid="{00000000-0005-0000-0000-00006C050000}"/>
    <cellStyle name="%_NRA_model_for_NEMO2 (EMC Update) v0.21_NRA_model_for_NEMO2 (EMC Update) v0.29.2_NRA_model_for_NEMO2 (EMC Update) v0.29.4" xfId="1391" xr:uid="{00000000-0005-0000-0000-00006D050000}"/>
    <cellStyle name="%_NRA_model_for_NEMO2 (EMC Update) v0.21_NRA_model_for_NEMO2 (EMC Update) v0.29.2_NRA_model_for_NEMO2 (EMC Update) v0.29.4_NRA_model_for_NEMO2 (EMC Update) v0 30 1" xfId="1394" xr:uid="{00000000-0005-0000-0000-00006E050000}"/>
    <cellStyle name="%_NRA_model_for_NEMO2 (EMC Update) v0.21_NRA_model_for_NEMO2 (EMC Update) v0.29.2_NRA_model_for_NEMO2 (EMC Update) v0.29.4_NRA_model_for_NEMO2 (EMC Update) v0.29.5" xfId="1392" xr:uid="{00000000-0005-0000-0000-00006F050000}"/>
    <cellStyle name="%_NRA_model_for_NEMO2 (EMC Update) v0.21_NRA_model_for_NEMO2 (EMC Update) v0.29.2_NRA_model_for_NEMO2 (EMC Update) v0.29.4_NRA_model_for_NEMO2 (EMC Update) v0.29.5_NRA_model_for_NEMO2 (EMC Update) v0 30 1" xfId="1393" xr:uid="{00000000-0005-0000-0000-000070050000}"/>
    <cellStyle name="%_NRA_model_for_NEMO2 (EMC Update) v0.21_NRA_model_for_NEMO2 (EMC Update) v0.29.2_NRA_model_for_NEMO2 (EMC Update) v0.29.5" xfId="1395" xr:uid="{00000000-0005-0000-0000-000071050000}"/>
    <cellStyle name="%_NRA_model_for_NEMO2 (EMC Update) v0.21_NRA_model_for_NEMO2 (EMC Update) v0.29.2_NRA_model_for_NEMO2 (EMC Update) v0.29.5_NRA_model_for_NEMO2 (EMC Update) v0 30 1" xfId="1396" xr:uid="{00000000-0005-0000-0000-000072050000}"/>
    <cellStyle name="%_NRA_model_for_NEMO2 (EMC Update) v0.21_NRA_model_for_NEMO2 (EMC Update) v0.29.3" xfId="1398" xr:uid="{00000000-0005-0000-0000-000073050000}"/>
    <cellStyle name="%_NRA_model_for_NEMO2 (EMC Update) v0.21_NRA_model_for_NEMO2 (EMC Update) v0.29.3_NRA_model_for_NEMO2 (EMC Update) v0 30 1" xfId="1401" xr:uid="{00000000-0005-0000-0000-000074050000}"/>
    <cellStyle name="%_NRA_model_for_NEMO2 (EMC Update) v0.21_NRA_model_for_NEMO2 (EMC Update) v0.29.3_NRA_model_for_NEMO2 (EMC Update) v0.29.5" xfId="1399" xr:uid="{00000000-0005-0000-0000-000075050000}"/>
    <cellStyle name="%_NRA_model_for_NEMO2 (EMC Update) v0.21_NRA_model_for_NEMO2 (EMC Update) v0.29.3_NRA_model_for_NEMO2 (EMC Update) v0.29.5_NRA_model_for_NEMO2 (EMC Update) v0 30 1" xfId="1400" xr:uid="{00000000-0005-0000-0000-000076050000}"/>
    <cellStyle name="%_NRA_model_for_NEMO2 (EMC Update) v0.21_NRA_model_for_NEMO2 (EMC Update) v0.29.4" xfId="1402" xr:uid="{00000000-0005-0000-0000-000077050000}"/>
    <cellStyle name="%_NRA_model_for_NEMO2 (EMC Update) v0.21_NRA_model_for_NEMO2 (EMC Update) v0.29.4_NRA_model_for_NEMO2 (EMC Update) v0 30 1" xfId="1405" xr:uid="{00000000-0005-0000-0000-000078050000}"/>
    <cellStyle name="%_NRA_model_for_NEMO2 (EMC Update) v0.21_NRA_model_for_NEMO2 (EMC Update) v0.29.4_NRA_model_for_NEMO2 (EMC Update) v0.29.5" xfId="1403" xr:uid="{00000000-0005-0000-0000-000079050000}"/>
    <cellStyle name="%_NRA_model_for_NEMO2 (EMC Update) v0.21_NRA_model_for_NEMO2 (EMC Update) v0.29.4_NRA_model_for_NEMO2 (EMC Update) v0.29.5_NRA_model_for_NEMO2 (EMC Update) v0 30 1" xfId="1404" xr:uid="{00000000-0005-0000-0000-00007A050000}"/>
    <cellStyle name="%_NRA_model_for_NEMO2 (EMC Update) v0.21_NRA_model_for_NEMO2 (EMC Update) v0.29.5" xfId="1406" xr:uid="{00000000-0005-0000-0000-00007B050000}"/>
    <cellStyle name="%_NRA_model_for_NEMO2 (EMC Update) v0.21_NRA_model_for_NEMO2 (EMC Update) v0.29.5_NRA_model_for_NEMO2 (EMC Update) v0 30 1" xfId="1407" xr:uid="{00000000-0005-0000-0000-00007C050000}"/>
    <cellStyle name="%_NRA_model_for_NEMO2 (EMC Update) v0.21_NRA_model_for_NEMO2 (EMC Update) v0.29_NRA_model_for_NEMO2 (EMC Update) v0 30 1" xfId="1430" xr:uid="{00000000-0005-0000-0000-00007D050000}"/>
    <cellStyle name="%_NRA_model_for_NEMO2 (EMC Update) v0.21_NRA_model_for_NEMO2 (EMC Update) v0.29_NRA_model_for_NEMO2 (EMC Update) v0.29.2" xfId="1408" xr:uid="{00000000-0005-0000-0000-00007E050000}"/>
    <cellStyle name="%_NRA_model_for_NEMO2 (EMC Update) v0.21_NRA_model_for_NEMO2 (EMC Update) v0.29_NRA_model_for_NEMO2 (EMC Update) v0.29.2_NRA_model_for_NEMO2 (EMC Update) v0 30 1" xfId="1419" xr:uid="{00000000-0005-0000-0000-00007F050000}"/>
    <cellStyle name="%_NRA_model_for_NEMO2 (EMC Update) v0.21_NRA_model_for_NEMO2 (EMC Update) v0.29_NRA_model_for_NEMO2 (EMC Update) v0.29.2_NRA_model_for_NEMO2 (EMC Update) v0.29.3" xfId="1409" xr:uid="{00000000-0005-0000-0000-000080050000}"/>
    <cellStyle name="%_NRA_model_for_NEMO2 (EMC Update) v0.21_NRA_model_for_NEMO2 (EMC Update) v0.29_NRA_model_for_NEMO2 (EMC Update) v0.29.2_NRA_model_for_NEMO2 (EMC Update) v0.29.3_NRA_model_for_NEMO2 (EMC Update) v0 30 1" xfId="1412" xr:uid="{00000000-0005-0000-0000-000081050000}"/>
    <cellStyle name="%_NRA_model_for_NEMO2 (EMC Update) v0.21_NRA_model_for_NEMO2 (EMC Update) v0.29_NRA_model_for_NEMO2 (EMC Update) v0.29.2_NRA_model_for_NEMO2 (EMC Update) v0.29.3_NRA_model_for_NEMO2 (EMC Update) v0.29.5" xfId="1410" xr:uid="{00000000-0005-0000-0000-000082050000}"/>
    <cellStyle name="%_NRA_model_for_NEMO2 (EMC Update) v0.21_NRA_model_for_NEMO2 (EMC Update) v0.29_NRA_model_for_NEMO2 (EMC Update) v0.29.2_NRA_model_for_NEMO2 (EMC Update) v0.29.3_NRA_model_for_NEMO2 (EMC Update) v0.29.5_NRA_model_for_NEMO2 (EMC Update) v0 30 1" xfId="1411" xr:uid="{00000000-0005-0000-0000-000083050000}"/>
    <cellStyle name="%_NRA_model_for_NEMO2 (EMC Update) v0.21_NRA_model_for_NEMO2 (EMC Update) v0.29_NRA_model_for_NEMO2 (EMC Update) v0.29.2_NRA_model_for_NEMO2 (EMC Update) v0.29.4" xfId="1413" xr:uid="{00000000-0005-0000-0000-000084050000}"/>
    <cellStyle name="%_NRA_model_for_NEMO2 (EMC Update) v0.21_NRA_model_for_NEMO2 (EMC Update) v0.29_NRA_model_for_NEMO2 (EMC Update) v0.29.2_NRA_model_for_NEMO2 (EMC Update) v0.29.4_NRA_model_for_NEMO2 (EMC Update) v0 30 1" xfId="1416" xr:uid="{00000000-0005-0000-0000-000085050000}"/>
    <cellStyle name="%_NRA_model_for_NEMO2 (EMC Update) v0.21_NRA_model_for_NEMO2 (EMC Update) v0.29_NRA_model_for_NEMO2 (EMC Update) v0.29.2_NRA_model_for_NEMO2 (EMC Update) v0.29.4_NRA_model_for_NEMO2 (EMC Update) v0.29.5" xfId="1414" xr:uid="{00000000-0005-0000-0000-000086050000}"/>
    <cellStyle name="%_NRA_model_for_NEMO2 (EMC Update) v0.21_NRA_model_for_NEMO2 (EMC Update) v0.29_NRA_model_for_NEMO2 (EMC Update) v0.29.2_NRA_model_for_NEMO2 (EMC Update) v0.29.4_NRA_model_for_NEMO2 (EMC Update) v0.29.5_NRA_model_for_NEMO2 (EMC Update) v0 30 1" xfId="1415" xr:uid="{00000000-0005-0000-0000-000087050000}"/>
    <cellStyle name="%_NRA_model_for_NEMO2 (EMC Update) v0.21_NRA_model_for_NEMO2 (EMC Update) v0.29_NRA_model_for_NEMO2 (EMC Update) v0.29.2_NRA_model_for_NEMO2 (EMC Update) v0.29.5" xfId="1417" xr:uid="{00000000-0005-0000-0000-000088050000}"/>
    <cellStyle name="%_NRA_model_for_NEMO2 (EMC Update) v0.21_NRA_model_for_NEMO2 (EMC Update) v0.29_NRA_model_for_NEMO2 (EMC Update) v0.29.2_NRA_model_for_NEMO2 (EMC Update) v0.29.5_NRA_model_for_NEMO2 (EMC Update) v0 30 1" xfId="1418" xr:uid="{00000000-0005-0000-0000-000089050000}"/>
    <cellStyle name="%_NRA_model_for_NEMO2 (EMC Update) v0.21_NRA_model_for_NEMO2 (EMC Update) v0.29_NRA_model_for_NEMO2 (EMC Update) v0.29.3" xfId="1420" xr:uid="{00000000-0005-0000-0000-00008A050000}"/>
    <cellStyle name="%_NRA_model_for_NEMO2 (EMC Update) v0.21_NRA_model_for_NEMO2 (EMC Update) v0.29_NRA_model_for_NEMO2 (EMC Update) v0.29.3_NRA_model_for_NEMO2 (EMC Update) v0 30 1" xfId="1423" xr:uid="{00000000-0005-0000-0000-00008B050000}"/>
    <cellStyle name="%_NRA_model_for_NEMO2 (EMC Update) v0.21_NRA_model_for_NEMO2 (EMC Update) v0.29_NRA_model_for_NEMO2 (EMC Update) v0.29.3_NRA_model_for_NEMO2 (EMC Update) v0.29.5" xfId="1421" xr:uid="{00000000-0005-0000-0000-00008C050000}"/>
    <cellStyle name="%_NRA_model_for_NEMO2 (EMC Update) v0.21_NRA_model_for_NEMO2 (EMC Update) v0.29_NRA_model_for_NEMO2 (EMC Update) v0.29.3_NRA_model_for_NEMO2 (EMC Update) v0.29.5_NRA_model_for_NEMO2 (EMC Update) v0 30 1" xfId="1422" xr:uid="{00000000-0005-0000-0000-00008D050000}"/>
    <cellStyle name="%_NRA_model_for_NEMO2 (EMC Update) v0.21_NRA_model_for_NEMO2 (EMC Update) v0.29_NRA_model_for_NEMO2 (EMC Update) v0.29.4" xfId="1424" xr:uid="{00000000-0005-0000-0000-00008E050000}"/>
    <cellStyle name="%_NRA_model_for_NEMO2 (EMC Update) v0.21_NRA_model_for_NEMO2 (EMC Update) v0.29_NRA_model_for_NEMO2 (EMC Update) v0.29.4_NRA_model_for_NEMO2 (EMC Update) v0 30 1" xfId="1427" xr:uid="{00000000-0005-0000-0000-00008F050000}"/>
    <cellStyle name="%_NRA_model_for_NEMO2 (EMC Update) v0.21_NRA_model_for_NEMO2 (EMC Update) v0.29_NRA_model_for_NEMO2 (EMC Update) v0.29.4_NRA_model_for_NEMO2 (EMC Update) v0.29.5" xfId="1425" xr:uid="{00000000-0005-0000-0000-000090050000}"/>
    <cellStyle name="%_NRA_model_for_NEMO2 (EMC Update) v0.21_NRA_model_for_NEMO2 (EMC Update) v0.29_NRA_model_for_NEMO2 (EMC Update) v0.29.4_NRA_model_for_NEMO2 (EMC Update) v0.29.5_NRA_model_for_NEMO2 (EMC Update) v0 30 1" xfId="1426" xr:uid="{00000000-0005-0000-0000-000091050000}"/>
    <cellStyle name="%_NRA_model_for_NEMO2 (EMC Update) v0.21_NRA_model_for_NEMO2 (EMC Update) v0.29_NRA_model_for_NEMO2 (EMC Update) v0.29.5" xfId="1428" xr:uid="{00000000-0005-0000-0000-000092050000}"/>
    <cellStyle name="%_NRA_model_for_NEMO2 (EMC Update) v0.21_NRA_model_for_NEMO2 (EMC Update) v0.29_NRA_model_for_NEMO2 (EMC Update) v0.29.5_NRA_model_for_NEMO2 (EMC Update) v0 30 1" xfId="1429" xr:uid="{00000000-0005-0000-0000-000093050000}"/>
    <cellStyle name="%_NRA_model_for_NEMO2 (EMC Update) v0.22" xfId="1432" xr:uid="{00000000-0005-0000-0000-000094050000}"/>
    <cellStyle name="%_NRA_model_for_NEMO2 (EMC Update) v0.22_NRA_model_for_NEMO2 (EMC Update) v0 30 1" xfId="1608" xr:uid="{00000000-0005-0000-0000-000095050000}"/>
    <cellStyle name="%_NRA_model_for_NEMO2 (EMC Update) v0.22_NRA_model_for_NEMO2 (EMC Update) v0.25" xfId="1433" xr:uid="{00000000-0005-0000-0000-000096050000}"/>
    <cellStyle name="%_NRA_model_for_NEMO2 (EMC Update) v0.22_NRA_model_for_NEMO2 (EMC Update) v0.25_NRA_model_for_NEMO2 (EMC Update) v0 30 1" xfId="1515" xr:uid="{00000000-0005-0000-0000-000097050000}"/>
    <cellStyle name="%_NRA_model_for_NEMO2 (EMC Update) v0.22_NRA_model_for_NEMO2 (EMC Update) v0.25_NRA_model_for_NEMO2 (EMC Update) v0.26" xfId="1434" xr:uid="{00000000-0005-0000-0000-000098050000}"/>
    <cellStyle name="%_NRA_model_for_NEMO2 (EMC Update) v0.22_NRA_model_for_NEMO2 (EMC Update) v0.25_NRA_model_for_NEMO2 (EMC Update) v0.26_NRA_model_for_NEMO2 (EMC Update) v0 30 1" xfId="1470" xr:uid="{00000000-0005-0000-0000-000099050000}"/>
    <cellStyle name="%_NRA_model_for_NEMO2 (EMC Update) v0.22_NRA_model_for_NEMO2 (EMC Update) v0.25_NRA_model_for_NEMO2 (EMC Update) v0.26_NRA_model_for_NEMO2 (EMC Update) v0.29" xfId="1435" xr:uid="{00000000-0005-0000-0000-00009A050000}"/>
    <cellStyle name="%_NRA_model_for_NEMO2 (EMC Update) v0.22_NRA_model_for_NEMO2 (EMC Update) v0.25_NRA_model_for_NEMO2 (EMC Update) v0.26_NRA_model_for_NEMO2 (EMC Update) v0.29.2" xfId="1436" xr:uid="{00000000-0005-0000-0000-00009B050000}"/>
    <cellStyle name="%_NRA_model_for_NEMO2 (EMC Update) v0.22_NRA_model_for_NEMO2 (EMC Update) v0.25_NRA_model_for_NEMO2 (EMC Update) v0.26_NRA_model_for_NEMO2 (EMC Update) v0.29.2_NRA_model_for_NEMO2 (EMC Update) v0 30 1" xfId="1445" xr:uid="{00000000-0005-0000-0000-00009C050000}"/>
    <cellStyle name="%_NRA_model_for_NEMO2 (EMC Update) v0.22_NRA_model_for_NEMO2 (EMC Update) v0.25_NRA_model_for_NEMO2 (EMC Update) v0.26_NRA_model_for_NEMO2 (EMC Update) v0.29.2_NRA_model_for_NEMO2 (EMC Update) v0.29.3" xfId="1437" xr:uid="{00000000-0005-0000-0000-00009D050000}"/>
    <cellStyle name="%_NRA_model_for_NEMO2 (EMC Update) v0.22_NRA_model_for_NEMO2 (EMC Update) v0.25_NRA_model_for_NEMO2 (EMC Update) v0.26_NRA_model_for_NEMO2 (EMC Update) v0.29.2_NRA_model_for_NEMO2 (EMC Update) v0.29.3_NRA_model_for_NEMO2 (EMC Update) v0 30 1" xfId="1439" xr:uid="{00000000-0005-0000-0000-00009E050000}"/>
    <cellStyle name="%_NRA_model_for_NEMO2 (EMC Update) v0.22_NRA_model_for_NEMO2 (EMC Update) v0.25_NRA_model_for_NEMO2 (EMC Update) v0.26_NRA_model_for_NEMO2 (EMC Update) v0.29.2_NRA_model_for_NEMO2 (EMC Update) v0.29.3_NRA_model_for_NEMO2 (EMC Update) v0.29.5" xfId="1438" xr:uid="{00000000-0005-0000-0000-00009F050000}"/>
    <cellStyle name="%_NRA_model_for_NEMO2 (EMC Update) v0.22_NRA_model_for_NEMO2 (EMC Update) v0.25_NRA_model_for_NEMO2 (EMC Update) v0.26_NRA_model_for_NEMO2 (EMC Update) v0.29.2_NRA_model_for_NEMO2 (EMC Update) v0.29.4" xfId="1440" xr:uid="{00000000-0005-0000-0000-0000A0050000}"/>
    <cellStyle name="%_NRA_model_for_NEMO2 (EMC Update) v0.22_NRA_model_for_NEMO2 (EMC Update) v0.25_NRA_model_for_NEMO2 (EMC Update) v0.26_NRA_model_for_NEMO2 (EMC Update) v0.29.2_NRA_model_for_NEMO2 (EMC Update) v0.29.4_NRA_model_for_NEMO2 (EMC Update) v0 30 1" xfId="1442" xr:uid="{00000000-0005-0000-0000-0000A1050000}"/>
    <cellStyle name="%_NRA_model_for_NEMO2 (EMC Update) v0.22_NRA_model_for_NEMO2 (EMC Update) v0.25_NRA_model_for_NEMO2 (EMC Update) v0.26_NRA_model_for_NEMO2 (EMC Update) v0.29.2_NRA_model_for_NEMO2 (EMC Update) v0.29.4_NRA_model_for_NEMO2 (EMC Update) v0.29.5" xfId="1441" xr:uid="{00000000-0005-0000-0000-0000A2050000}"/>
    <cellStyle name="%_NRA_model_for_NEMO2 (EMC Update) v0.22_NRA_model_for_NEMO2 (EMC Update) v0.25_NRA_model_for_NEMO2 (EMC Update) v0.26_NRA_model_for_NEMO2 (EMC Update) v0.29.2_NRA_model_for_NEMO2 (EMC Update) v0.29.5" xfId="1443" xr:uid="{00000000-0005-0000-0000-0000A3050000}"/>
    <cellStyle name="%_NRA_model_for_NEMO2 (EMC Update) v0.22_NRA_model_for_NEMO2 (EMC Update) v0.25_NRA_model_for_NEMO2 (EMC Update) v0.26_NRA_model_for_NEMO2 (EMC Update) v0.29.2_NRA_model_for_NEMO2 (EMC Update) v0.29.5_NRA_model_for_NEMO2 (EMC Update) v0 30 1" xfId="1444" xr:uid="{00000000-0005-0000-0000-0000A4050000}"/>
    <cellStyle name="%_NRA_model_for_NEMO2 (EMC Update) v0.22_NRA_model_for_NEMO2 (EMC Update) v0.25_NRA_model_for_NEMO2 (EMC Update) v0.26_NRA_model_for_NEMO2 (EMC Update) v0.29.3" xfId="1446" xr:uid="{00000000-0005-0000-0000-0000A5050000}"/>
    <cellStyle name="%_NRA_model_for_NEMO2 (EMC Update) v0.22_NRA_model_for_NEMO2 (EMC Update) v0.25_NRA_model_for_NEMO2 (EMC Update) v0.26_NRA_model_for_NEMO2 (EMC Update) v0.29.3_NRA_model_for_NEMO2 (EMC Update) v0 30 1" xfId="1449" xr:uid="{00000000-0005-0000-0000-0000A6050000}"/>
    <cellStyle name="%_NRA_model_for_NEMO2 (EMC Update) v0.22_NRA_model_for_NEMO2 (EMC Update) v0.25_NRA_model_for_NEMO2 (EMC Update) v0.26_NRA_model_for_NEMO2 (EMC Update) v0.29.3_NRA_model_for_NEMO2 (EMC Update) v0.29.5" xfId="1447" xr:uid="{00000000-0005-0000-0000-0000A7050000}"/>
    <cellStyle name="%_NRA_model_for_NEMO2 (EMC Update) v0.22_NRA_model_for_NEMO2 (EMC Update) v0.25_NRA_model_for_NEMO2 (EMC Update) v0.26_NRA_model_for_NEMO2 (EMC Update) v0.29.3_NRA_model_for_NEMO2 (EMC Update) v0.29.5_NRA_model_for_NEMO2 (EMC Update) v0 30 1" xfId="1448" xr:uid="{00000000-0005-0000-0000-0000A8050000}"/>
    <cellStyle name="%_NRA_model_for_NEMO2 (EMC Update) v0.22_NRA_model_for_NEMO2 (EMC Update) v0.25_NRA_model_for_NEMO2 (EMC Update) v0.26_NRA_model_for_NEMO2 (EMC Update) v0.29.4" xfId="1450" xr:uid="{00000000-0005-0000-0000-0000A9050000}"/>
    <cellStyle name="%_NRA_model_for_NEMO2 (EMC Update) v0.22_NRA_model_for_NEMO2 (EMC Update) v0.25_NRA_model_for_NEMO2 (EMC Update) v0.26_NRA_model_for_NEMO2 (EMC Update) v0.29.4_NRA_model_for_NEMO2 (EMC Update) v0 30 1" xfId="1453" xr:uid="{00000000-0005-0000-0000-0000AA050000}"/>
    <cellStyle name="%_NRA_model_for_NEMO2 (EMC Update) v0.22_NRA_model_for_NEMO2 (EMC Update) v0.25_NRA_model_for_NEMO2 (EMC Update) v0.26_NRA_model_for_NEMO2 (EMC Update) v0.29.4_NRA_model_for_NEMO2 (EMC Update) v0.29.5" xfId="1451" xr:uid="{00000000-0005-0000-0000-0000AB050000}"/>
    <cellStyle name="%_NRA_model_for_NEMO2 (EMC Update) v0.22_NRA_model_for_NEMO2 (EMC Update) v0.25_NRA_model_for_NEMO2 (EMC Update) v0.26_NRA_model_for_NEMO2 (EMC Update) v0.29.4_NRA_model_for_NEMO2 (EMC Update) v0.29.5_NRA_model_for_NEMO2 (EMC Update) v0 30 1" xfId="1452" xr:uid="{00000000-0005-0000-0000-0000AC050000}"/>
    <cellStyle name="%_NRA_model_for_NEMO2 (EMC Update) v0.22_NRA_model_for_NEMO2 (EMC Update) v0.25_NRA_model_for_NEMO2 (EMC Update) v0.26_NRA_model_for_NEMO2 (EMC Update) v0.29.5" xfId="1454" xr:uid="{00000000-0005-0000-0000-0000AD050000}"/>
    <cellStyle name="%_NRA_model_for_NEMO2 (EMC Update) v0.22_NRA_model_for_NEMO2 (EMC Update) v0.25_NRA_model_for_NEMO2 (EMC Update) v0.26_NRA_model_for_NEMO2 (EMC Update) v0.29.5_NRA_model_for_NEMO2 (EMC Update) v0 30 1" xfId="1455" xr:uid="{00000000-0005-0000-0000-0000AE050000}"/>
    <cellStyle name="%_NRA_model_for_NEMO2 (EMC Update) v0.22_NRA_model_for_NEMO2 (EMC Update) v0.25_NRA_model_for_NEMO2 (EMC Update) v0.26_NRA_model_for_NEMO2 (EMC Update) v0.29_NRA_model_for_NEMO2 (EMC Update) v0 30 1" xfId="1469" xr:uid="{00000000-0005-0000-0000-0000AF050000}"/>
    <cellStyle name="%_NRA_model_for_NEMO2 (EMC Update) v0.22_NRA_model_for_NEMO2 (EMC Update) v0.25_NRA_model_for_NEMO2 (EMC Update) v0.26_NRA_model_for_NEMO2 (EMC Update) v0.29_NRA_model_for_NEMO2 (EMC Update) v0.29.2" xfId="1456" xr:uid="{00000000-0005-0000-0000-0000B0050000}"/>
    <cellStyle name="%_NRA_model_for_NEMO2 (EMC Update) v0.22_NRA_model_for_NEMO2 (EMC Update) v0.25_NRA_model_for_NEMO2 (EMC Update) v0.26_NRA_model_for_NEMO2 (EMC Update) v0.29_NRA_model_for_NEMO2 (EMC Update) v0.29.2_NRA_model_for_NEMO2 (EMC Update) v0 30 1" xfId="1460" xr:uid="{00000000-0005-0000-0000-0000B1050000}"/>
    <cellStyle name="%_NRA_model_for_NEMO2 (EMC Update) v0.22_NRA_model_for_NEMO2 (EMC Update) v0.25_NRA_model_for_NEMO2 (EMC Update) v0.26_NRA_model_for_NEMO2 (EMC Update) v0.29_NRA_model_for_NEMO2 (EMC Update) v0.29.2_NRA_model_for_NEMO2 (EMC Update) v0.29.3" xfId="1457" xr:uid="{00000000-0005-0000-0000-0000B2050000}"/>
    <cellStyle name="%_NRA_model_for_NEMO2 (EMC Update) v0.22_NRA_model_for_NEMO2 (EMC Update) v0.25_NRA_model_for_NEMO2 (EMC Update) v0.26_NRA_model_for_NEMO2 (EMC Update) v0.29_NRA_model_for_NEMO2 (EMC Update) v0.29.2_NRA_model_for_NEMO2 (EMC Update) v0.29.4" xfId="1458" xr:uid="{00000000-0005-0000-0000-0000B3050000}"/>
    <cellStyle name="%_NRA_model_for_NEMO2 (EMC Update) v0.22_NRA_model_for_NEMO2 (EMC Update) v0.25_NRA_model_for_NEMO2 (EMC Update) v0.26_NRA_model_for_NEMO2 (EMC Update) v0.29_NRA_model_for_NEMO2 (EMC Update) v0.29.2_NRA_model_for_NEMO2 (EMC Update) v0.29.5" xfId="1459" xr:uid="{00000000-0005-0000-0000-0000B4050000}"/>
    <cellStyle name="%_NRA_model_for_NEMO2 (EMC Update) v0.22_NRA_model_for_NEMO2 (EMC Update) v0.25_NRA_model_for_NEMO2 (EMC Update) v0.26_NRA_model_for_NEMO2 (EMC Update) v0.29_NRA_model_for_NEMO2 (EMC Update) v0.29.3" xfId="1461" xr:uid="{00000000-0005-0000-0000-0000B5050000}"/>
    <cellStyle name="%_NRA_model_for_NEMO2 (EMC Update) v0.22_NRA_model_for_NEMO2 (EMC Update) v0.25_NRA_model_for_NEMO2 (EMC Update) v0.26_NRA_model_for_NEMO2 (EMC Update) v0.29_NRA_model_for_NEMO2 (EMC Update) v0.29.3_NRA_model_for_NEMO2 (EMC Update) v0 30 1" xfId="1463" xr:uid="{00000000-0005-0000-0000-0000B6050000}"/>
    <cellStyle name="%_NRA_model_for_NEMO2 (EMC Update) v0.22_NRA_model_for_NEMO2 (EMC Update) v0.25_NRA_model_for_NEMO2 (EMC Update) v0.26_NRA_model_for_NEMO2 (EMC Update) v0.29_NRA_model_for_NEMO2 (EMC Update) v0.29.3_NRA_model_for_NEMO2 (EMC Update) v0.29.5" xfId="1462" xr:uid="{00000000-0005-0000-0000-0000B7050000}"/>
    <cellStyle name="%_NRA_model_for_NEMO2 (EMC Update) v0.22_NRA_model_for_NEMO2 (EMC Update) v0.25_NRA_model_for_NEMO2 (EMC Update) v0.26_NRA_model_for_NEMO2 (EMC Update) v0.29_NRA_model_for_NEMO2 (EMC Update) v0.29.4" xfId="1464" xr:uid="{00000000-0005-0000-0000-0000B8050000}"/>
    <cellStyle name="%_NRA_model_for_NEMO2 (EMC Update) v0.22_NRA_model_for_NEMO2 (EMC Update) v0.25_NRA_model_for_NEMO2 (EMC Update) v0.26_NRA_model_for_NEMO2 (EMC Update) v0.29_NRA_model_for_NEMO2 (EMC Update) v0.29.4_NRA_model_for_NEMO2 (EMC Update) v0 30 1" xfId="1466" xr:uid="{00000000-0005-0000-0000-0000B9050000}"/>
    <cellStyle name="%_NRA_model_for_NEMO2 (EMC Update) v0.22_NRA_model_for_NEMO2 (EMC Update) v0.25_NRA_model_for_NEMO2 (EMC Update) v0.26_NRA_model_for_NEMO2 (EMC Update) v0.29_NRA_model_for_NEMO2 (EMC Update) v0.29.4_NRA_model_for_NEMO2 (EMC Update) v0.29.5" xfId="1465" xr:uid="{00000000-0005-0000-0000-0000BA050000}"/>
    <cellStyle name="%_NRA_model_for_NEMO2 (EMC Update) v0.22_NRA_model_for_NEMO2 (EMC Update) v0.25_NRA_model_for_NEMO2 (EMC Update) v0.26_NRA_model_for_NEMO2 (EMC Update) v0.29_NRA_model_for_NEMO2 (EMC Update) v0.29.5" xfId="1467" xr:uid="{00000000-0005-0000-0000-0000BB050000}"/>
    <cellStyle name="%_NRA_model_for_NEMO2 (EMC Update) v0.22_NRA_model_for_NEMO2 (EMC Update) v0.25_NRA_model_for_NEMO2 (EMC Update) v0.26_NRA_model_for_NEMO2 (EMC Update) v0.29_NRA_model_for_NEMO2 (EMC Update) v0.29.5_NRA_model_for_NEMO2 (EMC Update) v0 30 1" xfId="1468" xr:uid="{00000000-0005-0000-0000-0000BC050000}"/>
    <cellStyle name="%_NRA_model_for_NEMO2 (EMC Update) v0.22_NRA_model_for_NEMO2 (EMC Update) v0.25_NRA_model_for_NEMO2 (EMC Update) v0.29" xfId="1471" xr:uid="{00000000-0005-0000-0000-0000BD050000}"/>
    <cellStyle name="%_NRA_model_for_NEMO2 (EMC Update) v0.22_NRA_model_for_NEMO2 (EMC Update) v0.25_NRA_model_for_NEMO2 (EMC Update) v0.29.2" xfId="1472" xr:uid="{00000000-0005-0000-0000-0000BE050000}"/>
    <cellStyle name="%_NRA_model_for_NEMO2 (EMC Update) v0.22_NRA_model_for_NEMO2 (EMC Update) v0.25_NRA_model_for_NEMO2 (EMC Update) v0.29.2_NRA_model_for_NEMO2 (EMC Update) v0 30 1" xfId="1483" xr:uid="{00000000-0005-0000-0000-0000BF050000}"/>
    <cellStyle name="%_NRA_model_for_NEMO2 (EMC Update) v0.22_NRA_model_for_NEMO2 (EMC Update) v0.25_NRA_model_for_NEMO2 (EMC Update) v0.29.2_NRA_model_for_NEMO2 (EMC Update) v0.29.3" xfId="1473" xr:uid="{00000000-0005-0000-0000-0000C0050000}"/>
    <cellStyle name="%_NRA_model_for_NEMO2 (EMC Update) v0.22_NRA_model_for_NEMO2 (EMC Update) v0.25_NRA_model_for_NEMO2 (EMC Update) v0.29.2_NRA_model_for_NEMO2 (EMC Update) v0.29.3_NRA_model_for_NEMO2 (EMC Update) v0 30 1" xfId="1476" xr:uid="{00000000-0005-0000-0000-0000C1050000}"/>
    <cellStyle name="%_NRA_model_for_NEMO2 (EMC Update) v0.22_NRA_model_for_NEMO2 (EMC Update) v0.25_NRA_model_for_NEMO2 (EMC Update) v0.29.2_NRA_model_for_NEMO2 (EMC Update) v0.29.3_NRA_model_for_NEMO2 (EMC Update) v0.29.5" xfId="1474" xr:uid="{00000000-0005-0000-0000-0000C2050000}"/>
    <cellStyle name="%_NRA_model_for_NEMO2 (EMC Update) v0.22_NRA_model_for_NEMO2 (EMC Update) v0.25_NRA_model_for_NEMO2 (EMC Update) v0.29.2_NRA_model_for_NEMO2 (EMC Update) v0.29.3_NRA_model_for_NEMO2 (EMC Update) v0.29.5_NRA_model_for_NEMO2 (EMC Update) v0 30 1" xfId="1475" xr:uid="{00000000-0005-0000-0000-0000C3050000}"/>
    <cellStyle name="%_NRA_model_for_NEMO2 (EMC Update) v0.22_NRA_model_for_NEMO2 (EMC Update) v0.25_NRA_model_for_NEMO2 (EMC Update) v0.29.2_NRA_model_for_NEMO2 (EMC Update) v0.29.4" xfId="1477" xr:uid="{00000000-0005-0000-0000-0000C4050000}"/>
    <cellStyle name="%_NRA_model_for_NEMO2 (EMC Update) v0.22_NRA_model_for_NEMO2 (EMC Update) v0.25_NRA_model_for_NEMO2 (EMC Update) v0.29.2_NRA_model_for_NEMO2 (EMC Update) v0.29.4_NRA_model_for_NEMO2 (EMC Update) v0 30 1" xfId="1480" xr:uid="{00000000-0005-0000-0000-0000C5050000}"/>
    <cellStyle name="%_NRA_model_for_NEMO2 (EMC Update) v0.22_NRA_model_for_NEMO2 (EMC Update) v0.25_NRA_model_for_NEMO2 (EMC Update) v0.29.2_NRA_model_for_NEMO2 (EMC Update) v0.29.4_NRA_model_for_NEMO2 (EMC Update) v0.29.5" xfId="1478" xr:uid="{00000000-0005-0000-0000-0000C6050000}"/>
    <cellStyle name="%_NRA_model_for_NEMO2 (EMC Update) v0.22_NRA_model_for_NEMO2 (EMC Update) v0.25_NRA_model_for_NEMO2 (EMC Update) v0.29.2_NRA_model_for_NEMO2 (EMC Update) v0.29.4_NRA_model_for_NEMO2 (EMC Update) v0.29.5_NRA_model_for_NEMO2 (EMC Update) v0 30 1" xfId="1479" xr:uid="{00000000-0005-0000-0000-0000C7050000}"/>
    <cellStyle name="%_NRA_model_for_NEMO2 (EMC Update) v0.22_NRA_model_for_NEMO2 (EMC Update) v0.25_NRA_model_for_NEMO2 (EMC Update) v0.29.2_NRA_model_for_NEMO2 (EMC Update) v0.29.5" xfId="1481" xr:uid="{00000000-0005-0000-0000-0000C8050000}"/>
    <cellStyle name="%_NRA_model_for_NEMO2 (EMC Update) v0.22_NRA_model_for_NEMO2 (EMC Update) v0.25_NRA_model_for_NEMO2 (EMC Update) v0.29.2_NRA_model_for_NEMO2 (EMC Update) v0.29.5_NRA_model_for_NEMO2 (EMC Update) v0 30 1" xfId="1482" xr:uid="{00000000-0005-0000-0000-0000C9050000}"/>
    <cellStyle name="%_NRA_model_for_NEMO2 (EMC Update) v0.22_NRA_model_for_NEMO2 (EMC Update) v0.25_NRA_model_for_NEMO2 (EMC Update) v0.29.3" xfId="1484" xr:uid="{00000000-0005-0000-0000-0000CA050000}"/>
    <cellStyle name="%_NRA_model_for_NEMO2 (EMC Update) v0.22_NRA_model_for_NEMO2 (EMC Update) v0.25_NRA_model_for_NEMO2 (EMC Update) v0.29.3_NRA_model_for_NEMO2 (EMC Update) v0 30 1" xfId="1487" xr:uid="{00000000-0005-0000-0000-0000CB050000}"/>
    <cellStyle name="%_NRA_model_for_NEMO2 (EMC Update) v0.22_NRA_model_for_NEMO2 (EMC Update) v0.25_NRA_model_for_NEMO2 (EMC Update) v0.29.3_NRA_model_for_NEMO2 (EMC Update) v0.29.5" xfId="1485" xr:uid="{00000000-0005-0000-0000-0000CC050000}"/>
    <cellStyle name="%_NRA_model_for_NEMO2 (EMC Update) v0.22_NRA_model_for_NEMO2 (EMC Update) v0.25_NRA_model_for_NEMO2 (EMC Update) v0.29.3_NRA_model_for_NEMO2 (EMC Update) v0.29.5_NRA_model_for_NEMO2 (EMC Update) v0 30 1" xfId="1486" xr:uid="{00000000-0005-0000-0000-0000CD050000}"/>
    <cellStyle name="%_NRA_model_for_NEMO2 (EMC Update) v0.22_NRA_model_for_NEMO2 (EMC Update) v0.25_NRA_model_for_NEMO2 (EMC Update) v0.29.4" xfId="1488" xr:uid="{00000000-0005-0000-0000-0000CE050000}"/>
    <cellStyle name="%_NRA_model_for_NEMO2 (EMC Update) v0.22_NRA_model_for_NEMO2 (EMC Update) v0.25_NRA_model_for_NEMO2 (EMC Update) v0.29.4_NRA_model_for_NEMO2 (EMC Update) v0 30 1" xfId="1491" xr:uid="{00000000-0005-0000-0000-0000CF050000}"/>
    <cellStyle name="%_NRA_model_for_NEMO2 (EMC Update) v0.22_NRA_model_for_NEMO2 (EMC Update) v0.25_NRA_model_for_NEMO2 (EMC Update) v0.29.4_NRA_model_for_NEMO2 (EMC Update) v0.29.5" xfId="1489" xr:uid="{00000000-0005-0000-0000-0000D0050000}"/>
    <cellStyle name="%_NRA_model_for_NEMO2 (EMC Update) v0.22_NRA_model_for_NEMO2 (EMC Update) v0.25_NRA_model_for_NEMO2 (EMC Update) v0.29.4_NRA_model_for_NEMO2 (EMC Update) v0.29.5_NRA_model_for_NEMO2 (EMC Update) v0 30 1" xfId="1490" xr:uid="{00000000-0005-0000-0000-0000D1050000}"/>
    <cellStyle name="%_NRA_model_for_NEMO2 (EMC Update) v0.22_NRA_model_for_NEMO2 (EMC Update) v0.25_NRA_model_for_NEMO2 (EMC Update) v0.29.5" xfId="1492" xr:uid="{00000000-0005-0000-0000-0000D2050000}"/>
    <cellStyle name="%_NRA_model_for_NEMO2 (EMC Update) v0.22_NRA_model_for_NEMO2 (EMC Update) v0.25_NRA_model_for_NEMO2 (EMC Update) v0.29.5_NRA_model_for_NEMO2 (EMC Update) v0 30 1" xfId="1493" xr:uid="{00000000-0005-0000-0000-0000D3050000}"/>
    <cellStyle name="%_NRA_model_for_NEMO2 (EMC Update) v0.22_NRA_model_for_NEMO2 (EMC Update) v0.25_NRA_model_for_NEMO2 (EMC Update) v0.29_NRA_model_for_NEMO2 (EMC Update) v0 30 1" xfId="1514" xr:uid="{00000000-0005-0000-0000-0000D4050000}"/>
    <cellStyle name="%_NRA_model_for_NEMO2 (EMC Update) v0.22_NRA_model_for_NEMO2 (EMC Update) v0.25_NRA_model_for_NEMO2 (EMC Update) v0.29_NRA_model_for_NEMO2 (EMC Update) v0.29.2" xfId="1494" xr:uid="{00000000-0005-0000-0000-0000D5050000}"/>
    <cellStyle name="%_NRA_model_for_NEMO2 (EMC Update) v0.22_NRA_model_for_NEMO2 (EMC Update) v0.25_NRA_model_for_NEMO2 (EMC Update) v0.29_NRA_model_for_NEMO2 (EMC Update) v0.29.2_NRA_model_for_NEMO2 (EMC Update) v0 30 1" xfId="1503" xr:uid="{00000000-0005-0000-0000-0000D6050000}"/>
    <cellStyle name="%_NRA_model_for_NEMO2 (EMC Update) v0.22_NRA_model_for_NEMO2 (EMC Update) v0.25_NRA_model_for_NEMO2 (EMC Update) v0.29_NRA_model_for_NEMO2 (EMC Update) v0.29.2_NRA_model_for_NEMO2 (EMC Update) v0.29.3" xfId="1495" xr:uid="{00000000-0005-0000-0000-0000D7050000}"/>
    <cellStyle name="%_NRA_model_for_NEMO2 (EMC Update) v0.22_NRA_model_for_NEMO2 (EMC Update) v0.25_NRA_model_for_NEMO2 (EMC Update) v0.29_NRA_model_for_NEMO2 (EMC Update) v0.29.2_NRA_model_for_NEMO2 (EMC Update) v0.29.3_NRA_model_for_NEMO2 (EMC Update) v0 30 1" xfId="1497" xr:uid="{00000000-0005-0000-0000-0000D8050000}"/>
    <cellStyle name="%_NRA_model_for_NEMO2 (EMC Update) v0.22_NRA_model_for_NEMO2 (EMC Update) v0.25_NRA_model_for_NEMO2 (EMC Update) v0.29_NRA_model_for_NEMO2 (EMC Update) v0.29.2_NRA_model_for_NEMO2 (EMC Update) v0.29.3_NRA_model_for_NEMO2 (EMC Update) v0.29.5" xfId="1496" xr:uid="{00000000-0005-0000-0000-0000D9050000}"/>
    <cellStyle name="%_NRA_model_for_NEMO2 (EMC Update) v0.22_NRA_model_for_NEMO2 (EMC Update) v0.25_NRA_model_for_NEMO2 (EMC Update) v0.29_NRA_model_for_NEMO2 (EMC Update) v0.29.2_NRA_model_for_NEMO2 (EMC Update) v0.29.4" xfId="1498" xr:uid="{00000000-0005-0000-0000-0000DA050000}"/>
    <cellStyle name="%_NRA_model_for_NEMO2 (EMC Update) v0.22_NRA_model_for_NEMO2 (EMC Update) v0.25_NRA_model_for_NEMO2 (EMC Update) v0.29_NRA_model_for_NEMO2 (EMC Update) v0.29.2_NRA_model_for_NEMO2 (EMC Update) v0.29.4_NRA_model_for_NEMO2 (EMC Update) v0 30 1" xfId="1500" xr:uid="{00000000-0005-0000-0000-0000DB050000}"/>
    <cellStyle name="%_NRA_model_for_NEMO2 (EMC Update) v0.22_NRA_model_for_NEMO2 (EMC Update) v0.25_NRA_model_for_NEMO2 (EMC Update) v0.29_NRA_model_for_NEMO2 (EMC Update) v0.29.2_NRA_model_for_NEMO2 (EMC Update) v0.29.4_NRA_model_for_NEMO2 (EMC Update) v0.29.5" xfId="1499" xr:uid="{00000000-0005-0000-0000-0000DC050000}"/>
    <cellStyle name="%_NRA_model_for_NEMO2 (EMC Update) v0.22_NRA_model_for_NEMO2 (EMC Update) v0.25_NRA_model_for_NEMO2 (EMC Update) v0.29_NRA_model_for_NEMO2 (EMC Update) v0.29.2_NRA_model_for_NEMO2 (EMC Update) v0.29.5" xfId="1501" xr:uid="{00000000-0005-0000-0000-0000DD050000}"/>
    <cellStyle name="%_NRA_model_for_NEMO2 (EMC Update) v0.22_NRA_model_for_NEMO2 (EMC Update) v0.25_NRA_model_for_NEMO2 (EMC Update) v0.29_NRA_model_for_NEMO2 (EMC Update) v0.29.2_NRA_model_for_NEMO2 (EMC Update) v0.29.5_NRA_model_for_NEMO2 (EMC Update) v0 30 1" xfId="1502" xr:uid="{00000000-0005-0000-0000-0000DE050000}"/>
    <cellStyle name="%_NRA_model_for_NEMO2 (EMC Update) v0.22_NRA_model_for_NEMO2 (EMC Update) v0.25_NRA_model_for_NEMO2 (EMC Update) v0.29_NRA_model_for_NEMO2 (EMC Update) v0.29.3" xfId="1504" xr:uid="{00000000-0005-0000-0000-0000DF050000}"/>
    <cellStyle name="%_NRA_model_for_NEMO2 (EMC Update) v0.22_NRA_model_for_NEMO2 (EMC Update) v0.25_NRA_model_for_NEMO2 (EMC Update) v0.29_NRA_model_for_NEMO2 (EMC Update) v0.29.3_NRA_model_for_NEMO2 (EMC Update) v0 30 1" xfId="1507" xr:uid="{00000000-0005-0000-0000-0000E0050000}"/>
    <cellStyle name="%_NRA_model_for_NEMO2 (EMC Update) v0.22_NRA_model_for_NEMO2 (EMC Update) v0.25_NRA_model_for_NEMO2 (EMC Update) v0.29_NRA_model_for_NEMO2 (EMC Update) v0.29.3_NRA_model_for_NEMO2 (EMC Update) v0.29.5" xfId="1505" xr:uid="{00000000-0005-0000-0000-0000E1050000}"/>
    <cellStyle name="%_NRA_model_for_NEMO2 (EMC Update) v0.22_NRA_model_for_NEMO2 (EMC Update) v0.25_NRA_model_for_NEMO2 (EMC Update) v0.29_NRA_model_for_NEMO2 (EMC Update) v0.29.3_NRA_model_for_NEMO2 (EMC Update) v0.29.5_NRA_model_for_NEMO2 (EMC Update) v0 30 1" xfId="1506" xr:uid="{00000000-0005-0000-0000-0000E2050000}"/>
    <cellStyle name="%_NRA_model_for_NEMO2 (EMC Update) v0.22_NRA_model_for_NEMO2 (EMC Update) v0.25_NRA_model_for_NEMO2 (EMC Update) v0.29_NRA_model_for_NEMO2 (EMC Update) v0.29.4" xfId="1508" xr:uid="{00000000-0005-0000-0000-0000E3050000}"/>
    <cellStyle name="%_NRA_model_for_NEMO2 (EMC Update) v0.22_NRA_model_for_NEMO2 (EMC Update) v0.25_NRA_model_for_NEMO2 (EMC Update) v0.29_NRA_model_for_NEMO2 (EMC Update) v0.29.4_NRA_model_for_NEMO2 (EMC Update) v0 30 1" xfId="1511" xr:uid="{00000000-0005-0000-0000-0000E4050000}"/>
    <cellStyle name="%_NRA_model_for_NEMO2 (EMC Update) v0.22_NRA_model_for_NEMO2 (EMC Update) v0.25_NRA_model_for_NEMO2 (EMC Update) v0.29_NRA_model_for_NEMO2 (EMC Update) v0.29.4_NRA_model_for_NEMO2 (EMC Update) v0.29.5" xfId="1509" xr:uid="{00000000-0005-0000-0000-0000E5050000}"/>
    <cellStyle name="%_NRA_model_for_NEMO2 (EMC Update) v0.22_NRA_model_for_NEMO2 (EMC Update) v0.25_NRA_model_for_NEMO2 (EMC Update) v0.29_NRA_model_for_NEMO2 (EMC Update) v0.29.4_NRA_model_for_NEMO2 (EMC Update) v0.29.5_NRA_model_for_NEMO2 (EMC Update) v0 30 1" xfId="1510" xr:uid="{00000000-0005-0000-0000-0000E6050000}"/>
    <cellStyle name="%_NRA_model_for_NEMO2 (EMC Update) v0.22_NRA_model_for_NEMO2 (EMC Update) v0.25_NRA_model_for_NEMO2 (EMC Update) v0.29_NRA_model_for_NEMO2 (EMC Update) v0.29.5" xfId="1512" xr:uid="{00000000-0005-0000-0000-0000E7050000}"/>
    <cellStyle name="%_NRA_model_for_NEMO2 (EMC Update) v0.22_NRA_model_for_NEMO2 (EMC Update) v0.25_NRA_model_for_NEMO2 (EMC Update) v0.29_NRA_model_for_NEMO2 (EMC Update) v0.29.5_NRA_model_for_NEMO2 (EMC Update) v0 30 1" xfId="1513" xr:uid="{00000000-0005-0000-0000-0000E8050000}"/>
    <cellStyle name="%_NRA_model_for_NEMO2 (EMC Update) v0.22_NRA_model_for_NEMO2 (EMC Update) v0.26" xfId="1516" xr:uid="{00000000-0005-0000-0000-0000E9050000}"/>
    <cellStyle name="%_NRA_model_for_NEMO2 (EMC Update) v0.22_NRA_model_for_NEMO2 (EMC Update) v0.26_NRA_model_for_NEMO2 (EMC Update) v0 30 1" xfId="1561" xr:uid="{00000000-0005-0000-0000-0000EA050000}"/>
    <cellStyle name="%_NRA_model_for_NEMO2 (EMC Update) v0.22_NRA_model_for_NEMO2 (EMC Update) v0.26_NRA_model_for_NEMO2 (EMC Update) v0.29" xfId="1517" xr:uid="{00000000-0005-0000-0000-0000EB050000}"/>
    <cellStyle name="%_NRA_model_for_NEMO2 (EMC Update) v0.22_NRA_model_for_NEMO2 (EMC Update) v0.26_NRA_model_for_NEMO2 (EMC Update) v0.29.2" xfId="1518" xr:uid="{00000000-0005-0000-0000-0000EC050000}"/>
    <cellStyle name="%_NRA_model_for_NEMO2 (EMC Update) v0.22_NRA_model_for_NEMO2 (EMC Update) v0.26_NRA_model_for_NEMO2 (EMC Update) v0.29.2_NRA_model_for_NEMO2 (EMC Update) v0 30 1" xfId="1529" xr:uid="{00000000-0005-0000-0000-0000ED050000}"/>
    <cellStyle name="%_NRA_model_for_NEMO2 (EMC Update) v0.22_NRA_model_for_NEMO2 (EMC Update) v0.26_NRA_model_for_NEMO2 (EMC Update) v0.29.2_NRA_model_for_NEMO2 (EMC Update) v0.29.3" xfId="1519" xr:uid="{00000000-0005-0000-0000-0000EE050000}"/>
    <cellStyle name="%_NRA_model_for_NEMO2 (EMC Update) v0.22_NRA_model_for_NEMO2 (EMC Update) v0.26_NRA_model_for_NEMO2 (EMC Update) v0.29.2_NRA_model_for_NEMO2 (EMC Update) v0.29.3_NRA_model_for_NEMO2 (EMC Update) v0 30 1" xfId="1522" xr:uid="{00000000-0005-0000-0000-0000EF050000}"/>
    <cellStyle name="%_NRA_model_for_NEMO2 (EMC Update) v0.22_NRA_model_for_NEMO2 (EMC Update) v0.26_NRA_model_for_NEMO2 (EMC Update) v0.29.2_NRA_model_for_NEMO2 (EMC Update) v0.29.3_NRA_model_for_NEMO2 (EMC Update) v0.29.5" xfId="1520" xr:uid="{00000000-0005-0000-0000-0000F0050000}"/>
    <cellStyle name="%_NRA_model_for_NEMO2 (EMC Update) v0.22_NRA_model_for_NEMO2 (EMC Update) v0.26_NRA_model_for_NEMO2 (EMC Update) v0.29.2_NRA_model_for_NEMO2 (EMC Update) v0.29.3_NRA_model_for_NEMO2 (EMC Update) v0.29.5_NRA_model_for_NEMO2 (EMC Update) v0 30 1" xfId="1521" xr:uid="{00000000-0005-0000-0000-0000F1050000}"/>
    <cellStyle name="%_NRA_model_for_NEMO2 (EMC Update) v0.22_NRA_model_for_NEMO2 (EMC Update) v0.26_NRA_model_for_NEMO2 (EMC Update) v0.29.2_NRA_model_for_NEMO2 (EMC Update) v0.29.4" xfId="1523" xr:uid="{00000000-0005-0000-0000-0000F2050000}"/>
    <cellStyle name="%_NRA_model_for_NEMO2 (EMC Update) v0.22_NRA_model_for_NEMO2 (EMC Update) v0.26_NRA_model_for_NEMO2 (EMC Update) v0.29.2_NRA_model_for_NEMO2 (EMC Update) v0.29.4_NRA_model_for_NEMO2 (EMC Update) v0 30 1" xfId="1526" xr:uid="{00000000-0005-0000-0000-0000F3050000}"/>
    <cellStyle name="%_NRA_model_for_NEMO2 (EMC Update) v0.22_NRA_model_for_NEMO2 (EMC Update) v0.26_NRA_model_for_NEMO2 (EMC Update) v0.29.2_NRA_model_for_NEMO2 (EMC Update) v0.29.4_NRA_model_for_NEMO2 (EMC Update) v0.29.5" xfId="1524" xr:uid="{00000000-0005-0000-0000-0000F4050000}"/>
    <cellStyle name="%_NRA_model_for_NEMO2 (EMC Update) v0.22_NRA_model_for_NEMO2 (EMC Update) v0.26_NRA_model_for_NEMO2 (EMC Update) v0.29.2_NRA_model_for_NEMO2 (EMC Update) v0.29.4_NRA_model_for_NEMO2 (EMC Update) v0.29.5_NRA_model_for_NEMO2 (EMC Update) v0 30 1" xfId="1525" xr:uid="{00000000-0005-0000-0000-0000F5050000}"/>
    <cellStyle name="%_NRA_model_for_NEMO2 (EMC Update) v0.22_NRA_model_for_NEMO2 (EMC Update) v0.26_NRA_model_for_NEMO2 (EMC Update) v0.29.2_NRA_model_for_NEMO2 (EMC Update) v0.29.5" xfId="1527" xr:uid="{00000000-0005-0000-0000-0000F6050000}"/>
    <cellStyle name="%_NRA_model_for_NEMO2 (EMC Update) v0.22_NRA_model_for_NEMO2 (EMC Update) v0.26_NRA_model_for_NEMO2 (EMC Update) v0.29.2_NRA_model_for_NEMO2 (EMC Update) v0.29.5_NRA_model_for_NEMO2 (EMC Update) v0 30 1" xfId="1528" xr:uid="{00000000-0005-0000-0000-0000F7050000}"/>
    <cellStyle name="%_NRA_model_for_NEMO2 (EMC Update) v0.22_NRA_model_for_NEMO2 (EMC Update) v0.26_NRA_model_for_NEMO2 (EMC Update) v0.29.3" xfId="1530" xr:uid="{00000000-0005-0000-0000-0000F8050000}"/>
    <cellStyle name="%_NRA_model_for_NEMO2 (EMC Update) v0.22_NRA_model_for_NEMO2 (EMC Update) v0.26_NRA_model_for_NEMO2 (EMC Update) v0.29.3_NRA_model_for_NEMO2 (EMC Update) v0 30 1" xfId="1533" xr:uid="{00000000-0005-0000-0000-0000F9050000}"/>
    <cellStyle name="%_NRA_model_for_NEMO2 (EMC Update) v0.22_NRA_model_for_NEMO2 (EMC Update) v0.26_NRA_model_for_NEMO2 (EMC Update) v0.29.3_NRA_model_for_NEMO2 (EMC Update) v0.29.5" xfId="1531" xr:uid="{00000000-0005-0000-0000-0000FA050000}"/>
    <cellStyle name="%_NRA_model_for_NEMO2 (EMC Update) v0.22_NRA_model_for_NEMO2 (EMC Update) v0.26_NRA_model_for_NEMO2 (EMC Update) v0.29.3_NRA_model_for_NEMO2 (EMC Update) v0.29.5_NRA_model_for_NEMO2 (EMC Update) v0 30 1" xfId="1532" xr:uid="{00000000-0005-0000-0000-0000FB050000}"/>
    <cellStyle name="%_NRA_model_for_NEMO2 (EMC Update) v0.22_NRA_model_for_NEMO2 (EMC Update) v0.26_NRA_model_for_NEMO2 (EMC Update) v0.29.4" xfId="1534" xr:uid="{00000000-0005-0000-0000-0000FC050000}"/>
    <cellStyle name="%_NRA_model_for_NEMO2 (EMC Update) v0.22_NRA_model_for_NEMO2 (EMC Update) v0.26_NRA_model_for_NEMO2 (EMC Update) v0.29.4_NRA_model_for_NEMO2 (EMC Update) v0 30 1" xfId="1537" xr:uid="{00000000-0005-0000-0000-0000FD050000}"/>
    <cellStyle name="%_NRA_model_for_NEMO2 (EMC Update) v0.22_NRA_model_for_NEMO2 (EMC Update) v0.26_NRA_model_for_NEMO2 (EMC Update) v0.29.4_NRA_model_for_NEMO2 (EMC Update) v0.29.5" xfId="1535" xr:uid="{00000000-0005-0000-0000-0000FE050000}"/>
    <cellStyle name="%_NRA_model_for_NEMO2 (EMC Update) v0.22_NRA_model_for_NEMO2 (EMC Update) v0.26_NRA_model_for_NEMO2 (EMC Update) v0.29.4_NRA_model_for_NEMO2 (EMC Update) v0.29.5_NRA_model_for_NEMO2 (EMC Update) v0 30 1" xfId="1536" xr:uid="{00000000-0005-0000-0000-0000FF050000}"/>
    <cellStyle name="%_NRA_model_for_NEMO2 (EMC Update) v0.22_NRA_model_for_NEMO2 (EMC Update) v0.26_NRA_model_for_NEMO2 (EMC Update) v0.29.5" xfId="1538" xr:uid="{00000000-0005-0000-0000-000000060000}"/>
    <cellStyle name="%_NRA_model_for_NEMO2 (EMC Update) v0.22_NRA_model_for_NEMO2 (EMC Update) v0.26_NRA_model_for_NEMO2 (EMC Update) v0.29.5_NRA_model_for_NEMO2 (EMC Update) v0 30 1" xfId="1539" xr:uid="{00000000-0005-0000-0000-000001060000}"/>
    <cellStyle name="%_NRA_model_for_NEMO2 (EMC Update) v0.22_NRA_model_for_NEMO2 (EMC Update) v0.26_NRA_model_for_NEMO2 (EMC Update) v0.29_NRA_model_for_NEMO2 (EMC Update) v0 30 1" xfId="1560" xr:uid="{00000000-0005-0000-0000-000002060000}"/>
    <cellStyle name="%_NRA_model_for_NEMO2 (EMC Update) v0.22_NRA_model_for_NEMO2 (EMC Update) v0.26_NRA_model_for_NEMO2 (EMC Update) v0.29_NRA_model_for_NEMO2 (EMC Update) v0.29.2" xfId="1540" xr:uid="{00000000-0005-0000-0000-000003060000}"/>
    <cellStyle name="%_NRA_model_for_NEMO2 (EMC Update) v0.22_NRA_model_for_NEMO2 (EMC Update) v0.26_NRA_model_for_NEMO2 (EMC Update) v0.29_NRA_model_for_NEMO2 (EMC Update) v0.29.2_NRA_model_for_NEMO2 (EMC Update) v0 30 1" xfId="1549" xr:uid="{00000000-0005-0000-0000-000004060000}"/>
    <cellStyle name="%_NRA_model_for_NEMO2 (EMC Update) v0.22_NRA_model_for_NEMO2 (EMC Update) v0.26_NRA_model_for_NEMO2 (EMC Update) v0.29_NRA_model_for_NEMO2 (EMC Update) v0.29.2_NRA_model_for_NEMO2 (EMC Update) v0.29.3" xfId="1541" xr:uid="{00000000-0005-0000-0000-000005060000}"/>
    <cellStyle name="%_NRA_model_for_NEMO2 (EMC Update) v0.22_NRA_model_for_NEMO2 (EMC Update) v0.26_NRA_model_for_NEMO2 (EMC Update) v0.29_NRA_model_for_NEMO2 (EMC Update) v0.29.2_NRA_model_for_NEMO2 (EMC Update) v0.29.3_NRA_model_for_NEMO2 (EMC Update) v0 30 1" xfId="1543" xr:uid="{00000000-0005-0000-0000-000006060000}"/>
    <cellStyle name="%_NRA_model_for_NEMO2 (EMC Update) v0.22_NRA_model_for_NEMO2 (EMC Update) v0.26_NRA_model_for_NEMO2 (EMC Update) v0.29_NRA_model_for_NEMO2 (EMC Update) v0.29.2_NRA_model_for_NEMO2 (EMC Update) v0.29.3_NRA_model_for_NEMO2 (EMC Update) v0.29.5" xfId="1542" xr:uid="{00000000-0005-0000-0000-000007060000}"/>
    <cellStyle name="%_NRA_model_for_NEMO2 (EMC Update) v0.22_NRA_model_for_NEMO2 (EMC Update) v0.26_NRA_model_for_NEMO2 (EMC Update) v0.29_NRA_model_for_NEMO2 (EMC Update) v0.29.2_NRA_model_for_NEMO2 (EMC Update) v0.29.4" xfId="1544" xr:uid="{00000000-0005-0000-0000-000008060000}"/>
    <cellStyle name="%_NRA_model_for_NEMO2 (EMC Update) v0.22_NRA_model_for_NEMO2 (EMC Update) v0.26_NRA_model_for_NEMO2 (EMC Update) v0.29_NRA_model_for_NEMO2 (EMC Update) v0.29.2_NRA_model_for_NEMO2 (EMC Update) v0.29.4_NRA_model_for_NEMO2 (EMC Update) v0 30 1" xfId="1546" xr:uid="{00000000-0005-0000-0000-000009060000}"/>
    <cellStyle name="%_NRA_model_for_NEMO2 (EMC Update) v0.22_NRA_model_for_NEMO2 (EMC Update) v0.26_NRA_model_for_NEMO2 (EMC Update) v0.29_NRA_model_for_NEMO2 (EMC Update) v0.29.2_NRA_model_for_NEMO2 (EMC Update) v0.29.4_NRA_model_for_NEMO2 (EMC Update) v0.29.5" xfId="1545" xr:uid="{00000000-0005-0000-0000-00000A060000}"/>
    <cellStyle name="%_NRA_model_for_NEMO2 (EMC Update) v0.22_NRA_model_for_NEMO2 (EMC Update) v0.26_NRA_model_for_NEMO2 (EMC Update) v0.29_NRA_model_for_NEMO2 (EMC Update) v0.29.2_NRA_model_for_NEMO2 (EMC Update) v0.29.5" xfId="1547" xr:uid="{00000000-0005-0000-0000-00000B060000}"/>
    <cellStyle name="%_NRA_model_for_NEMO2 (EMC Update) v0.22_NRA_model_for_NEMO2 (EMC Update) v0.26_NRA_model_for_NEMO2 (EMC Update) v0.29_NRA_model_for_NEMO2 (EMC Update) v0.29.2_NRA_model_for_NEMO2 (EMC Update) v0.29.5_NRA_model_for_NEMO2 (EMC Update) v0 30 1" xfId="1548" xr:uid="{00000000-0005-0000-0000-00000C060000}"/>
    <cellStyle name="%_NRA_model_for_NEMO2 (EMC Update) v0.22_NRA_model_for_NEMO2 (EMC Update) v0.26_NRA_model_for_NEMO2 (EMC Update) v0.29_NRA_model_for_NEMO2 (EMC Update) v0.29.3" xfId="1550" xr:uid="{00000000-0005-0000-0000-00000D060000}"/>
    <cellStyle name="%_NRA_model_for_NEMO2 (EMC Update) v0.22_NRA_model_for_NEMO2 (EMC Update) v0.26_NRA_model_for_NEMO2 (EMC Update) v0.29_NRA_model_for_NEMO2 (EMC Update) v0.29.3_NRA_model_for_NEMO2 (EMC Update) v0 30 1" xfId="1553" xr:uid="{00000000-0005-0000-0000-00000E060000}"/>
    <cellStyle name="%_NRA_model_for_NEMO2 (EMC Update) v0.22_NRA_model_for_NEMO2 (EMC Update) v0.26_NRA_model_for_NEMO2 (EMC Update) v0.29_NRA_model_for_NEMO2 (EMC Update) v0.29.3_NRA_model_for_NEMO2 (EMC Update) v0.29.5" xfId="1551" xr:uid="{00000000-0005-0000-0000-00000F060000}"/>
    <cellStyle name="%_NRA_model_for_NEMO2 (EMC Update) v0.22_NRA_model_for_NEMO2 (EMC Update) v0.26_NRA_model_for_NEMO2 (EMC Update) v0.29_NRA_model_for_NEMO2 (EMC Update) v0.29.3_NRA_model_for_NEMO2 (EMC Update) v0.29.5_NRA_model_for_NEMO2 (EMC Update) v0 30 1" xfId="1552" xr:uid="{00000000-0005-0000-0000-000010060000}"/>
    <cellStyle name="%_NRA_model_for_NEMO2 (EMC Update) v0.22_NRA_model_for_NEMO2 (EMC Update) v0.26_NRA_model_for_NEMO2 (EMC Update) v0.29_NRA_model_for_NEMO2 (EMC Update) v0.29.4" xfId="1554" xr:uid="{00000000-0005-0000-0000-000011060000}"/>
    <cellStyle name="%_NRA_model_for_NEMO2 (EMC Update) v0.22_NRA_model_for_NEMO2 (EMC Update) v0.26_NRA_model_for_NEMO2 (EMC Update) v0.29_NRA_model_for_NEMO2 (EMC Update) v0.29.4_NRA_model_for_NEMO2 (EMC Update) v0 30 1" xfId="1557" xr:uid="{00000000-0005-0000-0000-000012060000}"/>
    <cellStyle name="%_NRA_model_for_NEMO2 (EMC Update) v0.22_NRA_model_for_NEMO2 (EMC Update) v0.26_NRA_model_for_NEMO2 (EMC Update) v0.29_NRA_model_for_NEMO2 (EMC Update) v0.29.4_NRA_model_for_NEMO2 (EMC Update) v0.29.5" xfId="1555" xr:uid="{00000000-0005-0000-0000-000013060000}"/>
    <cellStyle name="%_NRA_model_for_NEMO2 (EMC Update) v0.22_NRA_model_for_NEMO2 (EMC Update) v0.26_NRA_model_for_NEMO2 (EMC Update) v0.29_NRA_model_for_NEMO2 (EMC Update) v0.29.4_NRA_model_for_NEMO2 (EMC Update) v0.29.5_NRA_model_for_NEMO2 (EMC Update) v0 30 1" xfId="1556" xr:uid="{00000000-0005-0000-0000-000014060000}"/>
    <cellStyle name="%_NRA_model_for_NEMO2 (EMC Update) v0.22_NRA_model_for_NEMO2 (EMC Update) v0.26_NRA_model_for_NEMO2 (EMC Update) v0.29_NRA_model_for_NEMO2 (EMC Update) v0.29.5" xfId="1558" xr:uid="{00000000-0005-0000-0000-000015060000}"/>
    <cellStyle name="%_NRA_model_for_NEMO2 (EMC Update) v0.22_NRA_model_for_NEMO2 (EMC Update) v0.26_NRA_model_for_NEMO2 (EMC Update) v0.29_NRA_model_for_NEMO2 (EMC Update) v0.29.5_NRA_model_for_NEMO2 (EMC Update) v0 30 1" xfId="1559" xr:uid="{00000000-0005-0000-0000-000016060000}"/>
    <cellStyle name="%_NRA_model_for_NEMO2 (EMC Update) v0.22_NRA_model_for_NEMO2 (EMC Update) v0.29" xfId="1562" xr:uid="{00000000-0005-0000-0000-000017060000}"/>
    <cellStyle name="%_NRA_model_for_NEMO2 (EMC Update) v0.22_NRA_model_for_NEMO2 (EMC Update) v0.29.2" xfId="1563" xr:uid="{00000000-0005-0000-0000-000018060000}"/>
    <cellStyle name="%_NRA_model_for_NEMO2 (EMC Update) v0.22_NRA_model_for_NEMO2 (EMC Update) v0.29.2_NRA_model_for_NEMO2 (EMC Update) v0 30 1" xfId="1574" xr:uid="{00000000-0005-0000-0000-000019060000}"/>
    <cellStyle name="%_NRA_model_for_NEMO2 (EMC Update) v0.22_NRA_model_for_NEMO2 (EMC Update) v0.29.2_NRA_model_for_NEMO2 (EMC Update) v0.29.3" xfId="1564" xr:uid="{00000000-0005-0000-0000-00001A060000}"/>
    <cellStyle name="%_NRA_model_for_NEMO2 (EMC Update) v0.22_NRA_model_for_NEMO2 (EMC Update) v0.29.2_NRA_model_for_NEMO2 (EMC Update) v0.29.3_NRA_model_for_NEMO2 (EMC Update) v0 30 1" xfId="1567" xr:uid="{00000000-0005-0000-0000-00001B060000}"/>
    <cellStyle name="%_NRA_model_for_NEMO2 (EMC Update) v0.22_NRA_model_for_NEMO2 (EMC Update) v0.29.2_NRA_model_for_NEMO2 (EMC Update) v0.29.3_NRA_model_for_NEMO2 (EMC Update) v0.29.5" xfId="1565" xr:uid="{00000000-0005-0000-0000-00001C060000}"/>
    <cellStyle name="%_NRA_model_for_NEMO2 (EMC Update) v0.22_NRA_model_for_NEMO2 (EMC Update) v0.29.2_NRA_model_for_NEMO2 (EMC Update) v0.29.3_NRA_model_for_NEMO2 (EMC Update) v0.29.5_NRA_model_for_NEMO2 (EMC Update) v0 30 1" xfId="1566" xr:uid="{00000000-0005-0000-0000-00001D060000}"/>
    <cellStyle name="%_NRA_model_for_NEMO2 (EMC Update) v0.22_NRA_model_for_NEMO2 (EMC Update) v0.29.2_NRA_model_for_NEMO2 (EMC Update) v0.29.4" xfId="1568" xr:uid="{00000000-0005-0000-0000-00001E060000}"/>
    <cellStyle name="%_NRA_model_for_NEMO2 (EMC Update) v0.22_NRA_model_for_NEMO2 (EMC Update) v0.29.2_NRA_model_for_NEMO2 (EMC Update) v0.29.4_NRA_model_for_NEMO2 (EMC Update) v0 30 1" xfId="1571" xr:uid="{00000000-0005-0000-0000-00001F060000}"/>
    <cellStyle name="%_NRA_model_for_NEMO2 (EMC Update) v0.22_NRA_model_for_NEMO2 (EMC Update) v0.29.2_NRA_model_for_NEMO2 (EMC Update) v0.29.4_NRA_model_for_NEMO2 (EMC Update) v0.29.5" xfId="1569" xr:uid="{00000000-0005-0000-0000-000020060000}"/>
    <cellStyle name="%_NRA_model_for_NEMO2 (EMC Update) v0.22_NRA_model_for_NEMO2 (EMC Update) v0.29.2_NRA_model_for_NEMO2 (EMC Update) v0.29.4_NRA_model_for_NEMO2 (EMC Update) v0.29.5_NRA_model_for_NEMO2 (EMC Update) v0 30 1" xfId="1570" xr:uid="{00000000-0005-0000-0000-000021060000}"/>
    <cellStyle name="%_NRA_model_for_NEMO2 (EMC Update) v0.22_NRA_model_for_NEMO2 (EMC Update) v0.29.2_NRA_model_for_NEMO2 (EMC Update) v0.29.5" xfId="1572" xr:uid="{00000000-0005-0000-0000-000022060000}"/>
    <cellStyle name="%_NRA_model_for_NEMO2 (EMC Update) v0.22_NRA_model_for_NEMO2 (EMC Update) v0.29.2_NRA_model_for_NEMO2 (EMC Update) v0.29.5_NRA_model_for_NEMO2 (EMC Update) v0 30 1" xfId="1573" xr:uid="{00000000-0005-0000-0000-000023060000}"/>
    <cellStyle name="%_NRA_model_for_NEMO2 (EMC Update) v0.22_NRA_model_for_NEMO2 (EMC Update) v0.29.3" xfId="1575" xr:uid="{00000000-0005-0000-0000-000024060000}"/>
    <cellStyle name="%_NRA_model_for_NEMO2 (EMC Update) v0.22_NRA_model_for_NEMO2 (EMC Update) v0.29.3_NRA_model_for_NEMO2 (EMC Update) v0 30 1" xfId="1578" xr:uid="{00000000-0005-0000-0000-000025060000}"/>
    <cellStyle name="%_NRA_model_for_NEMO2 (EMC Update) v0.22_NRA_model_for_NEMO2 (EMC Update) v0.29.3_NRA_model_for_NEMO2 (EMC Update) v0.29.5" xfId="1576" xr:uid="{00000000-0005-0000-0000-000026060000}"/>
    <cellStyle name="%_NRA_model_for_NEMO2 (EMC Update) v0.22_NRA_model_for_NEMO2 (EMC Update) v0.29.3_NRA_model_for_NEMO2 (EMC Update) v0.29.5_NRA_model_for_NEMO2 (EMC Update) v0 30 1" xfId="1577" xr:uid="{00000000-0005-0000-0000-000027060000}"/>
    <cellStyle name="%_NRA_model_for_NEMO2 (EMC Update) v0.22_NRA_model_for_NEMO2 (EMC Update) v0.29.4" xfId="1579" xr:uid="{00000000-0005-0000-0000-000028060000}"/>
    <cellStyle name="%_NRA_model_for_NEMO2 (EMC Update) v0.22_NRA_model_for_NEMO2 (EMC Update) v0.29.4_NRA_model_for_NEMO2 (EMC Update) v0 30 1" xfId="1582" xr:uid="{00000000-0005-0000-0000-000029060000}"/>
    <cellStyle name="%_NRA_model_for_NEMO2 (EMC Update) v0.22_NRA_model_for_NEMO2 (EMC Update) v0.29.4_NRA_model_for_NEMO2 (EMC Update) v0.29.5" xfId="1580" xr:uid="{00000000-0005-0000-0000-00002A060000}"/>
    <cellStyle name="%_NRA_model_for_NEMO2 (EMC Update) v0.22_NRA_model_for_NEMO2 (EMC Update) v0.29.4_NRA_model_for_NEMO2 (EMC Update) v0.29.5_NRA_model_for_NEMO2 (EMC Update) v0 30 1" xfId="1581" xr:uid="{00000000-0005-0000-0000-00002B060000}"/>
    <cellStyle name="%_NRA_model_for_NEMO2 (EMC Update) v0.22_NRA_model_for_NEMO2 (EMC Update) v0.29.5" xfId="1583" xr:uid="{00000000-0005-0000-0000-00002C060000}"/>
    <cellStyle name="%_NRA_model_for_NEMO2 (EMC Update) v0.22_NRA_model_for_NEMO2 (EMC Update) v0.29.5_NRA_model_for_NEMO2 (EMC Update) v0 30 1" xfId="1584" xr:uid="{00000000-0005-0000-0000-00002D060000}"/>
    <cellStyle name="%_NRA_model_for_NEMO2 (EMC Update) v0.22_NRA_model_for_NEMO2 (EMC Update) v0.29_NRA_model_for_NEMO2 (EMC Update) v0 30 1" xfId="1607" xr:uid="{00000000-0005-0000-0000-00002E060000}"/>
    <cellStyle name="%_NRA_model_for_NEMO2 (EMC Update) v0.22_NRA_model_for_NEMO2 (EMC Update) v0.29_NRA_model_for_NEMO2 (EMC Update) v0.29.2" xfId="1585" xr:uid="{00000000-0005-0000-0000-00002F060000}"/>
    <cellStyle name="%_NRA_model_for_NEMO2 (EMC Update) v0.22_NRA_model_for_NEMO2 (EMC Update) v0.29_NRA_model_for_NEMO2 (EMC Update) v0.29.2_NRA_model_for_NEMO2 (EMC Update) v0 30 1" xfId="1596" xr:uid="{00000000-0005-0000-0000-000030060000}"/>
    <cellStyle name="%_NRA_model_for_NEMO2 (EMC Update) v0.22_NRA_model_for_NEMO2 (EMC Update) v0.29_NRA_model_for_NEMO2 (EMC Update) v0.29.2_NRA_model_for_NEMO2 (EMC Update) v0.29.3" xfId="1586" xr:uid="{00000000-0005-0000-0000-000031060000}"/>
    <cellStyle name="%_NRA_model_for_NEMO2 (EMC Update) v0.22_NRA_model_for_NEMO2 (EMC Update) v0.29_NRA_model_for_NEMO2 (EMC Update) v0.29.2_NRA_model_for_NEMO2 (EMC Update) v0.29.3_NRA_model_for_NEMO2 (EMC Update) v0 30 1" xfId="1589" xr:uid="{00000000-0005-0000-0000-000032060000}"/>
    <cellStyle name="%_NRA_model_for_NEMO2 (EMC Update) v0.22_NRA_model_for_NEMO2 (EMC Update) v0.29_NRA_model_for_NEMO2 (EMC Update) v0.29.2_NRA_model_for_NEMO2 (EMC Update) v0.29.3_NRA_model_for_NEMO2 (EMC Update) v0.29.5" xfId="1587" xr:uid="{00000000-0005-0000-0000-000033060000}"/>
    <cellStyle name="%_NRA_model_for_NEMO2 (EMC Update) v0.22_NRA_model_for_NEMO2 (EMC Update) v0.29_NRA_model_for_NEMO2 (EMC Update) v0.29.2_NRA_model_for_NEMO2 (EMC Update) v0.29.3_NRA_model_for_NEMO2 (EMC Update) v0.29.5_NRA_model_for_NEMO2 (EMC Update) v0 30 1" xfId="1588" xr:uid="{00000000-0005-0000-0000-000034060000}"/>
    <cellStyle name="%_NRA_model_for_NEMO2 (EMC Update) v0.22_NRA_model_for_NEMO2 (EMC Update) v0.29_NRA_model_for_NEMO2 (EMC Update) v0.29.2_NRA_model_for_NEMO2 (EMC Update) v0.29.4" xfId="1590" xr:uid="{00000000-0005-0000-0000-000035060000}"/>
    <cellStyle name="%_NRA_model_for_NEMO2 (EMC Update) v0.22_NRA_model_for_NEMO2 (EMC Update) v0.29_NRA_model_for_NEMO2 (EMC Update) v0.29.2_NRA_model_for_NEMO2 (EMC Update) v0.29.4_NRA_model_for_NEMO2 (EMC Update) v0 30 1" xfId="1593" xr:uid="{00000000-0005-0000-0000-000036060000}"/>
    <cellStyle name="%_NRA_model_for_NEMO2 (EMC Update) v0.22_NRA_model_for_NEMO2 (EMC Update) v0.29_NRA_model_for_NEMO2 (EMC Update) v0.29.2_NRA_model_for_NEMO2 (EMC Update) v0.29.4_NRA_model_for_NEMO2 (EMC Update) v0.29.5" xfId="1591" xr:uid="{00000000-0005-0000-0000-000037060000}"/>
    <cellStyle name="%_NRA_model_for_NEMO2 (EMC Update) v0.22_NRA_model_for_NEMO2 (EMC Update) v0.29_NRA_model_for_NEMO2 (EMC Update) v0.29.2_NRA_model_for_NEMO2 (EMC Update) v0.29.4_NRA_model_for_NEMO2 (EMC Update) v0.29.5_NRA_model_for_NEMO2 (EMC Update) v0 30 1" xfId="1592" xr:uid="{00000000-0005-0000-0000-000038060000}"/>
    <cellStyle name="%_NRA_model_for_NEMO2 (EMC Update) v0.22_NRA_model_for_NEMO2 (EMC Update) v0.29_NRA_model_for_NEMO2 (EMC Update) v0.29.2_NRA_model_for_NEMO2 (EMC Update) v0.29.5" xfId="1594" xr:uid="{00000000-0005-0000-0000-000039060000}"/>
    <cellStyle name="%_NRA_model_for_NEMO2 (EMC Update) v0.22_NRA_model_for_NEMO2 (EMC Update) v0.29_NRA_model_for_NEMO2 (EMC Update) v0.29.2_NRA_model_for_NEMO2 (EMC Update) v0.29.5_NRA_model_for_NEMO2 (EMC Update) v0 30 1" xfId="1595" xr:uid="{00000000-0005-0000-0000-00003A060000}"/>
    <cellStyle name="%_NRA_model_for_NEMO2 (EMC Update) v0.22_NRA_model_for_NEMO2 (EMC Update) v0.29_NRA_model_for_NEMO2 (EMC Update) v0.29.3" xfId="1597" xr:uid="{00000000-0005-0000-0000-00003B060000}"/>
    <cellStyle name="%_NRA_model_for_NEMO2 (EMC Update) v0.22_NRA_model_for_NEMO2 (EMC Update) v0.29_NRA_model_for_NEMO2 (EMC Update) v0.29.3_NRA_model_for_NEMO2 (EMC Update) v0 30 1" xfId="1600" xr:uid="{00000000-0005-0000-0000-00003C060000}"/>
    <cellStyle name="%_NRA_model_for_NEMO2 (EMC Update) v0.22_NRA_model_for_NEMO2 (EMC Update) v0.29_NRA_model_for_NEMO2 (EMC Update) v0.29.3_NRA_model_for_NEMO2 (EMC Update) v0.29.5" xfId="1598" xr:uid="{00000000-0005-0000-0000-00003D060000}"/>
    <cellStyle name="%_NRA_model_for_NEMO2 (EMC Update) v0.22_NRA_model_for_NEMO2 (EMC Update) v0.29_NRA_model_for_NEMO2 (EMC Update) v0.29.3_NRA_model_for_NEMO2 (EMC Update) v0.29.5_NRA_model_for_NEMO2 (EMC Update) v0 30 1" xfId="1599" xr:uid="{00000000-0005-0000-0000-00003E060000}"/>
    <cellStyle name="%_NRA_model_for_NEMO2 (EMC Update) v0.22_NRA_model_for_NEMO2 (EMC Update) v0.29_NRA_model_for_NEMO2 (EMC Update) v0.29.4" xfId="1601" xr:uid="{00000000-0005-0000-0000-00003F060000}"/>
    <cellStyle name="%_NRA_model_for_NEMO2 (EMC Update) v0.22_NRA_model_for_NEMO2 (EMC Update) v0.29_NRA_model_for_NEMO2 (EMC Update) v0.29.4_NRA_model_for_NEMO2 (EMC Update) v0 30 1" xfId="1604" xr:uid="{00000000-0005-0000-0000-000040060000}"/>
    <cellStyle name="%_NRA_model_for_NEMO2 (EMC Update) v0.22_NRA_model_for_NEMO2 (EMC Update) v0.29_NRA_model_for_NEMO2 (EMC Update) v0.29.4_NRA_model_for_NEMO2 (EMC Update) v0.29.5" xfId="1602" xr:uid="{00000000-0005-0000-0000-000041060000}"/>
    <cellStyle name="%_NRA_model_for_NEMO2 (EMC Update) v0.22_NRA_model_for_NEMO2 (EMC Update) v0.29_NRA_model_for_NEMO2 (EMC Update) v0.29.4_NRA_model_for_NEMO2 (EMC Update) v0.29.5_NRA_model_for_NEMO2 (EMC Update) v0 30 1" xfId="1603" xr:uid="{00000000-0005-0000-0000-000042060000}"/>
    <cellStyle name="%_NRA_model_for_NEMO2 (EMC Update) v0.22_NRA_model_for_NEMO2 (EMC Update) v0.29_NRA_model_for_NEMO2 (EMC Update) v0.29.5" xfId="1605" xr:uid="{00000000-0005-0000-0000-000043060000}"/>
    <cellStyle name="%_NRA_model_for_NEMO2 (EMC Update) v0.22_NRA_model_for_NEMO2 (EMC Update) v0.29_NRA_model_for_NEMO2 (EMC Update) v0.29.5_NRA_model_for_NEMO2 (EMC Update) v0 30 1" xfId="1606" xr:uid="{00000000-0005-0000-0000-000044060000}"/>
    <cellStyle name="%_NRA_model_for_NEMO2 (EMC Update) v0.25" xfId="1609" xr:uid="{00000000-0005-0000-0000-000045060000}"/>
    <cellStyle name="%_NRA_model_for_NEMO2 (EMC Update) v0.25_NRA_model_for_NEMO2 (EMC Update) v0 30 1" xfId="1702" xr:uid="{00000000-0005-0000-0000-000046060000}"/>
    <cellStyle name="%_NRA_model_for_NEMO2 (EMC Update) v0.25_NRA_model_for_NEMO2 (EMC Update) v0.26" xfId="1610" xr:uid="{00000000-0005-0000-0000-000047060000}"/>
    <cellStyle name="%_NRA_model_for_NEMO2 (EMC Update) v0.25_NRA_model_for_NEMO2 (EMC Update) v0.26_NRA_model_for_NEMO2 (EMC Update) v0 30 1" xfId="1655" xr:uid="{00000000-0005-0000-0000-000048060000}"/>
    <cellStyle name="%_NRA_model_for_NEMO2 (EMC Update) v0.25_NRA_model_for_NEMO2 (EMC Update) v0.26_NRA_model_for_NEMO2 (EMC Update) v0.29" xfId="1611" xr:uid="{00000000-0005-0000-0000-000049060000}"/>
    <cellStyle name="%_NRA_model_for_NEMO2 (EMC Update) v0.25_NRA_model_for_NEMO2 (EMC Update) v0.26_NRA_model_for_NEMO2 (EMC Update) v0.29.2" xfId="1612" xr:uid="{00000000-0005-0000-0000-00004A060000}"/>
    <cellStyle name="%_NRA_model_for_NEMO2 (EMC Update) v0.25_NRA_model_for_NEMO2 (EMC Update) v0.26_NRA_model_for_NEMO2 (EMC Update) v0.29.2_NRA_model_for_NEMO2 (EMC Update) v0 30 1" xfId="1623" xr:uid="{00000000-0005-0000-0000-00004B060000}"/>
    <cellStyle name="%_NRA_model_for_NEMO2 (EMC Update) v0.25_NRA_model_for_NEMO2 (EMC Update) v0.26_NRA_model_for_NEMO2 (EMC Update) v0.29.2_NRA_model_for_NEMO2 (EMC Update) v0.29.3" xfId="1613" xr:uid="{00000000-0005-0000-0000-00004C060000}"/>
    <cellStyle name="%_NRA_model_for_NEMO2 (EMC Update) v0.25_NRA_model_for_NEMO2 (EMC Update) v0.26_NRA_model_for_NEMO2 (EMC Update) v0.29.2_NRA_model_for_NEMO2 (EMC Update) v0.29.3_NRA_model_for_NEMO2 (EMC Update) v0 30 1" xfId="1616" xr:uid="{00000000-0005-0000-0000-00004D060000}"/>
    <cellStyle name="%_NRA_model_for_NEMO2 (EMC Update) v0.25_NRA_model_for_NEMO2 (EMC Update) v0.26_NRA_model_for_NEMO2 (EMC Update) v0.29.2_NRA_model_for_NEMO2 (EMC Update) v0.29.3_NRA_model_for_NEMO2 (EMC Update) v0.29.5" xfId="1614" xr:uid="{00000000-0005-0000-0000-00004E060000}"/>
    <cellStyle name="%_NRA_model_for_NEMO2 (EMC Update) v0.25_NRA_model_for_NEMO2 (EMC Update) v0.26_NRA_model_for_NEMO2 (EMC Update) v0.29.2_NRA_model_for_NEMO2 (EMC Update) v0.29.3_NRA_model_for_NEMO2 (EMC Update) v0.29.5_NRA_model_for_NEMO2 (EMC Update) v0 30 1" xfId="1615" xr:uid="{00000000-0005-0000-0000-00004F060000}"/>
    <cellStyle name="%_NRA_model_for_NEMO2 (EMC Update) v0.25_NRA_model_for_NEMO2 (EMC Update) v0.26_NRA_model_for_NEMO2 (EMC Update) v0.29.2_NRA_model_for_NEMO2 (EMC Update) v0.29.4" xfId="1617" xr:uid="{00000000-0005-0000-0000-000050060000}"/>
    <cellStyle name="%_NRA_model_for_NEMO2 (EMC Update) v0.25_NRA_model_for_NEMO2 (EMC Update) v0.26_NRA_model_for_NEMO2 (EMC Update) v0.29.2_NRA_model_for_NEMO2 (EMC Update) v0.29.4_NRA_model_for_NEMO2 (EMC Update) v0 30 1" xfId="1620" xr:uid="{00000000-0005-0000-0000-000051060000}"/>
    <cellStyle name="%_NRA_model_for_NEMO2 (EMC Update) v0.25_NRA_model_for_NEMO2 (EMC Update) v0.26_NRA_model_for_NEMO2 (EMC Update) v0.29.2_NRA_model_for_NEMO2 (EMC Update) v0.29.4_NRA_model_for_NEMO2 (EMC Update) v0.29.5" xfId="1618" xr:uid="{00000000-0005-0000-0000-000052060000}"/>
    <cellStyle name="%_NRA_model_for_NEMO2 (EMC Update) v0.25_NRA_model_for_NEMO2 (EMC Update) v0.26_NRA_model_for_NEMO2 (EMC Update) v0.29.2_NRA_model_for_NEMO2 (EMC Update) v0.29.4_NRA_model_for_NEMO2 (EMC Update) v0.29.5_NRA_model_for_NEMO2 (EMC Update) v0 30 1" xfId="1619" xr:uid="{00000000-0005-0000-0000-000053060000}"/>
    <cellStyle name="%_NRA_model_for_NEMO2 (EMC Update) v0.25_NRA_model_for_NEMO2 (EMC Update) v0.26_NRA_model_for_NEMO2 (EMC Update) v0.29.2_NRA_model_for_NEMO2 (EMC Update) v0.29.5" xfId="1621" xr:uid="{00000000-0005-0000-0000-000054060000}"/>
    <cellStyle name="%_NRA_model_for_NEMO2 (EMC Update) v0.25_NRA_model_for_NEMO2 (EMC Update) v0.26_NRA_model_for_NEMO2 (EMC Update) v0.29.2_NRA_model_for_NEMO2 (EMC Update) v0.29.5_NRA_model_for_NEMO2 (EMC Update) v0 30 1" xfId="1622" xr:uid="{00000000-0005-0000-0000-000055060000}"/>
    <cellStyle name="%_NRA_model_for_NEMO2 (EMC Update) v0.25_NRA_model_for_NEMO2 (EMC Update) v0.26_NRA_model_for_NEMO2 (EMC Update) v0.29.3" xfId="1624" xr:uid="{00000000-0005-0000-0000-000056060000}"/>
    <cellStyle name="%_NRA_model_for_NEMO2 (EMC Update) v0.25_NRA_model_for_NEMO2 (EMC Update) v0.26_NRA_model_for_NEMO2 (EMC Update) v0.29.3_NRA_model_for_NEMO2 (EMC Update) v0 30 1" xfId="1627" xr:uid="{00000000-0005-0000-0000-000057060000}"/>
    <cellStyle name="%_NRA_model_for_NEMO2 (EMC Update) v0.25_NRA_model_for_NEMO2 (EMC Update) v0.26_NRA_model_for_NEMO2 (EMC Update) v0.29.3_NRA_model_for_NEMO2 (EMC Update) v0.29.5" xfId="1625" xr:uid="{00000000-0005-0000-0000-000058060000}"/>
    <cellStyle name="%_NRA_model_for_NEMO2 (EMC Update) v0.25_NRA_model_for_NEMO2 (EMC Update) v0.26_NRA_model_for_NEMO2 (EMC Update) v0.29.3_NRA_model_for_NEMO2 (EMC Update) v0.29.5_NRA_model_for_NEMO2 (EMC Update) v0 30 1" xfId="1626" xr:uid="{00000000-0005-0000-0000-000059060000}"/>
    <cellStyle name="%_NRA_model_for_NEMO2 (EMC Update) v0.25_NRA_model_for_NEMO2 (EMC Update) v0.26_NRA_model_for_NEMO2 (EMC Update) v0.29.4" xfId="1628" xr:uid="{00000000-0005-0000-0000-00005A060000}"/>
    <cellStyle name="%_NRA_model_for_NEMO2 (EMC Update) v0.25_NRA_model_for_NEMO2 (EMC Update) v0.26_NRA_model_for_NEMO2 (EMC Update) v0.29.4_NRA_model_for_NEMO2 (EMC Update) v0 30 1" xfId="1631" xr:uid="{00000000-0005-0000-0000-00005B060000}"/>
    <cellStyle name="%_NRA_model_for_NEMO2 (EMC Update) v0.25_NRA_model_for_NEMO2 (EMC Update) v0.26_NRA_model_for_NEMO2 (EMC Update) v0.29.4_NRA_model_for_NEMO2 (EMC Update) v0.29.5" xfId="1629" xr:uid="{00000000-0005-0000-0000-00005C060000}"/>
    <cellStyle name="%_NRA_model_for_NEMO2 (EMC Update) v0.25_NRA_model_for_NEMO2 (EMC Update) v0.26_NRA_model_for_NEMO2 (EMC Update) v0.29.4_NRA_model_for_NEMO2 (EMC Update) v0.29.5_NRA_model_for_NEMO2 (EMC Update) v0 30 1" xfId="1630" xr:uid="{00000000-0005-0000-0000-00005D060000}"/>
    <cellStyle name="%_NRA_model_for_NEMO2 (EMC Update) v0.25_NRA_model_for_NEMO2 (EMC Update) v0.26_NRA_model_for_NEMO2 (EMC Update) v0.29.5" xfId="1632" xr:uid="{00000000-0005-0000-0000-00005E060000}"/>
    <cellStyle name="%_NRA_model_for_NEMO2 (EMC Update) v0.25_NRA_model_for_NEMO2 (EMC Update) v0.26_NRA_model_for_NEMO2 (EMC Update) v0.29.5_NRA_model_for_NEMO2 (EMC Update) v0 30 1" xfId="1633" xr:uid="{00000000-0005-0000-0000-00005F060000}"/>
    <cellStyle name="%_NRA_model_for_NEMO2 (EMC Update) v0.25_NRA_model_for_NEMO2 (EMC Update) v0.26_NRA_model_for_NEMO2 (EMC Update) v0.29_NRA_model_for_NEMO2 (EMC Update) v0 30 1" xfId="1654" xr:uid="{00000000-0005-0000-0000-000060060000}"/>
    <cellStyle name="%_NRA_model_for_NEMO2 (EMC Update) v0.25_NRA_model_for_NEMO2 (EMC Update) v0.26_NRA_model_for_NEMO2 (EMC Update) v0.29_NRA_model_for_NEMO2 (EMC Update) v0.29.2" xfId="1634" xr:uid="{00000000-0005-0000-0000-000061060000}"/>
    <cellStyle name="%_NRA_model_for_NEMO2 (EMC Update) v0.25_NRA_model_for_NEMO2 (EMC Update) v0.26_NRA_model_for_NEMO2 (EMC Update) v0.29_NRA_model_for_NEMO2 (EMC Update) v0.29.2_NRA_model_for_NEMO2 (EMC Update) v0 30 1" xfId="1643" xr:uid="{00000000-0005-0000-0000-000062060000}"/>
    <cellStyle name="%_NRA_model_for_NEMO2 (EMC Update) v0.25_NRA_model_for_NEMO2 (EMC Update) v0.26_NRA_model_for_NEMO2 (EMC Update) v0.29_NRA_model_for_NEMO2 (EMC Update) v0.29.2_NRA_model_for_NEMO2 (EMC Update) v0.29.3" xfId="1635" xr:uid="{00000000-0005-0000-0000-000063060000}"/>
    <cellStyle name="%_NRA_model_for_NEMO2 (EMC Update) v0.25_NRA_model_for_NEMO2 (EMC Update) v0.26_NRA_model_for_NEMO2 (EMC Update) v0.29_NRA_model_for_NEMO2 (EMC Update) v0.29.2_NRA_model_for_NEMO2 (EMC Update) v0.29.3_NRA_model_for_NEMO2 (EMC Update) v0 30 1" xfId="1637" xr:uid="{00000000-0005-0000-0000-000064060000}"/>
    <cellStyle name="%_NRA_model_for_NEMO2 (EMC Update) v0.25_NRA_model_for_NEMO2 (EMC Update) v0.26_NRA_model_for_NEMO2 (EMC Update) v0.29_NRA_model_for_NEMO2 (EMC Update) v0.29.2_NRA_model_for_NEMO2 (EMC Update) v0.29.3_NRA_model_for_NEMO2 (EMC Update) v0.29.5" xfId="1636" xr:uid="{00000000-0005-0000-0000-000065060000}"/>
    <cellStyle name="%_NRA_model_for_NEMO2 (EMC Update) v0.25_NRA_model_for_NEMO2 (EMC Update) v0.26_NRA_model_for_NEMO2 (EMC Update) v0.29_NRA_model_for_NEMO2 (EMC Update) v0.29.2_NRA_model_for_NEMO2 (EMC Update) v0.29.4" xfId="1638" xr:uid="{00000000-0005-0000-0000-000066060000}"/>
    <cellStyle name="%_NRA_model_for_NEMO2 (EMC Update) v0.25_NRA_model_for_NEMO2 (EMC Update) v0.26_NRA_model_for_NEMO2 (EMC Update) v0.29_NRA_model_for_NEMO2 (EMC Update) v0.29.2_NRA_model_for_NEMO2 (EMC Update) v0.29.4_NRA_model_for_NEMO2 (EMC Update) v0 30 1" xfId="1640" xr:uid="{00000000-0005-0000-0000-000067060000}"/>
    <cellStyle name="%_NRA_model_for_NEMO2 (EMC Update) v0.25_NRA_model_for_NEMO2 (EMC Update) v0.26_NRA_model_for_NEMO2 (EMC Update) v0.29_NRA_model_for_NEMO2 (EMC Update) v0.29.2_NRA_model_for_NEMO2 (EMC Update) v0.29.4_NRA_model_for_NEMO2 (EMC Update) v0.29.5" xfId="1639" xr:uid="{00000000-0005-0000-0000-000068060000}"/>
    <cellStyle name="%_NRA_model_for_NEMO2 (EMC Update) v0.25_NRA_model_for_NEMO2 (EMC Update) v0.26_NRA_model_for_NEMO2 (EMC Update) v0.29_NRA_model_for_NEMO2 (EMC Update) v0.29.2_NRA_model_for_NEMO2 (EMC Update) v0.29.5" xfId="1641" xr:uid="{00000000-0005-0000-0000-000069060000}"/>
    <cellStyle name="%_NRA_model_for_NEMO2 (EMC Update) v0.25_NRA_model_for_NEMO2 (EMC Update) v0.26_NRA_model_for_NEMO2 (EMC Update) v0.29_NRA_model_for_NEMO2 (EMC Update) v0.29.2_NRA_model_for_NEMO2 (EMC Update) v0.29.5_NRA_model_for_NEMO2 (EMC Update) v0 30 1" xfId="1642" xr:uid="{00000000-0005-0000-0000-00006A060000}"/>
    <cellStyle name="%_NRA_model_for_NEMO2 (EMC Update) v0.25_NRA_model_for_NEMO2 (EMC Update) v0.26_NRA_model_for_NEMO2 (EMC Update) v0.29_NRA_model_for_NEMO2 (EMC Update) v0.29.3" xfId="1644" xr:uid="{00000000-0005-0000-0000-00006B060000}"/>
    <cellStyle name="%_NRA_model_for_NEMO2 (EMC Update) v0.25_NRA_model_for_NEMO2 (EMC Update) v0.26_NRA_model_for_NEMO2 (EMC Update) v0.29_NRA_model_for_NEMO2 (EMC Update) v0.29.3_NRA_model_for_NEMO2 (EMC Update) v0 30 1" xfId="1647" xr:uid="{00000000-0005-0000-0000-00006C060000}"/>
    <cellStyle name="%_NRA_model_for_NEMO2 (EMC Update) v0.25_NRA_model_for_NEMO2 (EMC Update) v0.26_NRA_model_for_NEMO2 (EMC Update) v0.29_NRA_model_for_NEMO2 (EMC Update) v0.29.3_NRA_model_for_NEMO2 (EMC Update) v0.29.5" xfId="1645" xr:uid="{00000000-0005-0000-0000-00006D060000}"/>
    <cellStyle name="%_NRA_model_for_NEMO2 (EMC Update) v0.25_NRA_model_for_NEMO2 (EMC Update) v0.26_NRA_model_for_NEMO2 (EMC Update) v0.29_NRA_model_for_NEMO2 (EMC Update) v0.29.3_NRA_model_for_NEMO2 (EMC Update) v0.29.5_NRA_model_for_NEMO2 (EMC Update) v0 30 1" xfId="1646" xr:uid="{00000000-0005-0000-0000-00006E060000}"/>
    <cellStyle name="%_NRA_model_for_NEMO2 (EMC Update) v0.25_NRA_model_for_NEMO2 (EMC Update) v0.26_NRA_model_for_NEMO2 (EMC Update) v0.29_NRA_model_for_NEMO2 (EMC Update) v0.29.4" xfId="1648" xr:uid="{00000000-0005-0000-0000-00006F060000}"/>
    <cellStyle name="%_NRA_model_for_NEMO2 (EMC Update) v0.25_NRA_model_for_NEMO2 (EMC Update) v0.26_NRA_model_for_NEMO2 (EMC Update) v0.29_NRA_model_for_NEMO2 (EMC Update) v0.29.4_NRA_model_for_NEMO2 (EMC Update) v0 30 1" xfId="1651" xr:uid="{00000000-0005-0000-0000-000070060000}"/>
    <cellStyle name="%_NRA_model_for_NEMO2 (EMC Update) v0.25_NRA_model_for_NEMO2 (EMC Update) v0.26_NRA_model_for_NEMO2 (EMC Update) v0.29_NRA_model_for_NEMO2 (EMC Update) v0.29.4_NRA_model_for_NEMO2 (EMC Update) v0.29.5" xfId="1649" xr:uid="{00000000-0005-0000-0000-000071060000}"/>
    <cellStyle name="%_NRA_model_for_NEMO2 (EMC Update) v0.25_NRA_model_for_NEMO2 (EMC Update) v0.26_NRA_model_for_NEMO2 (EMC Update) v0.29_NRA_model_for_NEMO2 (EMC Update) v0.29.4_NRA_model_for_NEMO2 (EMC Update) v0.29.5_NRA_model_for_NEMO2 (EMC Update) v0 30 1" xfId="1650" xr:uid="{00000000-0005-0000-0000-000072060000}"/>
    <cellStyle name="%_NRA_model_for_NEMO2 (EMC Update) v0.25_NRA_model_for_NEMO2 (EMC Update) v0.26_NRA_model_for_NEMO2 (EMC Update) v0.29_NRA_model_for_NEMO2 (EMC Update) v0.29.5" xfId="1652" xr:uid="{00000000-0005-0000-0000-000073060000}"/>
    <cellStyle name="%_NRA_model_for_NEMO2 (EMC Update) v0.25_NRA_model_for_NEMO2 (EMC Update) v0.26_NRA_model_for_NEMO2 (EMC Update) v0.29_NRA_model_for_NEMO2 (EMC Update) v0.29.5_NRA_model_for_NEMO2 (EMC Update) v0 30 1" xfId="1653" xr:uid="{00000000-0005-0000-0000-000074060000}"/>
    <cellStyle name="%_NRA_model_for_NEMO2 (EMC Update) v0.25_NRA_model_for_NEMO2 (EMC Update) v0.29" xfId="1656" xr:uid="{00000000-0005-0000-0000-000075060000}"/>
    <cellStyle name="%_NRA_model_for_NEMO2 (EMC Update) v0.25_NRA_model_for_NEMO2 (EMC Update) v0.29.2" xfId="1657" xr:uid="{00000000-0005-0000-0000-000076060000}"/>
    <cellStyle name="%_NRA_model_for_NEMO2 (EMC Update) v0.25_NRA_model_for_NEMO2 (EMC Update) v0.29.2_NRA_model_for_NEMO2 (EMC Update) v0 30 1" xfId="1668" xr:uid="{00000000-0005-0000-0000-000077060000}"/>
    <cellStyle name="%_NRA_model_for_NEMO2 (EMC Update) v0.25_NRA_model_for_NEMO2 (EMC Update) v0.29.2_NRA_model_for_NEMO2 (EMC Update) v0.29.3" xfId="1658" xr:uid="{00000000-0005-0000-0000-000078060000}"/>
    <cellStyle name="%_NRA_model_for_NEMO2 (EMC Update) v0.25_NRA_model_for_NEMO2 (EMC Update) v0.29.2_NRA_model_for_NEMO2 (EMC Update) v0.29.3_NRA_model_for_NEMO2 (EMC Update) v0 30 1" xfId="1661" xr:uid="{00000000-0005-0000-0000-000079060000}"/>
    <cellStyle name="%_NRA_model_for_NEMO2 (EMC Update) v0.25_NRA_model_for_NEMO2 (EMC Update) v0.29.2_NRA_model_for_NEMO2 (EMC Update) v0.29.3_NRA_model_for_NEMO2 (EMC Update) v0.29.5" xfId="1659" xr:uid="{00000000-0005-0000-0000-00007A060000}"/>
    <cellStyle name="%_NRA_model_for_NEMO2 (EMC Update) v0.25_NRA_model_for_NEMO2 (EMC Update) v0.29.2_NRA_model_for_NEMO2 (EMC Update) v0.29.3_NRA_model_for_NEMO2 (EMC Update) v0.29.5_NRA_model_for_NEMO2 (EMC Update) v0 30 1" xfId="1660" xr:uid="{00000000-0005-0000-0000-00007B060000}"/>
    <cellStyle name="%_NRA_model_for_NEMO2 (EMC Update) v0.25_NRA_model_for_NEMO2 (EMC Update) v0.29.2_NRA_model_for_NEMO2 (EMC Update) v0.29.4" xfId="1662" xr:uid="{00000000-0005-0000-0000-00007C060000}"/>
    <cellStyle name="%_NRA_model_for_NEMO2 (EMC Update) v0.25_NRA_model_for_NEMO2 (EMC Update) v0.29.2_NRA_model_for_NEMO2 (EMC Update) v0.29.4_NRA_model_for_NEMO2 (EMC Update) v0 30 1" xfId="1665" xr:uid="{00000000-0005-0000-0000-00007D060000}"/>
    <cellStyle name="%_NRA_model_for_NEMO2 (EMC Update) v0.25_NRA_model_for_NEMO2 (EMC Update) v0.29.2_NRA_model_for_NEMO2 (EMC Update) v0.29.4_NRA_model_for_NEMO2 (EMC Update) v0.29.5" xfId="1663" xr:uid="{00000000-0005-0000-0000-00007E060000}"/>
    <cellStyle name="%_NRA_model_for_NEMO2 (EMC Update) v0.25_NRA_model_for_NEMO2 (EMC Update) v0.29.2_NRA_model_for_NEMO2 (EMC Update) v0.29.4_NRA_model_for_NEMO2 (EMC Update) v0.29.5_NRA_model_for_NEMO2 (EMC Update) v0 30 1" xfId="1664" xr:uid="{00000000-0005-0000-0000-00007F060000}"/>
    <cellStyle name="%_NRA_model_for_NEMO2 (EMC Update) v0.25_NRA_model_for_NEMO2 (EMC Update) v0.29.2_NRA_model_for_NEMO2 (EMC Update) v0.29.5" xfId="1666" xr:uid="{00000000-0005-0000-0000-000080060000}"/>
    <cellStyle name="%_NRA_model_for_NEMO2 (EMC Update) v0.25_NRA_model_for_NEMO2 (EMC Update) v0.29.2_NRA_model_for_NEMO2 (EMC Update) v0.29.5_NRA_model_for_NEMO2 (EMC Update) v0 30 1" xfId="1667" xr:uid="{00000000-0005-0000-0000-000081060000}"/>
    <cellStyle name="%_NRA_model_for_NEMO2 (EMC Update) v0.25_NRA_model_for_NEMO2 (EMC Update) v0.29.3" xfId="1669" xr:uid="{00000000-0005-0000-0000-000082060000}"/>
    <cellStyle name="%_NRA_model_for_NEMO2 (EMC Update) v0.25_NRA_model_for_NEMO2 (EMC Update) v0.29.3_NRA_model_for_NEMO2 (EMC Update) v0 30 1" xfId="1672" xr:uid="{00000000-0005-0000-0000-000083060000}"/>
    <cellStyle name="%_NRA_model_for_NEMO2 (EMC Update) v0.25_NRA_model_for_NEMO2 (EMC Update) v0.29.3_NRA_model_for_NEMO2 (EMC Update) v0.29.5" xfId="1670" xr:uid="{00000000-0005-0000-0000-000084060000}"/>
    <cellStyle name="%_NRA_model_for_NEMO2 (EMC Update) v0.25_NRA_model_for_NEMO2 (EMC Update) v0.29.3_NRA_model_for_NEMO2 (EMC Update) v0.29.5_NRA_model_for_NEMO2 (EMC Update) v0 30 1" xfId="1671" xr:uid="{00000000-0005-0000-0000-000085060000}"/>
    <cellStyle name="%_NRA_model_for_NEMO2 (EMC Update) v0.25_NRA_model_for_NEMO2 (EMC Update) v0.29.4" xfId="1673" xr:uid="{00000000-0005-0000-0000-000086060000}"/>
    <cellStyle name="%_NRA_model_for_NEMO2 (EMC Update) v0.25_NRA_model_for_NEMO2 (EMC Update) v0.29.4_NRA_model_for_NEMO2 (EMC Update) v0 30 1" xfId="1676" xr:uid="{00000000-0005-0000-0000-000087060000}"/>
    <cellStyle name="%_NRA_model_for_NEMO2 (EMC Update) v0.25_NRA_model_for_NEMO2 (EMC Update) v0.29.4_NRA_model_for_NEMO2 (EMC Update) v0.29.5" xfId="1674" xr:uid="{00000000-0005-0000-0000-000088060000}"/>
    <cellStyle name="%_NRA_model_for_NEMO2 (EMC Update) v0.25_NRA_model_for_NEMO2 (EMC Update) v0.29.4_NRA_model_for_NEMO2 (EMC Update) v0.29.5_NRA_model_for_NEMO2 (EMC Update) v0 30 1" xfId="1675" xr:uid="{00000000-0005-0000-0000-000089060000}"/>
    <cellStyle name="%_NRA_model_for_NEMO2 (EMC Update) v0.25_NRA_model_for_NEMO2 (EMC Update) v0.29.5" xfId="1677" xr:uid="{00000000-0005-0000-0000-00008A060000}"/>
    <cellStyle name="%_NRA_model_for_NEMO2 (EMC Update) v0.25_NRA_model_for_NEMO2 (EMC Update) v0.29.5_NRA_model_for_NEMO2 (EMC Update) v0 30 1" xfId="1678" xr:uid="{00000000-0005-0000-0000-00008B060000}"/>
    <cellStyle name="%_NRA_model_for_NEMO2 (EMC Update) v0.25_NRA_model_for_NEMO2 (EMC Update) v0.29_NRA_model_for_NEMO2 (EMC Update) v0 30 1" xfId="1701" xr:uid="{00000000-0005-0000-0000-00008C060000}"/>
    <cellStyle name="%_NRA_model_for_NEMO2 (EMC Update) v0.25_NRA_model_for_NEMO2 (EMC Update) v0.29_NRA_model_for_NEMO2 (EMC Update) v0.29.2" xfId="1679" xr:uid="{00000000-0005-0000-0000-00008D060000}"/>
    <cellStyle name="%_NRA_model_for_NEMO2 (EMC Update) v0.25_NRA_model_for_NEMO2 (EMC Update) v0.29_NRA_model_for_NEMO2 (EMC Update) v0.29.2_NRA_model_for_NEMO2 (EMC Update) v0 30 1" xfId="1690" xr:uid="{00000000-0005-0000-0000-00008E060000}"/>
    <cellStyle name="%_NRA_model_for_NEMO2 (EMC Update) v0.25_NRA_model_for_NEMO2 (EMC Update) v0.29_NRA_model_for_NEMO2 (EMC Update) v0.29.2_NRA_model_for_NEMO2 (EMC Update) v0.29.3" xfId="1680" xr:uid="{00000000-0005-0000-0000-00008F060000}"/>
    <cellStyle name="%_NRA_model_for_NEMO2 (EMC Update) v0.25_NRA_model_for_NEMO2 (EMC Update) v0.29_NRA_model_for_NEMO2 (EMC Update) v0.29.2_NRA_model_for_NEMO2 (EMC Update) v0.29.3_NRA_model_for_NEMO2 (EMC Update) v0 30 1" xfId="1683" xr:uid="{00000000-0005-0000-0000-000090060000}"/>
    <cellStyle name="%_NRA_model_for_NEMO2 (EMC Update) v0.25_NRA_model_for_NEMO2 (EMC Update) v0.29_NRA_model_for_NEMO2 (EMC Update) v0.29.2_NRA_model_for_NEMO2 (EMC Update) v0.29.3_NRA_model_for_NEMO2 (EMC Update) v0.29.5" xfId="1681" xr:uid="{00000000-0005-0000-0000-000091060000}"/>
    <cellStyle name="%_NRA_model_for_NEMO2 (EMC Update) v0.25_NRA_model_for_NEMO2 (EMC Update) v0.29_NRA_model_for_NEMO2 (EMC Update) v0.29.2_NRA_model_for_NEMO2 (EMC Update) v0.29.3_NRA_model_for_NEMO2 (EMC Update) v0.29.5_NRA_model_for_NEMO2 (EMC Update) v0 30 1" xfId="1682" xr:uid="{00000000-0005-0000-0000-000092060000}"/>
    <cellStyle name="%_NRA_model_for_NEMO2 (EMC Update) v0.25_NRA_model_for_NEMO2 (EMC Update) v0.29_NRA_model_for_NEMO2 (EMC Update) v0.29.2_NRA_model_for_NEMO2 (EMC Update) v0.29.4" xfId="1684" xr:uid="{00000000-0005-0000-0000-000093060000}"/>
    <cellStyle name="%_NRA_model_for_NEMO2 (EMC Update) v0.25_NRA_model_for_NEMO2 (EMC Update) v0.29_NRA_model_for_NEMO2 (EMC Update) v0.29.2_NRA_model_for_NEMO2 (EMC Update) v0.29.4_NRA_model_for_NEMO2 (EMC Update) v0 30 1" xfId="1687" xr:uid="{00000000-0005-0000-0000-000094060000}"/>
    <cellStyle name="%_NRA_model_for_NEMO2 (EMC Update) v0.25_NRA_model_for_NEMO2 (EMC Update) v0.29_NRA_model_for_NEMO2 (EMC Update) v0.29.2_NRA_model_for_NEMO2 (EMC Update) v0.29.4_NRA_model_for_NEMO2 (EMC Update) v0.29.5" xfId="1685" xr:uid="{00000000-0005-0000-0000-000095060000}"/>
    <cellStyle name="%_NRA_model_for_NEMO2 (EMC Update) v0.25_NRA_model_for_NEMO2 (EMC Update) v0.29_NRA_model_for_NEMO2 (EMC Update) v0.29.2_NRA_model_for_NEMO2 (EMC Update) v0.29.4_NRA_model_for_NEMO2 (EMC Update) v0.29.5_NRA_model_for_NEMO2 (EMC Update) v0 30 1" xfId="1686" xr:uid="{00000000-0005-0000-0000-000096060000}"/>
    <cellStyle name="%_NRA_model_for_NEMO2 (EMC Update) v0.25_NRA_model_for_NEMO2 (EMC Update) v0.29_NRA_model_for_NEMO2 (EMC Update) v0.29.2_NRA_model_for_NEMO2 (EMC Update) v0.29.5" xfId="1688" xr:uid="{00000000-0005-0000-0000-000097060000}"/>
    <cellStyle name="%_NRA_model_for_NEMO2 (EMC Update) v0.25_NRA_model_for_NEMO2 (EMC Update) v0.29_NRA_model_for_NEMO2 (EMC Update) v0.29.2_NRA_model_for_NEMO2 (EMC Update) v0.29.5_NRA_model_for_NEMO2 (EMC Update) v0 30 1" xfId="1689" xr:uid="{00000000-0005-0000-0000-000098060000}"/>
    <cellStyle name="%_NRA_model_for_NEMO2 (EMC Update) v0.25_NRA_model_for_NEMO2 (EMC Update) v0.29_NRA_model_for_NEMO2 (EMC Update) v0.29.3" xfId="1691" xr:uid="{00000000-0005-0000-0000-000099060000}"/>
    <cellStyle name="%_NRA_model_for_NEMO2 (EMC Update) v0.25_NRA_model_for_NEMO2 (EMC Update) v0.29_NRA_model_for_NEMO2 (EMC Update) v0.29.3_NRA_model_for_NEMO2 (EMC Update) v0 30 1" xfId="1694" xr:uid="{00000000-0005-0000-0000-00009A060000}"/>
    <cellStyle name="%_NRA_model_for_NEMO2 (EMC Update) v0.25_NRA_model_for_NEMO2 (EMC Update) v0.29_NRA_model_for_NEMO2 (EMC Update) v0.29.3_NRA_model_for_NEMO2 (EMC Update) v0.29.5" xfId="1692" xr:uid="{00000000-0005-0000-0000-00009B060000}"/>
    <cellStyle name="%_NRA_model_for_NEMO2 (EMC Update) v0.25_NRA_model_for_NEMO2 (EMC Update) v0.29_NRA_model_for_NEMO2 (EMC Update) v0.29.3_NRA_model_for_NEMO2 (EMC Update) v0.29.5_NRA_model_for_NEMO2 (EMC Update) v0 30 1" xfId="1693" xr:uid="{00000000-0005-0000-0000-00009C060000}"/>
    <cellStyle name="%_NRA_model_for_NEMO2 (EMC Update) v0.25_NRA_model_for_NEMO2 (EMC Update) v0.29_NRA_model_for_NEMO2 (EMC Update) v0.29.4" xfId="1695" xr:uid="{00000000-0005-0000-0000-00009D060000}"/>
    <cellStyle name="%_NRA_model_for_NEMO2 (EMC Update) v0.25_NRA_model_for_NEMO2 (EMC Update) v0.29_NRA_model_for_NEMO2 (EMC Update) v0.29.4_NRA_model_for_NEMO2 (EMC Update) v0 30 1" xfId="1698" xr:uid="{00000000-0005-0000-0000-00009E060000}"/>
    <cellStyle name="%_NRA_model_for_NEMO2 (EMC Update) v0.25_NRA_model_for_NEMO2 (EMC Update) v0.29_NRA_model_for_NEMO2 (EMC Update) v0.29.4_NRA_model_for_NEMO2 (EMC Update) v0.29.5" xfId="1696" xr:uid="{00000000-0005-0000-0000-00009F060000}"/>
    <cellStyle name="%_NRA_model_for_NEMO2 (EMC Update) v0.25_NRA_model_for_NEMO2 (EMC Update) v0.29_NRA_model_for_NEMO2 (EMC Update) v0.29.4_NRA_model_for_NEMO2 (EMC Update) v0.29.5_NRA_model_for_NEMO2 (EMC Update) v0 30 1" xfId="1697" xr:uid="{00000000-0005-0000-0000-0000A0060000}"/>
    <cellStyle name="%_NRA_model_for_NEMO2 (EMC Update) v0.25_NRA_model_for_NEMO2 (EMC Update) v0.29_NRA_model_for_NEMO2 (EMC Update) v0.29.5" xfId="1699" xr:uid="{00000000-0005-0000-0000-0000A1060000}"/>
    <cellStyle name="%_NRA_model_for_NEMO2 (EMC Update) v0.25_NRA_model_for_NEMO2 (EMC Update) v0.29_NRA_model_for_NEMO2 (EMC Update) v0.29.5_NRA_model_for_NEMO2 (EMC Update) v0 30 1" xfId="1700" xr:uid="{00000000-0005-0000-0000-0000A2060000}"/>
    <cellStyle name="%_NRA_model_for_NEMO2 (EMC Update) v0.26" xfId="1703" xr:uid="{00000000-0005-0000-0000-0000A3060000}"/>
    <cellStyle name="%_NRA_model_for_NEMO2 (EMC Update) v0.26_NRA_model_for_NEMO2 (EMC Update) v0 30 1" xfId="1750" xr:uid="{00000000-0005-0000-0000-0000A4060000}"/>
    <cellStyle name="%_NRA_model_for_NEMO2 (EMC Update) v0.26_NRA_model_for_NEMO2 (EMC Update) v0.29" xfId="1704" xr:uid="{00000000-0005-0000-0000-0000A5060000}"/>
    <cellStyle name="%_NRA_model_for_NEMO2 (EMC Update) v0.26_NRA_model_for_NEMO2 (EMC Update) v0.29.2" xfId="1705" xr:uid="{00000000-0005-0000-0000-0000A6060000}"/>
    <cellStyle name="%_NRA_model_for_NEMO2 (EMC Update) v0.26_NRA_model_for_NEMO2 (EMC Update) v0.29.2_NRA_model_for_NEMO2 (EMC Update) v0 30 1" xfId="1716" xr:uid="{00000000-0005-0000-0000-0000A7060000}"/>
    <cellStyle name="%_NRA_model_for_NEMO2 (EMC Update) v0.26_NRA_model_for_NEMO2 (EMC Update) v0.29.2_NRA_model_for_NEMO2 (EMC Update) v0.29.3" xfId="1706" xr:uid="{00000000-0005-0000-0000-0000A8060000}"/>
    <cellStyle name="%_NRA_model_for_NEMO2 (EMC Update) v0.26_NRA_model_for_NEMO2 (EMC Update) v0.29.2_NRA_model_for_NEMO2 (EMC Update) v0.29.3_NRA_model_for_NEMO2 (EMC Update) v0 30 1" xfId="1709" xr:uid="{00000000-0005-0000-0000-0000A9060000}"/>
    <cellStyle name="%_NRA_model_for_NEMO2 (EMC Update) v0.26_NRA_model_for_NEMO2 (EMC Update) v0.29.2_NRA_model_for_NEMO2 (EMC Update) v0.29.3_NRA_model_for_NEMO2 (EMC Update) v0.29.5" xfId="1707" xr:uid="{00000000-0005-0000-0000-0000AA060000}"/>
    <cellStyle name="%_NRA_model_for_NEMO2 (EMC Update) v0.26_NRA_model_for_NEMO2 (EMC Update) v0.29.2_NRA_model_for_NEMO2 (EMC Update) v0.29.3_NRA_model_for_NEMO2 (EMC Update) v0.29.5_NRA_model_for_NEMO2 (EMC Update) v0 30 1" xfId="1708" xr:uid="{00000000-0005-0000-0000-0000AB060000}"/>
    <cellStyle name="%_NRA_model_for_NEMO2 (EMC Update) v0.26_NRA_model_for_NEMO2 (EMC Update) v0.29.2_NRA_model_for_NEMO2 (EMC Update) v0.29.4" xfId="1710" xr:uid="{00000000-0005-0000-0000-0000AC060000}"/>
    <cellStyle name="%_NRA_model_for_NEMO2 (EMC Update) v0.26_NRA_model_for_NEMO2 (EMC Update) v0.29.2_NRA_model_for_NEMO2 (EMC Update) v0.29.4_NRA_model_for_NEMO2 (EMC Update) v0 30 1" xfId="1713" xr:uid="{00000000-0005-0000-0000-0000AD060000}"/>
    <cellStyle name="%_NRA_model_for_NEMO2 (EMC Update) v0.26_NRA_model_for_NEMO2 (EMC Update) v0.29.2_NRA_model_for_NEMO2 (EMC Update) v0.29.4_NRA_model_for_NEMO2 (EMC Update) v0.29.5" xfId="1711" xr:uid="{00000000-0005-0000-0000-0000AE060000}"/>
    <cellStyle name="%_NRA_model_for_NEMO2 (EMC Update) v0.26_NRA_model_for_NEMO2 (EMC Update) v0.29.2_NRA_model_for_NEMO2 (EMC Update) v0.29.4_NRA_model_for_NEMO2 (EMC Update) v0.29.5_NRA_model_for_NEMO2 (EMC Update) v0 30 1" xfId="1712" xr:uid="{00000000-0005-0000-0000-0000AF060000}"/>
    <cellStyle name="%_NRA_model_for_NEMO2 (EMC Update) v0.26_NRA_model_for_NEMO2 (EMC Update) v0.29.2_NRA_model_for_NEMO2 (EMC Update) v0.29.5" xfId="1714" xr:uid="{00000000-0005-0000-0000-0000B0060000}"/>
    <cellStyle name="%_NRA_model_for_NEMO2 (EMC Update) v0.26_NRA_model_for_NEMO2 (EMC Update) v0.29.2_NRA_model_for_NEMO2 (EMC Update) v0.29.5_NRA_model_for_NEMO2 (EMC Update) v0 30 1" xfId="1715" xr:uid="{00000000-0005-0000-0000-0000B1060000}"/>
    <cellStyle name="%_NRA_model_for_NEMO2 (EMC Update) v0.26_NRA_model_for_NEMO2 (EMC Update) v0.29.3" xfId="1717" xr:uid="{00000000-0005-0000-0000-0000B2060000}"/>
    <cellStyle name="%_NRA_model_for_NEMO2 (EMC Update) v0.26_NRA_model_for_NEMO2 (EMC Update) v0.29.3_NRA_model_for_NEMO2 (EMC Update) v0 30 1" xfId="1720" xr:uid="{00000000-0005-0000-0000-0000B3060000}"/>
    <cellStyle name="%_NRA_model_for_NEMO2 (EMC Update) v0.26_NRA_model_for_NEMO2 (EMC Update) v0.29.3_NRA_model_for_NEMO2 (EMC Update) v0.29.5" xfId="1718" xr:uid="{00000000-0005-0000-0000-0000B4060000}"/>
    <cellStyle name="%_NRA_model_for_NEMO2 (EMC Update) v0.26_NRA_model_for_NEMO2 (EMC Update) v0.29.3_NRA_model_for_NEMO2 (EMC Update) v0.29.5_NRA_model_for_NEMO2 (EMC Update) v0 30 1" xfId="1719" xr:uid="{00000000-0005-0000-0000-0000B5060000}"/>
    <cellStyle name="%_NRA_model_for_NEMO2 (EMC Update) v0.26_NRA_model_for_NEMO2 (EMC Update) v0.29.4" xfId="1721" xr:uid="{00000000-0005-0000-0000-0000B6060000}"/>
    <cellStyle name="%_NRA_model_for_NEMO2 (EMC Update) v0.26_NRA_model_for_NEMO2 (EMC Update) v0.29.4_NRA_model_for_NEMO2 (EMC Update) v0 30 1" xfId="1724" xr:uid="{00000000-0005-0000-0000-0000B7060000}"/>
    <cellStyle name="%_NRA_model_for_NEMO2 (EMC Update) v0.26_NRA_model_for_NEMO2 (EMC Update) v0.29.4_NRA_model_for_NEMO2 (EMC Update) v0.29.5" xfId="1722" xr:uid="{00000000-0005-0000-0000-0000B8060000}"/>
    <cellStyle name="%_NRA_model_for_NEMO2 (EMC Update) v0.26_NRA_model_for_NEMO2 (EMC Update) v0.29.4_NRA_model_for_NEMO2 (EMC Update) v0.29.5_NRA_model_for_NEMO2 (EMC Update) v0 30 1" xfId="1723" xr:uid="{00000000-0005-0000-0000-0000B9060000}"/>
    <cellStyle name="%_NRA_model_for_NEMO2 (EMC Update) v0.26_NRA_model_for_NEMO2 (EMC Update) v0.29.5" xfId="1725" xr:uid="{00000000-0005-0000-0000-0000BA060000}"/>
    <cellStyle name="%_NRA_model_for_NEMO2 (EMC Update) v0.26_NRA_model_for_NEMO2 (EMC Update) v0.29.5_NRA_model_for_NEMO2 (EMC Update) v0 30 1" xfId="1726" xr:uid="{00000000-0005-0000-0000-0000BB060000}"/>
    <cellStyle name="%_NRA_model_for_NEMO2 (EMC Update) v0.26_NRA_model_for_NEMO2 (EMC Update) v0.29_NRA_model_for_NEMO2 (EMC Update) v0 30 1" xfId="1749" xr:uid="{00000000-0005-0000-0000-0000BC060000}"/>
    <cellStyle name="%_NRA_model_for_NEMO2 (EMC Update) v0.26_NRA_model_for_NEMO2 (EMC Update) v0.29_NRA_model_for_NEMO2 (EMC Update) v0.29.2" xfId="1727" xr:uid="{00000000-0005-0000-0000-0000BD060000}"/>
    <cellStyle name="%_NRA_model_for_NEMO2 (EMC Update) v0.26_NRA_model_for_NEMO2 (EMC Update) v0.29_NRA_model_for_NEMO2 (EMC Update) v0.29.2_NRA_model_for_NEMO2 (EMC Update) v0 30 1" xfId="1738" xr:uid="{00000000-0005-0000-0000-0000BE060000}"/>
    <cellStyle name="%_NRA_model_for_NEMO2 (EMC Update) v0.26_NRA_model_for_NEMO2 (EMC Update) v0.29_NRA_model_for_NEMO2 (EMC Update) v0.29.2_NRA_model_for_NEMO2 (EMC Update) v0.29.3" xfId="1728" xr:uid="{00000000-0005-0000-0000-0000BF060000}"/>
    <cellStyle name="%_NRA_model_for_NEMO2 (EMC Update) v0.26_NRA_model_for_NEMO2 (EMC Update) v0.29_NRA_model_for_NEMO2 (EMC Update) v0.29.2_NRA_model_for_NEMO2 (EMC Update) v0.29.3_NRA_model_for_NEMO2 (EMC Update) v0 30 1" xfId="1731" xr:uid="{00000000-0005-0000-0000-0000C0060000}"/>
    <cellStyle name="%_NRA_model_for_NEMO2 (EMC Update) v0.26_NRA_model_for_NEMO2 (EMC Update) v0.29_NRA_model_for_NEMO2 (EMC Update) v0.29.2_NRA_model_for_NEMO2 (EMC Update) v0.29.3_NRA_model_for_NEMO2 (EMC Update) v0.29.5" xfId="1729" xr:uid="{00000000-0005-0000-0000-0000C1060000}"/>
    <cellStyle name="%_NRA_model_for_NEMO2 (EMC Update) v0.26_NRA_model_for_NEMO2 (EMC Update) v0.29_NRA_model_for_NEMO2 (EMC Update) v0.29.2_NRA_model_for_NEMO2 (EMC Update) v0.29.3_NRA_model_for_NEMO2 (EMC Update) v0.29.5_NRA_model_for_NEMO2 (EMC Update) v0 30 1" xfId="1730" xr:uid="{00000000-0005-0000-0000-0000C2060000}"/>
    <cellStyle name="%_NRA_model_for_NEMO2 (EMC Update) v0.26_NRA_model_for_NEMO2 (EMC Update) v0.29_NRA_model_for_NEMO2 (EMC Update) v0.29.2_NRA_model_for_NEMO2 (EMC Update) v0.29.4" xfId="1732" xr:uid="{00000000-0005-0000-0000-0000C3060000}"/>
    <cellStyle name="%_NRA_model_for_NEMO2 (EMC Update) v0.26_NRA_model_for_NEMO2 (EMC Update) v0.29_NRA_model_for_NEMO2 (EMC Update) v0.29.2_NRA_model_for_NEMO2 (EMC Update) v0.29.4_NRA_model_for_NEMO2 (EMC Update) v0 30 1" xfId="1735" xr:uid="{00000000-0005-0000-0000-0000C4060000}"/>
    <cellStyle name="%_NRA_model_for_NEMO2 (EMC Update) v0.26_NRA_model_for_NEMO2 (EMC Update) v0.29_NRA_model_for_NEMO2 (EMC Update) v0.29.2_NRA_model_for_NEMO2 (EMC Update) v0.29.4_NRA_model_for_NEMO2 (EMC Update) v0.29.5" xfId="1733" xr:uid="{00000000-0005-0000-0000-0000C5060000}"/>
    <cellStyle name="%_NRA_model_for_NEMO2 (EMC Update) v0.26_NRA_model_for_NEMO2 (EMC Update) v0.29_NRA_model_for_NEMO2 (EMC Update) v0.29.2_NRA_model_for_NEMO2 (EMC Update) v0.29.4_NRA_model_for_NEMO2 (EMC Update) v0.29.5_NRA_model_for_NEMO2 (EMC Update) v0 30 1" xfId="1734" xr:uid="{00000000-0005-0000-0000-0000C6060000}"/>
    <cellStyle name="%_NRA_model_for_NEMO2 (EMC Update) v0.26_NRA_model_for_NEMO2 (EMC Update) v0.29_NRA_model_for_NEMO2 (EMC Update) v0.29.2_NRA_model_for_NEMO2 (EMC Update) v0.29.5" xfId="1736" xr:uid="{00000000-0005-0000-0000-0000C7060000}"/>
    <cellStyle name="%_NRA_model_for_NEMO2 (EMC Update) v0.26_NRA_model_for_NEMO2 (EMC Update) v0.29_NRA_model_for_NEMO2 (EMC Update) v0.29.2_NRA_model_for_NEMO2 (EMC Update) v0.29.5_NRA_model_for_NEMO2 (EMC Update) v0 30 1" xfId="1737" xr:uid="{00000000-0005-0000-0000-0000C8060000}"/>
    <cellStyle name="%_NRA_model_for_NEMO2 (EMC Update) v0.26_NRA_model_for_NEMO2 (EMC Update) v0.29_NRA_model_for_NEMO2 (EMC Update) v0.29.3" xfId="1739" xr:uid="{00000000-0005-0000-0000-0000C9060000}"/>
    <cellStyle name="%_NRA_model_for_NEMO2 (EMC Update) v0.26_NRA_model_for_NEMO2 (EMC Update) v0.29_NRA_model_for_NEMO2 (EMC Update) v0.29.3_NRA_model_for_NEMO2 (EMC Update) v0 30 1" xfId="1742" xr:uid="{00000000-0005-0000-0000-0000CA060000}"/>
    <cellStyle name="%_NRA_model_for_NEMO2 (EMC Update) v0.26_NRA_model_for_NEMO2 (EMC Update) v0.29_NRA_model_for_NEMO2 (EMC Update) v0.29.3_NRA_model_for_NEMO2 (EMC Update) v0.29.5" xfId="1740" xr:uid="{00000000-0005-0000-0000-0000CB060000}"/>
    <cellStyle name="%_NRA_model_for_NEMO2 (EMC Update) v0.26_NRA_model_for_NEMO2 (EMC Update) v0.29_NRA_model_for_NEMO2 (EMC Update) v0.29.3_NRA_model_for_NEMO2 (EMC Update) v0.29.5_NRA_model_for_NEMO2 (EMC Update) v0 30 1" xfId="1741" xr:uid="{00000000-0005-0000-0000-0000CC060000}"/>
    <cellStyle name="%_NRA_model_for_NEMO2 (EMC Update) v0.26_NRA_model_for_NEMO2 (EMC Update) v0.29_NRA_model_for_NEMO2 (EMC Update) v0.29.4" xfId="1743" xr:uid="{00000000-0005-0000-0000-0000CD060000}"/>
    <cellStyle name="%_NRA_model_for_NEMO2 (EMC Update) v0.26_NRA_model_for_NEMO2 (EMC Update) v0.29_NRA_model_for_NEMO2 (EMC Update) v0.29.4_NRA_model_for_NEMO2 (EMC Update) v0 30 1" xfId="1746" xr:uid="{00000000-0005-0000-0000-0000CE060000}"/>
    <cellStyle name="%_NRA_model_for_NEMO2 (EMC Update) v0.26_NRA_model_for_NEMO2 (EMC Update) v0.29_NRA_model_for_NEMO2 (EMC Update) v0.29.4_NRA_model_for_NEMO2 (EMC Update) v0.29.5" xfId="1744" xr:uid="{00000000-0005-0000-0000-0000CF060000}"/>
    <cellStyle name="%_NRA_model_for_NEMO2 (EMC Update) v0.26_NRA_model_for_NEMO2 (EMC Update) v0.29_NRA_model_for_NEMO2 (EMC Update) v0.29.4_NRA_model_for_NEMO2 (EMC Update) v0.29.5_NRA_model_for_NEMO2 (EMC Update) v0 30 1" xfId="1745" xr:uid="{00000000-0005-0000-0000-0000D0060000}"/>
    <cellStyle name="%_NRA_model_for_NEMO2 (EMC Update) v0.26_NRA_model_for_NEMO2 (EMC Update) v0.29_NRA_model_for_NEMO2 (EMC Update) v0.29.5" xfId="1747" xr:uid="{00000000-0005-0000-0000-0000D1060000}"/>
    <cellStyle name="%_NRA_model_for_NEMO2 (EMC Update) v0.26_NRA_model_for_NEMO2 (EMC Update) v0.29_NRA_model_for_NEMO2 (EMC Update) v0.29.5_NRA_model_for_NEMO2 (EMC Update) v0 30 1" xfId="1748" xr:uid="{00000000-0005-0000-0000-0000D2060000}"/>
    <cellStyle name="%_NRA_model_for_NEMO2 (EMC Update) v0.29" xfId="1751" xr:uid="{00000000-0005-0000-0000-0000D3060000}"/>
    <cellStyle name="%_NRA_model_for_NEMO2 (EMC Update) v0.29.2" xfId="1752" xr:uid="{00000000-0005-0000-0000-0000D4060000}"/>
    <cellStyle name="%_NRA_model_for_NEMO2 (EMC Update) v0.29.2_NRA_model_for_NEMO2 (EMC Update) v0 30 1" xfId="1763" xr:uid="{00000000-0005-0000-0000-0000D5060000}"/>
    <cellStyle name="%_NRA_model_for_NEMO2 (EMC Update) v0.29.2_NRA_model_for_NEMO2 (EMC Update) v0.29.3" xfId="1753" xr:uid="{00000000-0005-0000-0000-0000D6060000}"/>
    <cellStyle name="%_NRA_model_for_NEMO2 (EMC Update) v0.29.2_NRA_model_for_NEMO2 (EMC Update) v0.29.3_NRA_model_for_NEMO2 (EMC Update) v0 30 1" xfId="1756" xr:uid="{00000000-0005-0000-0000-0000D7060000}"/>
    <cellStyle name="%_NRA_model_for_NEMO2 (EMC Update) v0.29.2_NRA_model_for_NEMO2 (EMC Update) v0.29.3_NRA_model_for_NEMO2 (EMC Update) v0.29.5" xfId="1754" xr:uid="{00000000-0005-0000-0000-0000D8060000}"/>
    <cellStyle name="%_NRA_model_for_NEMO2 (EMC Update) v0.29.2_NRA_model_for_NEMO2 (EMC Update) v0.29.3_NRA_model_for_NEMO2 (EMC Update) v0.29.5_NRA_model_for_NEMO2 (EMC Update) v0 30 1" xfId="1755" xr:uid="{00000000-0005-0000-0000-0000D9060000}"/>
    <cellStyle name="%_NRA_model_for_NEMO2 (EMC Update) v0.29.2_NRA_model_for_NEMO2 (EMC Update) v0.29.4" xfId="1757" xr:uid="{00000000-0005-0000-0000-0000DA060000}"/>
    <cellStyle name="%_NRA_model_for_NEMO2 (EMC Update) v0.29.2_NRA_model_for_NEMO2 (EMC Update) v0.29.4_NRA_model_for_NEMO2 (EMC Update) v0 30 1" xfId="1760" xr:uid="{00000000-0005-0000-0000-0000DB060000}"/>
    <cellStyle name="%_NRA_model_for_NEMO2 (EMC Update) v0.29.2_NRA_model_for_NEMO2 (EMC Update) v0.29.4_NRA_model_for_NEMO2 (EMC Update) v0.29.5" xfId="1758" xr:uid="{00000000-0005-0000-0000-0000DC060000}"/>
    <cellStyle name="%_NRA_model_for_NEMO2 (EMC Update) v0.29.2_NRA_model_for_NEMO2 (EMC Update) v0.29.4_NRA_model_for_NEMO2 (EMC Update) v0.29.5_NRA_model_for_NEMO2 (EMC Update) v0 30 1" xfId="1759" xr:uid="{00000000-0005-0000-0000-0000DD060000}"/>
    <cellStyle name="%_NRA_model_for_NEMO2 (EMC Update) v0.29.2_NRA_model_for_NEMO2 (EMC Update) v0.29.5" xfId="1761" xr:uid="{00000000-0005-0000-0000-0000DE060000}"/>
    <cellStyle name="%_NRA_model_for_NEMO2 (EMC Update) v0.29.2_NRA_model_for_NEMO2 (EMC Update) v0.29.5_NRA_model_for_NEMO2 (EMC Update) v0 30 1" xfId="1762" xr:uid="{00000000-0005-0000-0000-0000DF060000}"/>
    <cellStyle name="%_NRA_model_for_NEMO2 (EMC Update) v0.29.3" xfId="1764" xr:uid="{00000000-0005-0000-0000-0000E0060000}"/>
    <cellStyle name="%_NRA_model_for_NEMO2 (EMC Update) v0.29.3_NRA_model_for_NEMO2 (EMC Update) v0 30 1" xfId="1767" xr:uid="{00000000-0005-0000-0000-0000E1060000}"/>
    <cellStyle name="%_NRA_model_for_NEMO2 (EMC Update) v0.29.3_NRA_model_for_NEMO2 (EMC Update) v0.29.5" xfId="1765" xr:uid="{00000000-0005-0000-0000-0000E2060000}"/>
    <cellStyle name="%_NRA_model_for_NEMO2 (EMC Update) v0.29.3_NRA_model_for_NEMO2 (EMC Update) v0.29.5_NRA_model_for_NEMO2 (EMC Update) v0 30 1" xfId="1766" xr:uid="{00000000-0005-0000-0000-0000E3060000}"/>
    <cellStyle name="%_NRA_model_for_NEMO2 (EMC Update) v0.29.4" xfId="1768" xr:uid="{00000000-0005-0000-0000-0000E4060000}"/>
    <cellStyle name="%_NRA_model_for_NEMO2 (EMC Update) v0.29.4_NRA_model_for_NEMO2 (EMC Update) v0 30 1" xfId="1771" xr:uid="{00000000-0005-0000-0000-0000E5060000}"/>
    <cellStyle name="%_NRA_model_for_NEMO2 (EMC Update) v0.29.4_NRA_model_for_NEMO2 (EMC Update) v0.29.5" xfId="1769" xr:uid="{00000000-0005-0000-0000-0000E6060000}"/>
    <cellStyle name="%_NRA_model_for_NEMO2 (EMC Update) v0.29.4_NRA_model_for_NEMO2 (EMC Update) v0.29.5_NRA_model_for_NEMO2 (EMC Update) v0 30 1" xfId="1770" xr:uid="{00000000-0005-0000-0000-0000E7060000}"/>
    <cellStyle name="%_NRA_model_for_NEMO2 (EMC Update) v0.29.5" xfId="1772" xr:uid="{00000000-0005-0000-0000-0000E8060000}"/>
    <cellStyle name="%_NRA_model_for_NEMO2 (EMC Update) v0.29.5_NRA_model_for_NEMO2 (EMC Update) v0 30 1" xfId="1773" xr:uid="{00000000-0005-0000-0000-0000E9060000}"/>
    <cellStyle name="%_NRA_model_for_NEMO2 (EMC Update) v0.29_NRA_model_for_NEMO2 (EMC Update) v0 30 1" xfId="1796" xr:uid="{00000000-0005-0000-0000-0000EA060000}"/>
    <cellStyle name="%_NRA_model_for_NEMO2 (EMC Update) v0.29_NRA_model_for_NEMO2 (EMC Update) v0.29.2" xfId="1774" xr:uid="{00000000-0005-0000-0000-0000EB060000}"/>
    <cellStyle name="%_NRA_model_for_NEMO2 (EMC Update) v0.29_NRA_model_for_NEMO2 (EMC Update) v0.29.2_NRA_model_for_NEMO2 (EMC Update) v0 30 1" xfId="1785" xr:uid="{00000000-0005-0000-0000-0000EC060000}"/>
    <cellStyle name="%_NRA_model_for_NEMO2 (EMC Update) v0.29_NRA_model_for_NEMO2 (EMC Update) v0.29.2_NRA_model_for_NEMO2 (EMC Update) v0.29.3" xfId="1775" xr:uid="{00000000-0005-0000-0000-0000ED060000}"/>
    <cellStyle name="%_NRA_model_for_NEMO2 (EMC Update) v0.29_NRA_model_for_NEMO2 (EMC Update) v0.29.2_NRA_model_for_NEMO2 (EMC Update) v0.29.3_NRA_model_for_NEMO2 (EMC Update) v0 30 1" xfId="1778" xr:uid="{00000000-0005-0000-0000-0000EE060000}"/>
    <cellStyle name="%_NRA_model_for_NEMO2 (EMC Update) v0.29_NRA_model_for_NEMO2 (EMC Update) v0.29.2_NRA_model_for_NEMO2 (EMC Update) v0.29.3_NRA_model_for_NEMO2 (EMC Update) v0.29.5" xfId="1776" xr:uid="{00000000-0005-0000-0000-0000EF060000}"/>
    <cellStyle name="%_NRA_model_for_NEMO2 (EMC Update) v0.29_NRA_model_for_NEMO2 (EMC Update) v0.29.2_NRA_model_for_NEMO2 (EMC Update) v0.29.3_NRA_model_for_NEMO2 (EMC Update) v0.29.5_NRA_model_for_NEMO2 (EMC Update) v0 30 1" xfId="1777" xr:uid="{00000000-0005-0000-0000-0000F0060000}"/>
    <cellStyle name="%_NRA_model_for_NEMO2 (EMC Update) v0.29_NRA_model_for_NEMO2 (EMC Update) v0.29.2_NRA_model_for_NEMO2 (EMC Update) v0.29.4" xfId="1779" xr:uid="{00000000-0005-0000-0000-0000F1060000}"/>
    <cellStyle name="%_NRA_model_for_NEMO2 (EMC Update) v0.29_NRA_model_for_NEMO2 (EMC Update) v0.29.2_NRA_model_for_NEMO2 (EMC Update) v0.29.4_NRA_model_for_NEMO2 (EMC Update) v0 30 1" xfId="1782" xr:uid="{00000000-0005-0000-0000-0000F2060000}"/>
    <cellStyle name="%_NRA_model_for_NEMO2 (EMC Update) v0.29_NRA_model_for_NEMO2 (EMC Update) v0.29.2_NRA_model_for_NEMO2 (EMC Update) v0.29.4_NRA_model_for_NEMO2 (EMC Update) v0.29.5" xfId="1780" xr:uid="{00000000-0005-0000-0000-0000F3060000}"/>
    <cellStyle name="%_NRA_model_for_NEMO2 (EMC Update) v0.29_NRA_model_for_NEMO2 (EMC Update) v0.29.2_NRA_model_for_NEMO2 (EMC Update) v0.29.4_NRA_model_for_NEMO2 (EMC Update) v0.29.5_NRA_model_for_NEMO2 (EMC Update) v0 30 1" xfId="1781" xr:uid="{00000000-0005-0000-0000-0000F4060000}"/>
    <cellStyle name="%_NRA_model_for_NEMO2 (EMC Update) v0.29_NRA_model_for_NEMO2 (EMC Update) v0.29.2_NRA_model_for_NEMO2 (EMC Update) v0.29.5" xfId="1783" xr:uid="{00000000-0005-0000-0000-0000F5060000}"/>
    <cellStyle name="%_NRA_model_for_NEMO2 (EMC Update) v0.29_NRA_model_for_NEMO2 (EMC Update) v0.29.2_NRA_model_for_NEMO2 (EMC Update) v0.29.5_NRA_model_for_NEMO2 (EMC Update) v0 30 1" xfId="1784" xr:uid="{00000000-0005-0000-0000-0000F6060000}"/>
    <cellStyle name="%_NRA_model_for_NEMO2 (EMC Update) v0.29_NRA_model_for_NEMO2 (EMC Update) v0.29.3" xfId="1786" xr:uid="{00000000-0005-0000-0000-0000F7060000}"/>
    <cellStyle name="%_NRA_model_for_NEMO2 (EMC Update) v0.29_NRA_model_for_NEMO2 (EMC Update) v0.29.3_NRA_model_for_NEMO2 (EMC Update) v0 30 1" xfId="1789" xr:uid="{00000000-0005-0000-0000-0000F8060000}"/>
    <cellStyle name="%_NRA_model_for_NEMO2 (EMC Update) v0.29_NRA_model_for_NEMO2 (EMC Update) v0.29.3_NRA_model_for_NEMO2 (EMC Update) v0.29.5" xfId="1787" xr:uid="{00000000-0005-0000-0000-0000F9060000}"/>
    <cellStyle name="%_NRA_model_for_NEMO2 (EMC Update) v0.29_NRA_model_for_NEMO2 (EMC Update) v0.29.3_NRA_model_for_NEMO2 (EMC Update) v0.29.5_NRA_model_for_NEMO2 (EMC Update) v0 30 1" xfId="1788" xr:uid="{00000000-0005-0000-0000-0000FA060000}"/>
    <cellStyle name="%_NRA_model_for_NEMO2 (EMC Update) v0.29_NRA_model_for_NEMO2 (EMC Update) v0.29.4" xfId="1790" xr:uid="{00000000-0005-0000-0000-0000FB060000}"/>
    <cellStyle name="%_NRA_model_for_NEMO2 (EMC Update) v0.29_NRA_model_for_NEMO2 (EMC Update) v0.29.4_NRA_model_for_NEMO2 (EMC Update) v0 30 1" xfId="1793" xr:uid="{00000000-0005-0000-0000-0000FC060000}"/>
    <cellStyle name="%_NRA_model_for_NEMO2 (EMC Update) v0.29_NRA_model_for_NEMO2 (EMC Update) v0.29.4_NRA_model_for_NEMO2 (EMC Update) v0.29.5" xfId="1791" xr:uid="{00000000-0005-0000-0000-0000FD060000}"/>
    <cellStyle name="%_NRA_model_for_NEMO2 (EMC Update) v0.29_NRA_model_for_NEMO2 (EMC Update) v0.29.4_NRA_model_for_NEMO2 (EMC Update) v0.29.5_NRA_model_for_NEMO2 (EMC Update) v0 30 1" xfId="1792" xr:uid="{00000000-0005-0000-0000-0000FE060000}"/>
    <cellStyle name="%_NRA_model_for_NEMO2 (EMC Update) v0.29_NRA_model_for_NEMO2 (EMC Update) v0.29.5" xfId="1794" xr:uid="{00000000-0005-0000-0000-0000FF060000}"/>
    <cellStyle name="%_NRA_model_for_NEMO2 (EMC Update) v0.29_NRA_model_for_NEMO2 (EMC Update) v0.29.5_NRA_model_for_NEMO2 (EMC Update) v0 30 1" xfId="1795" xr:uid="{00000000-0005-0000-0000-000000070000}"/>
    <cellStyle name="%_NRA_model_for_NEMO2 _NRA_model_for_NEMO2 (EMC Update) v0 30 1" xfId="1800" xr:uid="{00000000-0005-0000-0000-000001070000}"/>
    <cellStyle name="%_NRA_model_for_NEMO2 _NRA_model_for_NEMO2 (EMC Update) v0.29.5" xfId="1798" xr:uid="{00000000-0005-0000-0000-000002070000}"/>
    <cellStyle name="%_NRA_model_for_NEMO2 _NRA_model_for_NEMO2 (EMC Update) v0.29.5_NRA_model_for_NEMO2 (EMC Update) v0 30 1" xfId="1799" xr:uid="{00000000-0005-0000-0000-000003070000}"/>
    <cellStyle name="_2.0 Emergency Process" xfId="4" xr:uid="{00000000-0005-0000-0000-000004070000}"/>
    <cellStyle name="_Payroll - Dave Moon v2" xfId="1858" xr:uid="{00000000-0005-0000-0000-000005070000}"/>
    <cellStyle name="=C:\WINNT\SYSTEM32\COMMAND.COM" xfId="1849" xr:uid="{00000000-0005-0000-0000-000006070000}"/>
    <cellStyle name="=C:\WINNT\SYSTEM32\COMMAND.COM 2" xfId="1850" xr:uid="{00000000-0005-0000-0000-000007070000}"/>
    <cellStyle name="=C:\WINNT\SYSTEM32\COMMAND.COM 2 2" xfId="1851" xr:uid="{00000000-0005-0000-0000-000008070000}"/>
    <cellStyle name="=C:\WINNT\SYSTEM32\COMMAND.COM 2 2 10" xfId="1852" xr:uid="{00000000-0005-0000-0000-000009070000}"/>
    <cellStyle name="=C:\WINNT\SYSTEM32\COMMAND.COM 2 2 2" xfId="1853" xr:uid="{00000000-0005-0000-0000-00000A070000}"/>
    <cellStyle name="=C:\WINNT\SYSTEM32\COMMAND.COM 3" xfId="1854" xr:uid="{00000000-0005-0000-0000-00000B070000}"/>
    <cellStyle name="=C:\WINNT\SYSTEM32\COMMAND.COM 3 2" xfId="1855" xr:uid="{00000000-0005-0000-0000-00000C070000}"/>
    <cellStyle name="=C:\WINNT\SYSTEM32\COMMAND.COM 4" xfId="1856" xr:uid="{00000000-0005-0000-0000-00000D070000}"/>
    <cellStyle name="=C:\WINNT\SYSTEM32\COMMAND.COM_Gas_Run_060918" xfId="1857" xr:uid="{00000000-0005-0000-0000-00000E070000}"/>
    <cellStyle name="20 % - Markeringsfarve1" xfId="1801" xr:uid="{00000000-0005-0000-0000-00000F070000}"/>
    <cellStyle name="20 % - Markeringsfarve2" xfId="1802" xr:uid="{00000000-0005-0000-0000-000010070000}"/>
    <cellStyle name="20 % - Markeringsfarve3" xfId="1803" xr:uid="{00000000-0005-0000-0000-000011070000}"/>
    <cellStyle name="20 % - Markeringsfarve4" xfId="1804" xr:uid="{00000000-0005-0000-0000-000012070000}"/>
    <cellStyle name="20 % - Markeringsfarve5" xfId="1805" xr:uid="{00000000-0005-0000-0000-000013070000}"/>
    <cellStyle name="20 % - Markeringsfarve6" xfId="1806" xr:uid="{00000000-0005-0000-0000-000014070000}"/>
    <cellStyle name="20% - Accent1 2" xfId="1807" xr:uid="{00000000-0005-0000-0000-000015070000}"/>
    <cellStyle name="20% - Accent2 2" xfId="1808" xr:uid="{00000000-0005-0000-0000-000016070000}"/>
    <cellStyle name="20% - Accent3 2" xfId="1809" xr:uid="{00000000-0005-0000-0000-000017070000}"/>
    <cellStyle name="20% - Accent4 2" xfId="1810" xr:uid="{00000000-0005-0000-0000-000018070000}"/>
    <cellStyle name="20% - Accent5 2" xfId="1811" xr:uid="{00000000-0005-0000-0000-000019070000}"/>
    <cellStyle name="20% - Accent6 2" xfId="1812" xr:uid="{00000000-0005-0000-0000-00001A070000}"/>
    <cellStyle name="20% - Dekorfärg1" xfId="1813" xr:uid="{00000000-0005-0000-0000-00001B070000}"/>
    <cellStyle name="20% - Dekorfärg2" xfId="1814" xr:uid="{00000000-0005-0000-0000-00001C070000}"/>
    <cellStyle name="20% - Dekorfärg3" xfId="1815" xr:uid="{00000000-0005-0000-0000-00001D070000}"/>
    <cellStyle name="20% - Dekorfärg4" xfId="1816" xr:uid="{00000000-0005-0000-0000-00001E070000}"/>
    <cellStyle name="20% - Dekorfärg5" xfId="1817" xr:uid="{00000000-0005-0000-0000-00001F070000}"/>
    <cellStyle name="20% - Dekorfärg6" xfId="1818" xr:uid="{00000000-0005-0000-0000-000020070000}"/>
    <cellStyle name="40 % - Markeringsfarve1" xfId="1819" xr:uid="{00000000-0005-0000-0000-000021070000}"/>
    <cellStyle name="40 % - Markeringsfarve2" xfId="1820" xr:uid="{00000000-0005-0000-0000-000022070000}"/>
    <cellStyle name="40 % - Markeringsfarve3" xfId="1821" xr:uid="{00000000-0005-0000-0000-000023070000}"/>
    <cellStyle name="40 % - Markeringsfarve4" xfId="1822" xr:uid="{00000000-0005-0000-0000-000024070000}"/>
    <cellStyle name="40 % - Markeringsfarve5" xfId="1823" xr:uid="{00000000-0005-0000-0000-000025070000}"/>
    <cellStyle name="40 % - Markeringsfarve6" xfId="1824" xr:uid="{00000000-0005-0000-0000-000026070000}"/>
    <cellStyle name="40% - Accent1 2" xfId="1825" xr:uid="{00000000-0005-0000-0000-000027070000}"/>
    <cellStyle name="40% - Accent2 2" xfId="1826" xr:uid="{00000000-0005-0000-0000-000028070000}"/>
    <cellStyle name="40% - Accent3 2" xfId="1827" xr:uid="{00000000-0005-0000-0000-000029070000}"/>
    <cellStyle name="40% - Accent4 2" xfId="1828" xr:uid="{00000000-0005-0000-0000-00002A070000}"/>
    <cellStyle name="40% - Accent5 2" xfId="1829" xr:uid="{00000000-0005-0000-0000-00002B070000}"/>
    <cellStyle name="40% - Accent6 2" xfId="1830" xr:uid="{00000000-0005-0000-0000-00002C070000}"/>
    <cellStyle name="40% - Dekorfärg1" xfId="1831" xr:uid="{00000000-0005-0000-0000-00002D070000}"/>
    <cellStyle name="40% - Dekorfärg2" xfId="1832" xr:uid="{00000000-0005-0000-0000-00002E070000}"/>
    <cellStyle name="40% - Dekorfärg3" xfId="1833" xr:uid="{00000000-0005-0000-0000-00002F070000}"/>
    <cellStyle name="40% - Dekorfärg4" xfId="1834" xr:uid="{00000000-0005-0000-0000-000030070000}"/>
    <cellStyle name="40% - Dekorfärg5" xfId="1835" xr:uid="{00000000-0005-0000-0000-000031070000}"/>
    <cellStyle name="40% - Dekorfärg6" xfId="1836" xr:uid="{00000000-0005-0000-0000-000032070000}"/>
    <cellStyle name="60 % - Markeringsfarve1" xfId="1837" xr:uid="{00000000-0005-0000-0000-000033070000}"/>
    <cellStyle name="60 % - Markeringsfarve2" xfId="1838" xr:uid="{00000000-0005-0000-0000-000034070000}"/>
    <cellStyle name="60 % - Markeringsfarve3" xfId="1839" xr:uid="{00000000-0005-0000-0000-000035070000}"/>
    <cellStyle name="60 % - Markeringsfarve4" xfId="1840" xr:uid="{00000000-0005-0000-0000-000036070000}"/>
    <cellStyle name="60 % - Markeringsfarve5" xfId="1841" xr:uid="{00000000-0005-0000-0000-000037070000}"/>
    <cellStyle name="60 % - Markeringsfarve6" xfId="1842" xr:uid="{00000000-0005-0000-0000-000038070000}"/>
    <cellStyle name="60% - Dekorfärg1" xfId="1843" xr:uid="{00000000-0005-0000-0000-000039070000}"/>
    <cellStyle name="60% - Dekorfärg2" xfId="1844" xr:uid="{00000000-0005-0000-0000-00003A070000}"/>
    <cellStyle name="60% - Dekorfärg3" xfId="1845" xr:uid="{00000000-0005-0000-0000-00003B070000}"/>
    <cellStyle name="60% - Dekorfärg4" xfId="1846" xr:uid="{00000000-0005-0000-0000-00003C070000}"/>
    <cellStyle name="60% - Dekorfärg5" xfId="1847" xr:uid="{00000000-0005-0000-0000-00003D070000}"/>
    <cellStyle name="60% - Dekorfärg6" xfId="1848" xr:uid="{00000000-0005-0000-0000-00003E070000}"/>
    <cellStyle name="Accent1 - 20%" xfId="1859" xr:uid="{00000000-0005-0000-0000-00003F070000}"/>
    <cellStyle name="Accent1 - 40%" xfId="1860" xr:uid="{00000000-0005-0000-0000-000040070000}"/>
    <cellStyle name="Accent1 - 60%" xfId="1861" xr:uid="{00000000-0005-0000-0000-000041070000}"/>
    <cellStyle name="Accent2 - 20%" xfId="1862" xr:uid="{00000000-0005-0000-0000-000042070000}"/>
    <cellStyle name="Accent2 - 40%" xfId="1863" xr:uid="{00000000-0005-0000-0000-000043070000}"/>
    <cellStyle name="Accent2 - 60%" xfId="1864" xr:uid="{00000000-0005-0000-0000-000044070000}"/>
    <cellStyle name="Accent3 - 20%" xfId="1865" xr:uid="{00000000-0005-0000-0000-000045070000}"/>
    <cellStyle name="Accent3 - 40%" xfId="1866" xr:uid="{00000000-0005-0000-0000-000046070000}"/>
    <cellStyle name="Accent3 - 60%" xfId="1867" xr:uid="{00000000-0005-0000-0000-000047070000}"/>
    <cellStyle name="Accent4 - 20%" xfId="1868" xr:uid="{00000000-0005-0000-0000-000048070000}"/>
    <cellStyle name="Accent4 - 40%" xfId="1869" xr:uid="{00000000-0005-0000-0000-000049070000}"/>
    <cellStyle name="Accent4 - 60%" xfId="1870" xr:uid="{00000000-0005-0000-0000-00004A070000}"/>
    <cellStyle name="Accent5 - 20%" xfId="1871" xr:uid="{00000000-0005-0000-0000-00004B070000}"/>
    <cellStyle name="Accent5 - 40%" xfId="1872" xr:uid="{00000000-0005-0000-0000-00004C070000}"/>
    <cellStyle name="Accent5 - 60%" xfId="1873" xr:uid="{00000000-0005-0000-0000-00004D070000}"/>
    <cellStyle name="Accent6 - 20%" xfId="1874" xr:uid="{00000000-0005-0000-0000-00004E070000}"/>
    <cellStyle name="Accent6 - 40%" xfId="1875" xr:uid="{00000000-0005-0000-0000-00004F070000}"/>
    <cellStyle name="Accent6 - 60%" xfId="1876" xr:uid="{00000000-0005-0000-0000-000050070000}"/>
    <cellStyle name="Advarselstekst" xfId="1877" xr:uid="{00000000-0005-0000-0000-000051070000}"/>
    <cellStyle name="Anteckning" xfId="1878" xr:uid="{00000000-0005-0000-0000-000052070000}"/>
    <cellStyle name="Anteckning 2" xfId="1879" xr:uid="{00000000-0005-0000-0000-000053070000}"/>
    <cellStyle name="Anteckning 2 2" xfId="1880" xr:uid="{00000000-0005-0000-0000-000054070000}"/>
    <cellStyle name="Anteckning 3" xfId="1881" xr:uid="{00000000-0005-0000-0000-000055070000}"/>
    <cellStyle name="Bemærk!" xfId="1882" xr:uid="{00000000-0005-0000-0000-000056070000}"/>
    <cellStyle name="Bemærk! 2" xfId="1883" xr:uid="{00000000-0005-0000-0000-000057070000}"/>
    <cellStyle name="Bemærk! 2 2" xfId="1884" xr:uid="{00000000-0005-0000-0000-000058070000}"/>
    <cellStyle name="Bemærk! 3" xfId="1885" xr:uid="{00000000-0005-0000-0000-000059070000}"/>
    <cellStyle name="Beräkning" xfId="1886" xr:uid="{00000000-0005-0000-0000-00005A070000}"/>
    <cellStyle name="Beräkning 2" xfId="1887" xr:uid="{00000000-0005-0000-0000-00005B070000}"/>
    <cellStyle name="Beräkning 2 2" xfId="1888" xr:uid="{00000000-0005-0000-0000-00005C070000}"/>
    <cellStyle name="Beräkning 3" xfId="1889" xr:uid="{00000000-0005-0000-0000-00005D070000}"/>
    <cellStyle name="Beregning" xfId="1890" xr:uid="{00000000-0005-0000-0000-00005E070000}"/>
    <cellStyle name="Beregning 2" xfId="1891" xr:uid="{00000000-0005-0000-0000-00005F070000}"/>
    <cellStyle name="Beregning 2 2" xfId="1892" xr:uid="{00000000-0005-0000-0000-000060070000}"/>
    <cellStyle name="Beregning 3" xfId="1893" xr:uid="{00000000-0005-0000-0000-000061070000}"/>
    <cellStyle name="BMInputNormal" xfId="1894" xr:uid="{00000000-0005-0000-0000-000062070000}"/>
    <cellStyle name="Bra" xfId="1895" xr:uid="{00000000-0005-0000-0000-000063070000}"/>
    <cellStyle name="cf1" xfId="1896" xr:uid="{00000000-0005-0000-0000-000064070000}"/>
    <cellStyle name="cf2" xfId="1897" xr:uid="{00000000-0005-0000-0000-000065070000}"/>
    <cellStyle name="column Head Underlined" xfId="1898" xr:uid="{00000000-0005-0000-0000-000066070000}"/>
    <cellStyle name="Column Heading" xfId="1899" xr:uid="{00000000-0005-0000-0000-000067070000}"/>
    <cellStyle name="Comma" xfId="1" builtinId="3" customBuiltin="1"/>
    <cellStyle name="Comma 10" xfId="1900" xr:uid="{00000000-0005-0000-0000-000069070000}"/>
    <cellStyle name="Comma 10 2" xfId="1901" xr:uid="{00000000-0005-0000-0000-00006A070000}"/>
    <cellStyle name="Comma 10 2 2" xfId="1902" xr:uid="{00000000-0005-0000-0000-00006B070000}"/>
    <cellStyle name="Comma 10 2 2 2" xfId="1903" xr:uid="{00000000-0005-0000-0000-00006C070000}"/>
    <cellStyle name="Comma 10 2 3" xfId="1904" xr:uid="{00000000-0005-0000-0000-00006D070000}"/>
    <cellStyle name="Comma 10 3" xfId="1905" xr:uid="{00000000-0005-0000-0000-00006E070000}"/>
    <cellStyle name="Comma 10 3 2" xfId="1906" xr:uid="{00000000-0005-0000-0000-00006F070000}"/>
    <cellStyle name="Comma 10 4" xfId="1907" xr:uid="{00000000-0005-0000-0000-000070070000}"/>
    <cellStyle name="Comma 11" xfId="1908" xr:uid="{00000000-0005-0000-0000-000071070000}"/>
    <cellStyle name="Comma 11 2" xfId="1909" xr:uid="{00000000-0005-0000-0000-000072070000}"/>
    <cellStyle name="Comma 12" xfId="1910" xr:uid="{00000000-0005-0000-0000-000073070000}"/>
    <cellStyle name="Comma 12 2" xfId="1911" xr:uid="{00000000-0005-0000-0000-000074070000}"/>
    <cellStyle name="Comma 12 2 2" xfId="1912" xr:uid="{00000000-0005-0000-0000-000075070000}"/>
    <cellStyle name="Comma 12 2 2 2" xfId="1913" xr:uid="{00000000-0005-0000-0000-000076070000}"/>
    <cellStyle name="Comma 12 2 3" xfId="1914" xr:uid="{00000000-0005-0000-0000-000077070000}"/>
    <cellStyle name="Comma 12 3" xfId="1915" xr:uid="{00000000-0005-0000-0000-000078070000}"/>
    <cellStyle name="Comma 12 3 2" xfId="1916" xr:uid="{00000000-0005-0000-0000-000079070000}"/>
    <cellStyle name="Comma 12 4" xfId="1917" xr:uid="{00000000-0005-0000-0000-00007A070000}"/>
    <cellStyle name="Comma 13" xfId="1918" xr:uid="{00000000-0005-0000-0000-00007B070000}"/>
    <cellStyle name="Comma 13 2" xfId="1919" xr:uid="{00000000-0005-0000-0000-00007C070000}"/>
    <cellStyle name="Comma 13 2 2" xfId="1920" xr:uid="{00000000-0005-0000-0000-00007D070000}"/>
    <cellStyle name="Comma 13 2 2 2" xfId="1921" xr:uid="{00000000-0005-0000-0000-00007E070000}"/>
    <cellStyle name="Comma 13 2 3" xfId="1922" xr:uid="{00000000-0005-0000-0000-00007F070000}"/>
    <cellStyle name="Comma 13 3" xfId="1923" xr:uid="{00000000-0005-0000-0000-000080070000}"/>
    <cellStyle name="Comma 13 3 2" xfId="1924" xr:uid="{00000000-0005-0000-0000-000081070000}"/>
    <cellStyle name="Comma 13 4" xfId="1925" xr:uid="{00000000-0005-0000-0000-000082070000}"/>
    <cellStyle name="Comma 14" xfId="1926" xr:uid="{00000000-0005-0000-0000-000083070000}"/>
    <cellStyle name="Comma 14 2" xfId="1927" xr:uid="{00000000-0005-0000-0000-000084070000}"/>
    <cellStyle name="Comma 14 2 2" xfId="1928" xr:uid="{00000000-0005-0000-0000-000085070000}"/>
    <cellStyle name="Comma 14 2 2 2" xfId="1929" xr:uid="{00000000-0005-0000-0000-000086070000}"/>
    <cellStyle name="Comma 14 2 3" xfId="1930" xr:uid="{00000000-0005-0000-0000-000087070000}"/>
    <cellStyle name="Comma 14 3" xfId="1931" xr:uid="{00000000-0005-0000-0000-000088070000}"/>
    <cellStyle name="Comma 14 3 2" xfId="1932" xr:uid="{00000000-0005-0000-0000-000089070000}"/>
    <cellStyle name="Comma 14 4" xfId="1933" xr:uid="{00000000-0005-0000-0000-00008A070000}"/>
    <cellStyle name="Comma 15" xfId="1934" xr:uid="{00000000-0005-0000-0000-00008B070000}"/>
    <cellStyle name="Comma 15 2" xfId="1935" xr:uid="{00000000-0005-0000-0000-00008C070000}"/>
    <cellStyle name="Comma 15 2 2" xfId="1936" xr:uid="{00000000-0005-0000-0000-00008D070000}"/>
    <cellStyle name="Comma 15 2 2 2" xfId="1937" xr:uid="{00000000-0005-0000-0000-00008E070000}"/>
    <cellStyle name="Comma 15 2 3" xfId="1938" xr:uid="{00000000-0005-0000-0000-00008F070000}"/>
    <cellStyle name="Comma 15 3" xfId="1939" xr:uid="{00000000-0005-0000-0000-000090070000}"/>
    <cellStyle name="Comma 15 3 2" xfId="1940" xr:uid="{00000000-0005-0000-0000-000091070000}"/>
    <cellStyle name="Comma 15 4" xfId="1941" xr:uid="{00000000-0005-0000-0000-000092070000}"/>
    <cellStyle name="Comma 16" xfId="1942" xr:uid="{00000000-0005-0000-0000-000093070000}"/>
    <cellStyle name="Comma 16 2" xfId="1943" xr:uid="{00000000-0005-0000-0000-000094070000}"/>
    <cellStyle name="Comma 16 2 2" xfId="1944" xr:uid="{00000000-0005-0000-0000-000095070000}"/>
    <cellStyle name="Comma 16 3" xfId="1945" xr:uid="{00000000-0005-0000-0000-000096070000}"/>
    <cellStyle name="Comma 17" xfId="1946" xr:uid="{00000000-0005-0000-0000-000097070000}"/>
    <cellStyle name="Comma 17 2" xfId="1947" xr:uid="{00000000-0005-0000-0000-000098070000}"/>
    <cellStyle name="Comma 17 2 2" xfId="1948" xr:uid="{00000000-0005-0000-0000-000099070000}"/>
    <cellStyle name="Comma 17 2 2 2" xfId="1949" xr:uid="{00000000-0005-0000-0000-00009A070000}"/>
    <cellStyle name="Comma 17 2 3" xfId="1950" xr:uid="{00000000-0005-0000-0000-00009B070000}"/>
    <cellStyle name="Comma 17 3" xfId="1951" xr:uid="{00000000-0005-0000-0000-00009C070000}"/>
    <cellStyle name="Comma 17 3 2" xfId="1952" xr:uid="{00000000-0005-0000-0000-00009D070000}"/>
    <cellStyle name="Comma 17 4" xfId="1953" xr:uid="{00000000-0005-0000-0000-00009E070000}"/>
    <cellStyle name="Comma 18" xfId="1954" xr:uid="{00000000-0005-0000-0000-00009F070000}"/>
    <cellStyle name="Comma 18 2" xfId="1955" xr:uid="{00000000-0005-0000-0000-0000A0070000}"/>
    <cellStyle name="Comma 18 2 2" xfId="1956" xr:uid="{00000000-0005-0000-0000-0000A1070000}"/>
    <cellStyle name="Comma 18 2 2 2" xfId="1957" xr:uid="{00000000-0005-0000-0000-0000A2070000}"/>
    <cellStyle name="Comma 18 2 3" xfId="1958" xr:uid="{00000000-0005-0000-0000-0000A3070000}"/>
    <cellStyle name="Comma 18 3" xfId="1959" xr:uid="{00000000-0005-0000-0000-0000A4070000}"/>
    <cellStyle name="Comma 18 3 2" xfId="1960" xr:uid="{00000000-0005-0000-0000-0000A5070000}"/>
    <cellStyle name="Comma 18 4" xfId="1961" xr:uid="{00000000-0005-0000-0000-0000A6070000}"/>
    <cellStyle name="Comma 19" xfId="1962" xr:uid="{00000000-0005-0000-0000-0000A7070000}"/>
    <cellStyle name="Comma 19 2" xfId="1963" xr:uid="{00000000-0005-0000-0000-0000A8070000}"/>
    <cellStyle name="Comma 2" xfId="1964" xr:uid="{00000000-0005-0000-0000-0000A9070000}"/>
    <cellStyle name="Comma 2 2" xfId="1965" xr:uid="{00000000-0005-0000-0000-0000AA070000}"/>
    <cellStyle name="Comma 2 2 2" xfId="1966" xr:uid="{00000000-0005-0000-0000-0000AB070000}"/>
    <cellStyle name="Comma 2 2 2 2" xfId="1967" xr:uid="{00000000-0005-0000-0000-0000AC070000}"/>
    <cellStyle name="Comma 2 2 2 2 2" xfId="1968" xr:uid="{00000000-0005-0000-0000-0000AD070000}"/>
    <cellStyle name="Comma 2 2 2 3" xfId="1969" xr:uid="{00000000-0005-0000-0000-0000AE070000}"/>
    <cellStyle name="Comma 2 2 3" xfId="1970" xr:uid="{00000000-0005-0000-0000-0000AF070000}"/>
    <cellStyle name="Comma 2 2 3 2" xfId="1971" xr:uid="{00000000-0005-0000-0000-0000B0070000}"/>
    <cellStyle name="Comma 2 2 4" xfId="1972" xr:uid="{00000000-0005-0000-0000-0000B1070000}"/>
    <cellStyle name="Comma 2 3" xfId="1973" xr:uid="{00000000-0005-0000-0000-0000B2070000}"/>
    <cellStyle name="Comma 2 3 2" xfId="1974" xr:uid="{00000000-0005-0000-0000-0000B3070000}"/>
    <cellStyle name="Comma 2 3 2 2" xfId="1975" xr:uid="{00000000-0005-0000-0000-0000B4070000}"/>
    <cellStyle name="Comma 2 3 2 2 2" xfId="1976" xr:uid="{00000000-0005-0000-0000-0000B5070000}"/>
    <cellStyle name="Comma 2 3 2 2 2 2" xfId="1977" xr:uid="{00000000-0005-0000-0000-0000B6070000}"/>
    <cellStyle name="Comma 2 3 2 2 3" xfId="1978" xr:uid="{00000000-0005-0000-0000-0000B7070000}"/>
    <cellStyle name="Comma 2 3 2 3" xfId="1979" xr:uid="{00000000-0005-0000-0000-0000B8070000}"/>
    <cellStyle name="Comma 2 3 2 3 2" xfId="1980" xr:uid="{00000000-0005-0000-0000-0000B9070000}"/>
    <cellStyle name="Comma 2 3 2 4" xfId="1981" xr:uid="{00000000-0005-0000-0000-0000BA070000}"/>
    <cellStyle name="Comma 2 3 3" xfId="1982" xr:uid="{00000000-0005-0000-0000-0000BB070000}"/>
    <cellStyle name="Comma 2 3 3 2" xfId="1983" xr:uid="{00000000-0005-0000-0000-0000BC070000}"/>
    <cellStyle name="Comma 2 3 3 2 2" xfId="1984" xr:uid="{00000000-0005-0000-0000-0000BD070000}"/>
    <cellStyle name="Comma 2 3 3 3" xfId="1985" xr:uid="{00000000-0005-0000-0000-0000BE070000}"/>
    <cellStyle name="Comma 2 3 4" xfId="1986" xr:uid="{00000000-0005-0000-0000-0000BF070000}"/>
    <cellStyle name="Comma 2 3 4 2" xfId="1987" xr:uid="{00000000-0005-0000-0000-0000C0070000}"/>
    <cellStyle name="Comma 2 3 5" xfId="1988" xr:uid="{00000000-0005-0000-0000-0000C1070000}"/>
    <cellStyle name="Comma 2_InputSA" xfId="1989" xr:uid="{00000000-0005-0000-0000-0000C2070000}"/>
    <cellStyle name="Comma 20" xfId="1990" xr:uid="{00000000-0005-0000-0000-0000C3070000}"/>
    <cellStyle name="Comma 20 2" xfId="1991" xr:uid="{00000000-0005-0000-0000-0000C4070000}"/>
    <cellStyle name="Comma 20 2 2" xfId="1992" xr:uid="{00000000-0005-0000-0000-0000C5070000}"/>
    <cellStyle name="Comma 20 2 2 2" xfId="1993" xr:uid="{00000000-0005-0000-0000-0000C6070000}"/>
    <cellStyle name="Comma 20 2 3" xfId="1994" xr:uid="{00000000-0005-0000-0000-0000C7070000}"/>
    <cellStyle name="Comma 20 3" xfId="1995" xr:uid="{00000000-0005-0000-0000-0000C8070000}"/>
    <cellStyle name="Comma 20 3 2" xfId="1996" xr:uid="{00000000-0005-0000-0000-0000C9070000}"/>
    <cellStyle name="Comma 20 4" xfId="1997" xr:uid="{00000000-0005-0000-0000-0000CA070000}"/>
    <cellStyle name="Comma 21" xfId="1998" xr:uid="{00000000-0005-0000-0000-0000CB070000}"/>
    <cellStyle name="Comma 21 2" xfId="1999" xr:uid="{00000000-0005-0000-0000-0000CC070000}"/>
    <cellStyle name="Comma 21 2 2" xfId="2000" xr:uid="{00000000-0005-0000-0000-0000CD070000}"/>
    <cellStyle name="Comma 21 2 2 2" xfId="2001" xr:uid="{00000000-0005-0000-0000-0000CE070000}"/>
    <cellStyle name="Comma 21 2 3" xfId="2002" xr:uid="{00000000-0005-0000-0000-0000CF070000}"/>
    <cellStyle name="Comma 21 3" xfId="2003" xr:uid="{00000000-0005-0000-0000-0000D0070000}"/>
    <cellStyle name="Comma 21 3 2" xfId="2004" xr:uid="{00000000-0005-0000-0000-0000D1070000}"/>
    <cellStyle name="Comma 21 4" xfId="2005" xr:uid="{00000000-0005-0000-0000-0000D2070000}"/>
    <cellStyle name="Comma 22" xfId="2006" xr:uid="{00000000-0005-0000-0000-0000D3070000}"/>
    <cellStyle name="Comma 25" xfId="2007" xr:uid="{00000000-0005-0000-0000-0000D4070000}"/>
    <cellStyle name="Comma 25 2" xfId="2008" xr:uid="{00000000-0005-0000-0000-0000D5070000}"/>
    <cellStyle name="Comma 25 2 2" xfId="2009" xr:uid="{00000000-0005-0000-0000-0000D6070000}"/>
    <cellStyle name="Comma 25 2 2 2" xfId="2010" xr:uid="{00000000-0005-0000-0000-0000D7070000}"/>
    <cellStyle name="Comma 25 2 3" xfId="2011" xr:uid="{00000000-0005-0000-0000-0000D8070000}"/>
    <cellStyle name="Comma 25 3" xfId="2012" xr:uid="{00000000-0005-0000-0000-0000D9070000}"/>
    <cellStyle name="Comma 25 3 2" xfId="2013" xr:uid="{00000000-0005-0000-0000-0000DA070000}"/>
    <cellStyle name="Comma 25 4" xfId="2014" xr:uid="{00000000-0005-0000-0000-0000DB070000}"/>
    <cellStyle name="Comma 26" xfId="2015" xr:uid="{00000000-0005-0000-0000-0000DC070000}"/>
    <cellStyle name="Comma 26 2" xfId="2016" xr:uid="{00000000-0005-0000-0000-0000DD070000}"/>
    <cellStyle name="Comma 26 2 2" xfId="2017" xr:uid="{00000000-0005-0000-0000-0000DE070000}"/>
    <cellStyle name="Comma 26 2 2 2" xfId="2018" xr:uid="{00000000-0005-0000-0000-0000DF070000}"/>
    <cellStyle name="Comma 26 2 3" xfId="2019" xr:uid="{00000000-0005-0000-0000-0000E0070000}"/>
    <cellStyle name="Comma 26 3" xfId="2020" xr:uid="{00000000-0005-0000-0000-0000E1070000}"/>
    <cellStyle name="Comma 26 3 2" xfId="2021" xr:uid="{00000000-0005-0000-0000-0000E2070000}"/>
    <cellStyle name="Comma 26 4" xfId="2022" xr:uid="{00000000-0005-0000-0000-0000E3070000}"/>
    <cellStyle name="Comma 3" xfId="2023" xr:uid="{00000000-0005-0000-0000-0000E4070000}"/>
    <cellStyle name="Comma 3 2" xfId="2024" xr:uid="{00000000-0005-0000-0000-0000E5070000}"/>
    <cellStyle name="Comma 3 2 2" xfId="2025" xr:uid="{00000000-0005-0000-0000-0000E6070000}"/>
    <cellStyle name="Comma 3 2 2 2" xfId="2026" xr:uid="{00000000-0005-0000-0000-0000E7070000}"/>
    <cellStyle name="Comma 3 2 2 2 2" xfId="2027" xr:uid="{00000000-0005-0000-0000-0000E8070000}"/>
    <cellStyle name="Comma 3 2 2 3" xfId="2028" xr:uid="{00000000-0005-0000-0000-0000E9070000}"/>
    <cellStyle name="Comma 3 2 3" xfId="2029" xr:uid="{00000000-0005-0000-0000-0000EA070000}"/>
    <cellStyle name="Comma 3 2 3 2" xfId="2030" xr:uid="{00000000-0005-0000-0000-0000EB070000}"/>
    <cellStyle name="Comma 3 2 4" xfId="2031" xr:uid="{00000000-0005-0000-0000-0000EC070000}"/>
    <cellStyle name="Comma 3 3" xfId="2032" xr:uid="{00000000-0005-0000-0000-0000ED070000}"/>
    <cellStyle name="Comma 3 3 2" xfId="2033" xr:uid="{00000000-0005-0000-0000-0000EE070000}"/>
    <cellStyle name="Comma 3 3 2 2" xfId="2034" xr:uid="{00000000-0005-0000-0000-0000EF070000}"/>
    <cellStyle name="Comma 3 3 3" xfId="2035" xr:uid="{00000000-0005-0000-0000-0000F0070000}"/>
    <cellStyle name="Comma 3 4" xfId="2036" xr:uid="{00000000-0005-0000-0000-0000F1070000}"/>
    <cellStyle name="Comma 3 4 2" xfId="2037" xr:uid="{00000000-0005-0000-0000-0000F2070000}"/>
    <cellStyle name="Comma 3 5" xfId="2038" xr:uid="{00000000-0005-0000-0000-0000F3070000}"/>
    <cellStyle name="Comma 4" xfId="2039" xr:uid="{00000000-0005-0000-0000-0000F4070000}"/>
    <cellStyle name="Comma 4 2" xfId="2040" xr:uid="{00000000-0005-0000-0000-0000F5070000}"/>
    <cellStyle name="Comma 4 3" xfId="2041" xr:uid="{00000000-0005-0000-0000-0000F6070000}"/>
    <cellStyle name="Comma 4 3 2" xfId="2042" xr:uid="{00000000-0005-0000-0000-0000F7070000}"/>
    <cellStyle name="Comma 4 3 2 2" xfId="2043" xr:uid="{00000000-0005-0000-0000-0000F8070000}"/>
    <cellStyle name="Comma 4 3 2 2 2" xfId="2044" xr:uid="{00000000-0005-0000-0000-0000F9070000}"/>
    <cellStyle name="Comma 4 3 2 3" xfId="2045" xr:uid="{00000000-0005-0000-0000-0000FA070000}"/>
    <cellStyle name="Comma 4 3 3" xfId="2046" xr:uid="{00000000-0005-0000-0000-0000FB070000}"/>
    <cellStyle name="Comma 4 3 3 2" xfId="2047" xr:uid="{00000000-0005-0000-0000-0000FC070000}"/>
    <cellStyle name="Comma 4 3 4" xfId="2048" xr:uid="{00000000-0005-0000-0000-0000FD070000}"/>
    <cellStyle name="Comma 5" xfId="2049" xr:uid="{00000000-0005-0000-0000-0000FE070000}"/>
    <cellStyle name="Comma 6" xfId="2050" xr:uid="{00000000-0005-0000-0000-0000FF070000}"/>
    <cellStyle name="Comma 7" xfId="2051" xr:uid="{00000000-0005-0000-0000-000000080000}"/>
    <cellStyle name="Comma 7 2" xfId="2052" xr:uid="{00000000-0005-0000-0000-000001080000}"/>
    <cellStyle name="Comma 7 2 2" xfId="2053" xr:uid="{00000000-0005-0000-0000-000002080000}"/>
    <cellStyle name="Comma 7 2 2 2" xfId="2054" xr:uid="{00000000-0005-0000-0000-000003080000}"/>
    <cellStyle name="Comma 7 2 3" xfId="2055" xr:uid="{00000000-0005-0000-0000-000004080000}"/>
    <cellStyle name="Comma 7 3" xfId="2056" xr:uid="{00000000-0005-0000-0000-000005080000}"/>
    <cellStyle name="Comma 7 3 2" xfId="2057" xr:uid="{00000000-0005-0000-0000-000006080000}"/>
    <cellStyle name="Comma 7 4" xfId="2058" xr:uid="{00000000-0005-0000-0000-000007080000}"/>
    <cellStyle name="Comma 8" xfId="2059" xr:uid="{00000000-0005-0000-0000-000008080000}"/>
    <cellStyle name="Comma 8 2" xfId="2060" xr:uid="{00000000-0005-0000-0000-000009080000}"/>
    <cellStyle name="Comma 8 2 2" xfId="2061" xr:uid="{00000000-0005-0000-0000-00000A080000}"/>
    <cellStyle name="Comma 8 2 2 2" xfId="2062" xr:uid="{00000000-0005-0000-0000-00000B080000}"/>
    <cellStyle name="Comma 8 2 3" xfId="2063" xr:uid="{00000000-0005-0000-0000-00000C080000}"/>
    <cellStyle name="Comma 8 3" xfId="2064" xr:uid="{00000000-0005-0000-0000-00000D080000}"/>
    <cellStyle name="Comma 8 3 2" xfId="2065" xr:uid="{00000000-0005-0000-0000-00000E080000}"/>
    <cellStyle name="Comma 8 4" xfId="2066" xr:uid="{00000000-0005-0000-0000-00000F080000}"/>
    <cellStyle name="Comma 9" xfId="2067" xr:uid="{00000000-0005-0000-0000-000010080000}"/>
    <cellStyle name="Comma 9 2" xfId="2068" xr:uid="{00000000-0005-0000-0000-000011080000}"/>
    <cellStyle name="Comma 9 2 2" xfId="2069" xr:uid="{00000000-0005-0000-0000-000012080000}"/>
    <cellStyle name="Comma 9 2 2 2" xfId="2070" xr:uid="{00000000-0005-0000-0000-000013080000}"/>
    <cellStyle name="Comma 9 2 3" xfId="2071" xr:uid="{00000000-0005-0000-0000-000014080000}"/>
    <cellStyle name="Comma 9 3" xfId="2072" xr:uid="{00000000-0005-0000-0000-000015080000}"/>
    <cellStyle name="Comma 9 3 2" xfId="2073" xr:uid="{00000000-0005-0000-0000-000016080000}"/>
    <cellStyle name="Comma 9 4" xfId="2074" xr:uid="{00000000-0005-0000-0000-000017080000}"/>
    <cellStyle name="Dålig" xfId="2075" xr:uid="{00000000-0005-0000-0000-000018080000}"/>
    <cellStyle name="DateLong" xfId="2076" xr:uid="{00000000-0005-0000-0000-000019080000}"/>
    <cellStyle name="DateLong 2" xfId="2077" xr:uid="{00000000-0005-0000-0000-00001A080000}"/>
    <cellStyle name="Emphasis 1" xfId="2078" xr:uid="{00000000-0005-0000-0000-00001B080000}"/>
    <cellStyle name="Emphasis 2" xfId="2079" xr:uid="{00000000-0005-0000-0000-00001C080000}"/>
    <cellStyle name="Emphasis 3" xfId="2080" xr:uid="{00000000-0005-0000-0000-00001D080000}"/>
    <cellStyle name="Euro" xfId="2081" xr:uid="{00000000-0005-0000-0000-00001E080000}"/>
    <cellStyle name="Euro 2" xfId="2082" xr:uid="{00000000-0005-0000-0000-00001F080000}"/>
    <cellStyle name="EYBlocked" xfId="2083" xr:uid="{00000000-0005-0000-0000-000020080000}"/>
    <cellStyle name="EYCallUp" xfId="2084" xr:uid="{00000000-0005-0000-0000-000021080000}"/>
    <cellStyle name="EYCheck" xfId="2085" xr:uid="{00000000-0005-0000-0000-000022080000}"/>
    <cellStyle name="EYDate" xfId="2086" xr:uid="{00000000-0005-0000-0000-000023080000}"/>
    <cellStyle name="EYDeviant" xfId="2087" xr:uid="{00000000-0005-0000-0000-000024080000}"/>
    <cellStyle name="EYHeader1" xfId="2088" xr:uid="{00000000-0005-0000-0000-000025080000}"/>
    <cellStyle name="EYHeader1 2" xfId="2089" xr:uid="{00000000-0005-0000-0000-000026080000}"/>
    <cellStyle name="EYHeader1 2 2" xfId="2090" xr:uid="{00000000-0005-0000-0000-000027080000}"/>
    <cellStyle name="EYHeader1 3" xfId="2091" xr:uid="{00000000-0005-0000-0000-000028080000}"/>
    <cellStyle name="EYHeader2" xfId="2092" xr:uid="{00000000-0005-0000-0000-000029080000}"/>
    <cellStyle name="EYHeader3" xfId="2093" xr:uid="{00000000-0005-0000-0000-00002A080000}"/>
    <cellStyle name="EYInputDate" xfId="2094" xr:uid="{00000000-0005-0000-0000-00002B080000}"/>
    <cellStyle name="EYInputDate 2" xfId="2095" xr:uid="{00000000-0005-0000-0000-00002C080000}"/>
    <cellStyle name="EYInputPercent" xfId="2096" xr:uid="{00000000-0005-0000-0000-00002D080000}"/>
    <cellStyle name="EYInputPercent 2" xfId="2097" xr:uid="{00000000-0005-0000-0000-00002E080000}"/>
    <cellStyle name="EYInputValue" xfId="2098" xr:uid="{00000000-0005-0000-0000-00002F080000}"/>
    <cellStyle name="EYInputValue 2" xfId="2099" xr:uid="{00000000-0005-0000-0000-000030080000}"/>
    <cellStyle name="EYNormal" xfId="2100" xr:uid="{00000000-0005-0000-0000-000031080000}"/>
    <cellStyle name="EYNormal 2" xfId="2101" xr:uid="{00000000-0005-0000-0000-000032080000}"/>
    <cellStyle name="EYPercent" xfId="2102" xr:uid="{00000000-0005-0000-0000-000033080000}"/>
    <cellStyle name="EYPercentCapped" xfId="2103" xr:uid="{00000000-0005-0000-0000-000034080000}"/>
    <cellStyle name="EYSubTotal" xfId="2104" xr:uid="{00000000-0005-0000-0000-000035080000}"/>
    <cellStyle name="EYSubTotal 2" xfId="2105" xr:uid="{00000000-0005-0000-0000-000036080000}"/>
    <cellStyle name="EYSubTotal 2 2" xfId="2106" xr:uid="{00000000-0005-0000-0000-000037080000}"/>
    <cellStyle name="EYSubTotal 3" xfId="2107" xr:uid="{00000000-0005-0000-0000-000038080000}"/>
    <cellStyle name="EYTotal" xfId="2108" xr:uid="{00000000-0005-0000-0000-000039080000}"/>
    <cellStyle name="EYTotal 2" xfId="2109" xr:uid="{00000000-0005-0000-0000-00003A080000}"/>
    <cellStyle name="EYTotal 2 2" xfId="2110" xr:uid="{00000000-0005-0000-0000-00003B080000}"/>
    <cellStyle name="EYTotal 3" xfId="2111" xr:uid="{00000000-0005-0000-0000-00003C080000}"/>
    <cellStyle name="EYWIP" xfId="2112" xr:uid="{00000000-0005-0000-0000-00003D080000}"/>
    <cellStyle name="Factor" xfId="2120" xr:uid="{00000000-0005-0000-0000-00003E080000}"/>
    <cellStyle name="Factor 2" xfId="2121" xr:uid="{00000000-0005-0000-0000-00003F080000}"/>
    <cellStyle name="Färg1" xfId="2113" xr:uid="{00000000-0005-0000-0000-000040080000}"/>
    <cellStyle name="Färg2" xfId="2114" xr:uid="{00000000-0005-0000-0000-000041080000}"/>
    <cellStyle name="Färg3" xfId="2115" xr:uid="{00000000-0005-0000-0000-000042080000}"/>
    <cellStyle name="Färg4" xfId="2116" xr:uid="{00000000-0005-0000-0000-000043080000}"/>
    <cellStyle name="Färg5" xfId="2117" xr:uid="{00000000-0005-0000-0000-000044080000}"/>
    <cellStyle name="Färg6" xfId="2118" xr:uid="{00000000-0005-0000-0000-000045080000}"/>
    <cellStyle name="Förklarande text" xfId="2119" xr:uid="{00000000-0005-0000-0000-000046080000}"/>
    <cellStyle name="Forklarende tekst" xfId="2122" xr:uid="{00000000-0005-0000-0000-000047080000}"/>
    <cellStyle name="General" xfId="2123" xr:uid="{00000000-0005-0000-0000-000048080000}"/>
    <cellStyle name="God" xfId="2124" xr:uid="{00000000-0005-0000-0000-000049080000}"/>
    <cellStyle name="Heading 4" xfId="3" builtinId="19" customBuiltin="1"/>
    <cellStyle name="Hyperlink" xfId="2125" xr:uid="{00000000-0005-0000-0000-00004B080000}"/>
    <cellStyle name="Hyperlink 2" xfId="2126" xr:uid="{00000000-0005-0000-0000-00004C080000}"/>
    <cellStyle name="Indata" xfId="2127" xr:uid="{00000000-0005-0000-0000-00004D080000}"/>
    <cellStyle name="Indata 2" xfId="2128" xr:uid="{00000000-0005-0000-0000-00004E080000}"/>
    <cellStyle name="Indata 2 2" xfId="2129" xr:uid="{00000000-0005-0000-0000-00004F080000}"/>
    <cellStyle name="Indata 3" xfId="2130" xr:uid="{00000000-0005-0000-0000-000050080000}"/>
    <cellStyle name="InputData" xfId="2131" xr:uid="{00000000-0005-0000-0000-000051080000}"/>
    <cellStyle name="Kontrollcell" xfId="2132" xr:uid="{00000000-0005-0000-0000-000052080000}"/>
    <cellStyle name="Kontroller celle" xfId="2133" xr:uid="{00000000-0005-0000-0000-000053080000}"/>
    <cellStyle name="Länkad cell" xfId="2134" xr:uid="{00000000-0005-0000-0000-000054080000}"/>
    <cellStyle name="Main Heading" xfId="2135" xr:uid="{00000000-0005-0000-0000-000055080000}"/>
    <cellStyle name="Markeringsfarve1" xfId="2136" xr:uid="{00000000-0005-0000-0000-000056080000}"/>
    <cellStyle name="Markeringsfarve2" xfId="2137" xr:uid="{00000000-0005-0000-0000-000057080000}"/>
    <cellStyle name="Markeringsfarve3" xfId="2138" xr:uid="{00000000-0005-0000-0000-000058080000}"/>
    <cellStyle name="Markeringsfarve4" xfId="2139" xr:uid="{00000000-0005-0000-0000-000059080000}"/>
    <cellStyle name="Markeringsfarve5" xfId="2140" xr:uid="{00000000-0005-0000-0000-00005A080000}"/>
    <cellStyle name="Markeringsfarve6" xfId="2141" xr:uid="{00000000-0005-0000-0000-00005B080000}"/>
    <cellStyle name="NGBlocked" xfId="2142" xr:uid="{00000000-0005-0000-0000-00005C080000}"/>
    <cellStyle name="NGCallUp" xfId="2143" xr:uid="{00000000-0005-0000-0000-00005D080000}"/>
    <cellStyle name="NGCheck" xfId="2144" xr:uid="{00000000-0005-0000-0000-00005E080000}"/>
    <cellStyle name="NGDate" xfId="2145" xr:uid="{00000000-0005-0000-0000-00005F080000}"/>
    <cellStyle name="NGDeviant" xfId="2146" xr:uid="{00000000-0005-0000-0000-000060080000}"/>
    <cellStyle name="NGHeader1" xfId="2147" xr:uid="{00000000-0005-0000-0000-000061080000}"/>
    <cellStyle name="NGHeader1 2" xfId="2148" xr:uid="{00000000-0005-0000-0000-000062080000}"/>
    <cellStyle name="NGHeader1 2 2" xfId="2149" xr:uid="{00000000-0005-0000-0000-000063080000}"/>
    <cellStyle name="NGHeader1 3" xfId="2150" xr:uid="{00000000-0005-0000-0000-000064080000}"/>
    <cellStyle name="NGHeader2" xfId="2151" xr:uid="{00000000-0005-0000-0000-000065080000}"/>
    <cellStyle name="NGHeader3" xfId="2152" xr:uid="{00000000-0005-0000-0000-000066080000}"/>
    <cellStyle name="NGInputDate" xfId="2153" xr:uid="{00000000-0005-0000-0000-000067080000}"/>
    <cellStyle name="NGInputDate 2" xfId="2154" xr:uid="{00000000-0005-0000-0000-000068080000}"/>
    <cellStyle name="NGInputDate 3 18" xfId="2155" xr:uid="{00000000-0005-0000-0000-000069080000}"/>
    <cellStyle name="NGInputDate 3 18 2" xfId="2156" xr:uid="{00000000-0005-0000-0000-00006A080000}"/>
    <cellStyle name="NGInputPercent" xfId="2157" xr:uid="{00000000-0005-0000-0000-00006B080000}"/>
    <cellStyle name="NGInputPercent 2" xfId="2158" xr:uid="{00000000-0005-0000-0000-00006C080000}"/>
    <cellStyle name="NGInputValue" xfId="2159" xr:uid="{00000000-0005-0000-0000-00006D080000}"/>
    <cellStyle name="NGInputValue 2" xfId="2160" xr:uid="{00000000-0005-0000-0000-00006E080000}"/>
    <cellStyle name="NGNormal" xfId="2161" xr:uid="{00000000-0005-0000-0000-00006F080000}"/>
    <cellStyle name="NGPercent" xfId="2162" xr:uid="{00000000-0005-0000-0000-000070080000}"/>
    <cellStyle name="NGPercentCapped" xfId="2163" xr:uid="{00000000-0005-0000-0000-000071080000}"/>
    <cellStyle name="NGSubTotal" xfId="2164" xr:uid="{00000000-0005-0000-0000-000072080000}"/>
    <cellStyle name="NGSubTotal 2" xfId="2165" xr:uid="{00000000-0005-0000-0000-000073080000}"/>
    <cellStyle name="NGSubTotal 2 2" xfId="2166" xr:uid="{00000000-0005-0000-0000-000074080000}"/>
    <cellStyle name="NGSubTotal 3" xfId="2167" xr:uid="{00000000-0005-0000-0000-000075080000}"/>
    <cellStyle name="NGTotal" xfId="2168" xr:uid="{00000000-0005-0000-0000-000076080000}"/>
    <cellStyle name="NGTotal 2" xfId="2169" xr:uid="{00000000-0005-0000-0000-000077080000}"/>
    <cellStyle name="NGTotal 2 2" xfId="2170" xr:uid="{00000000-0005-0000-0000-000078080000}"/>
    <cellStyle name="NGTotal 3" xfId="2171" xr:uid="{00000000-0005-0000-0000-000079080000}"/>
    <cellStyle name="NGWIP" xfId="2172" xr:uid="{00000000-0005-0000-0000-00007A080000}"/>
    <cellStyle name="Normal" xfId="0" builtinId="0" customBuiltin="1"/>
    <cellStyle name="Normal 10" xfId="2173" xr:uid="{00000000-0005-0000-0000-00007C080000}"/>
    <cellStyle name="Normal 11" xfId="2174" xr:uid="{00000000-0005-0000-0000-00007D080000}"/>
    <cellStyle name="Normal 11 2" xfId="2175" xr:uid="{00000000-0005-0000-0000-00007E080000}"/>
    <cellStyle name="Normal 12" xfId="2176" xr:uid="{00000000-0005-0000-0000-00007F080000}"/>
    <cellStyle name="Normal 13" xfId="2177" xr:uid="{00000000-0005-0000-0000-000080080000}"/>
    <cellStyle name="Normal 13 2" xfId="2178" xr:uid="{00000000-0005-0000-0000-000081080000}"/>
    <cellStyle name="Normal 13 2 2" xfId="2179" xr:uid="{00000000-0005-0000-0000-000082080000}"/>
    <cellStyle name="Normal 13 2_SHETL" xfId="2180" xr:uid="{00000000-0005-0000-0000-000083080000}"/>
    <cellStyle name="Normal 14" xfId="2181" xr:uid="{00000000-0005-0000-0000-000084080000}"/>
    <cellStyle name="Normal 14 2" xfId="2182" xr:uid="{00000000-0005-0000-0000-000085080000}"/>
    <cellStyle name="Normal 15" xfId="2183" xr:uid="{00000000-0005-0000-0000-000086080000}"/>
    <cellStyle name="Normal 15 2" xfId="2184" xr:uid="{00000000-0005-0000-0000-000087080000}"/>
    <cellStyle name="Normal 15 2 2" xfId="2185" xr:uid="{00000000-0005-0000-0000-000088080000}"/>
    <cellStyle name="Normal 15 2 2 2" xfId="2186" xr:uid="{00000000-0005-0000-0000-000089080000}"/>
    <cellStyle name="Normal 15 2 3" xfId="2187" xr:uid="{00000000-0005-0000-0000-00008A080000}"/>
    <cellStyle name="Normal 15 3" xfId="2188" xr:uid="{00000000-0005-0000-0000-00008B080000}"/>
    <cellStyle name="Normal 15 3 2" xfId="2189" xr:uid="{00000000-0005-0000-0000-00008C080000}"/>
    <cellStyle name="Normal 15 4" xfId="2190" xr:uid="{00000000-0005-0000-0000-00008D080000}"/>
    <cellStyle name="Normal 16" xfId="2191" xr:uid="{00000000-0005-0000-0000-00008E080000}"/>
    <cellStyle name="Normal 17" xfId="2192" xr:uid="{00000000-0005-0000-0000-00008F080000}"/>
    <cellStyle name="Normal 2" xfId="2193" xr:uid="{00000000-0005-0000-0000-000090080000}"/>
    <cellStyle name="Normal 2 2" xfId="2194" xr:uid="{00000000-0005-0000-0000-000091080000}"/>
    <cellStyle name="Normal 2 2 2" xfId="2195" xr:uid="{00000000-0005-0000-0000-000092080000}"/>
    <cellStyle name="Normal 2 3" xfId="2196" xr:uid="{00000000-0005-0000-0000-000093080000}"/>
    <cellStyle name="Normal 2 3 2" xfId="2197" xr:uid="{00000000-0005-0000-0000-000094080000}"/>
    <cellStyle name="Normal 2 3 2 2" xfId="2198" xr:uid="{00000000-0005-0000-0000-000095080000}"/>
    <cellStyle name="Normal 2 3 2 2 2" xfId="2199" xr:uid="{00000000-0005-0000-0000-000096080000}"/>
    <cellStyle name="Normal 2 3 2 2 2 2" xfId="2200" xr:uid="{00000000-0005-0000-0000-000097080000}"/>
    <cellStyle name="Normal 2 3 2 2 3" xfId="2201" xr:uid="{00000000-0005-0000-0000-000098080000}"/>
    <cellStyle name="Normal 2 3 2 3" xfId="2202" xr:uid="{00000000-0005-0000-0000-000099080000}"/>
    <cellStyle name="Normal 2 3 2 3 2" xfId="2203" xr:uid="{00000000-0005-0000-0000-00009A080000}"/>
    <cellStyle name="Normal 2 3 2 4" xfId="2204" xr:uid="{00000000-0005-0000-0000-00009B080000}"/>
    <cellStyle name="Normal 2 3 3" xfId="2205" xr:uid="{00000000-0005-0000-0000-00009C080000}"/>
    <cellStyle name="Normal 2 3 3 2" xfId="2206" xr:uid="{00000000-0005-0000-0000-00009D080000}"/>
    <cellStyle name="Normal 2 3 3 2 2" xfId="2207" xr:uid="{00000000-0005-0000-0000-00009E080000}"/>
    <cellStyle name="Normal 2 3 3 3" xfId="2208" xr:uid="{00000000-0005-0000-0000-00009F080000}"/>
    <cellStyle name="Normal 2 3 4" xfId="2209" xr:uid="{00000000-0005-0000-0000-0000A0080000}"/>
    <cellStyle name="Normal 2 3 4 2" xfId="2210" xr:uid="{00000000-0005-0000-0000-0000A1080000}"/>
    <cellStyle name="Normal 2 3 5" xfId="2211" xr:uid="{00000000-0005-0000-0000-0000A2080000}"/>
    <cellStyle name="Normal 2_InputSA" xfId="2212" xr:uid="{00000000-0005-0000-0000-0000A3080000}"/>
    <cellStyle name="Normal 28" xfId="2213" xr:uid="{00000000-0005-0000-0000-0000A4080000}"/>
    <cellStyle name="Normal 3" xfId="2214" xr:uid="{00000000-0005-0000-0000-0000A5080000}"/>
    <cellStyle name="Normal 3 2" xfId="2215" xr:uid="{00000000-0005-0000-0000-0000A6080000}"/>
    <cellStyle name="Normal 3 3" xfId="2216" xr:uid="{00000000-0005-0000-0000-0000A7080000}"/>
    <cellStyle name="Normal 3 3 2" xfId="2217" xr:uid="{00000000-0005-0000-0000-0000A8080000}"/>
    <cellStyle name="Normal 3_Financial Analysis template" xfId="2218" xr:uid="{00000000-0005-0000-0000-0000A9080000}"/>
    <cellStyle name="Normal 31" xfId="2219" xr:uid="{00000000-0005-0000-0000-0000AA080000}"/>
    <cellStyle name="Normal 33" xfId="2220" xr:uid="{00000000-0005-0000-0000-0000AB080000}"/>
    <cellStyle name="Normal 34" xfId="2221" xr:uid="{00000000-0005-0000-0000-0000AC080000}"/>
    <cellStyle name="Normal 36" xfId="2222" xr:uid="{00000000-0005-0000-0000-0000AD080000}"/>
    <cellStyle name="Normal 37" xfId="2223" xr:uid="{00000000-0005-0000-0000-0000AE080000}"/>
    <cellStyle name="Normal 39" xfId="2224" xr:uid="{00000000-0005-0000-0000-0000AF080000}"/>
    <cellStyle name="Normal 4" xfId="2225" xr:uid="{00000000-0005-0000-0000-0000B0080000}"/>
    <cellStyle name="Normal 4 2" xfId="2226" xr:uid="{00000000-0005-0000-0000-0000B1080000}"/>
    <cellStyle name="Normal 4 3" xfId="2227" xr:uid="{00000000-0005-0000-0000-0000B2080000}"/>
    <cellStyle name="Normal 4_InputSA" xfId="2228" xr:uid="{00000000-0005-0000-0000-0000B3080000}"/>
    <cellStyle name="Normal 40" xfId="2229" xr:uid="{00000000-0005-0000-0000-0000B4080000}"/>
    <cellStyle name="Normal 41" xfId="2230" xr:uid="{00000000-0005-0000-0000-0000B5080000}"/>
    <cellStyle name="Normal 44" xfId="2231" xr:uid="{00000000-0005-0000-0000-0000B6080000}"/>
    <cellStyle name="Normal 45" xfId="2232" xr:uid="{00000000-0005-0000-0000-0000B7080000}"/>
    <cellStyle name="Normal 46" xfId="2233" xr:uid="{00000000-0005-0000-0000-0000B8080000}"/>
    <cellStyle name="Normal 47" xfId="2234" xr:uid="{00000000-0005-0000-0000-0000B9080000}"/>
    <cellStyle name="Normal 49" xfId="2235" xr:uid="{00000000-0005-0000-0000-0000BA080000}"/>
    <cellStyle name="Normal 5" xfId="2236" xr:uid="{00000000-0005-0000-0000-0000BB080000}"/>
    <cellStyle name="Normal 5 2" xfId="2237" xr:uid="{00000000-0005-0000-0000-0000BC080000}"/>
    <cellStyle name="Normal 5 3" xfId="2238" xr:uid="{00000000-0005-0000-0000-0000BD080000}"/>
    <cellStyle name="Normal 54" xfId="2239" xr:uid="{00000000-0005-0000-0000-0000BE080000}"/>
    <cellStyle name="Normal 58" xfId="2240" xr:uid="{00000000-0005-0000-0000-0000BF080000}"/>
    <cellStyle name="Normal 6" xfId="2241" xr:uid="{00000000-0005-0000-0000-0000C0080000}"/>
    <cellStyle name="Normal 6 2" xfId="2242" xr:uid="{00000000-0005-0000-0000-0000C1080000}"/>
    <cellStyle name="Normal 7" xfId="2243" xr:uid="{00000000-0005-0000-0000-0000C2080000}"/>
    <cellStyle name="Normal 7 2" xfId="2244" xr:uid="{00000000-0005-0000-0000-0000C3080000}"/>
    <cellStyle name="Normal 7 2 2" xfId="2245" xr:uid="{00000000-0005-0000-0000-0000C4080000}"/>
    <cellStyle name="Normal 7 2 2 2" xfId="2246" xr:uid="{00000000-0005-0000-0000-0000C5080000}"/>
    <cellStyle name="Normal 7 2 3" xfId="2247" xr:uid="{00000000-0005-0000-0000-0000C6080000}"/>
    <cellStyle name="Normal 7 3" xfId="2248" xr:uid="{00000000-0005-0000-0000-0000C7080000}"/>
    <cellStyle name="Normal 7 3 2" xfId="2249" xr:uid="{00000000-0005-0000-0000-0000C8080000}"/>
    <cellStyle name="Normal 7 3 2 2" xfId="2250" xr:uid="{00000000-0005-0000-0000-0000C9080000}"/>
    <cellStyle name="Normal 7 3 3" xfId="2251" xr:uid="{00000000-0005-0000-0000-0000CA080000}"/>
    <cellStyle name="Normal 8" xfId="2252" xr:uid="{00000000-0005-0000-0000-0000CB080000}"/>
    <cellStyle name="Normal 8 2" xfId="2253" xr:uid="{00000000-0005-0000-0000-0000CC080000}"/>
    <cellStyle name="Normal 8 2 2" xfId="2254" xr:uid="{00000000-0005-0000-0000-0000CD080000}"/>
    <cellStyle name="Normal 8 2 2 2" xfId="2255" xr:uid="{00000000-0005-0000-0000-0000CE080000}"/>
    <cellStyle name="Normal 8 2 3" xfId="2256" xr:uid="{00000000-0005-0000-0000-0000CF080000}"/>
    <cellStyle name="Normal 9" xfId="2257" xr:uid="{00000000-0005-0000-0000-0000D0080000}"/>
    <cellStyle name="Note 2" xfId="2258" xr:uid="{00000000-0005-0000-0000-0000D1080000}"/>
    <cellStyle name="Note 2 2" xfId="2259" xr:uid="{00000000-0005-0000-0000-0000D2080000}"/>
    <cellStyle name="Note 2 2 2" xfId="2260" xr:uid="{00000000-0005-0000-0000-0000D3080000}"/>
    <cellStyle name="Note 2 3" xfId="2261" xr:uid="{00000000-0005-0000-0000-0000D4080000}"/>
    <cellStyle name="Note 3" xfId="2262" xr:uid="{00000000-0005-0000-0000-0000D5080000}"/>
    <cellStyle name="Note 3 2" xfId="2263" xr:uid="{00000000-0005-0000-0000-0000D6080000}"/>
    <cellStyle name="Note 3 2 2" xfId="2264" xr:uid="{00000000-0005-0000-0000-0000D7080000}"/>
    <cellStyle name="Note 3 3" xfId="2265" xr:uid="{00000000-0005-0000-0000-0000D8080000}"/>
    <cellStyle name="Overskrift 1" xfId="2266" xr:uid="{00000000-0005-0000-0000-0000D9080000}"/>
    <cellStyle name="Overskrift 2" xfId="2267" xr:uid="{00000000-0005-0000-0000-0000DA080000}"/>
    <cellStyle name="Overskrift 3" xfId="2268" xr:uid="{00000000-0005-0000-0000-0000DB080000}"/>
    <cellStyle name="Overskrift 4" xfId="2269" xr:uid="{00000000-0005-0000-0000-0000DC080000}"/>
    <cellStyle name="Per cent" xfId="2" builtinId="5" customBuiltin="1"/>
    <cellStyle name="Percent 10" xfId="2270" xr:uid="{00000000-0005-0000-0000-0000DE080000}"/>
    <cellStyle name="Percent 10 2" xfId="2271" xr:uid="{00000000-0005-0000-0000-0000DF080000}"/>
    <cellStyle name="Percent 10 2 2" xfId="2272" xr:uid="{00000000-0005-0000-0000-0000E0080000}"/>
    <cellStyle name="Percent 10 3" xfId="2273" xr:uid="{00000000-0005-0000-0000-0000E1080000}"/>
    <cellStyle name="Percent 11" xfId="2274" xr:uid="{00000000-0005-0000-0000-0000E2080000}"/>
    <cellStyle name="Percent 11 2" xfId="2275" xr:uid="{00000000-0005-0000-0000-0000E3080000}"/>
    <cellStyle name="Percent 12" xfId="2276" xr:uid="{00000000-0005-0000-0000-0000E4080000}"/>
    <cellStyle name="Percent 15" xfId="2277" xr:uid="{00000000-0005-0000-0000-0000E5080000}"/>
    <cellStyle name="Percent 2" xfId="2278" xr:uid="{00000000-0005-0000-0000-0000E6080000}"/>
    <cellStyle name="Percent 2 2" xfId="2279" xr:uid="{00000000-0005-0000-0000-0000E7080000}"/>
    <cellStyle name="Percent 2 3" xfId="2280" xr:uid="{00000000-0005-0000-0000-0000E8080000}"/>
    <cellStyle name="Percent 3" xfId="2281" xr:uid="{00000000-0005-0000-0000-0000E9080000}"/>
    <cellStyle name="Percent 3 2" xfId="2282" xr:uid="{00000000-0005-0000-0000-0000EA080000}"/>
    <cellStyle name="Percent 4" xfId="2283" xr:uid="{00000000-0005-0000-0000-0000EB080000}"/>
    <cellStyle name="Percent 4 2" xfId="2284" xr:uid="{00000000-0005-0000-0000-0000EC080000}"/>
    <cellStyle name="Percent 4 2 2" xfId="2285" xr:uid="{00000000-0005-0000-0000-0000ED080000}"/>
    <cellStyle name="Percent 4 2 2 2" xfId="2286" xr:uid="{00000000-0005-0000-0000-0000EE080000}"/>
    <cellStyle name="Percent 4 2 3" xfId="2287" xr:uid="{00000000-0005-0000-0000-0000EF080000}"/>
    <cellStyle name="Percent 5" xfId="2288" xr:uid="{00000000-0005-0000-0000-0000F0080000}"/>
    <cellStyle name="Percent 5 2" xfId="2289" xr:uid="{00000000-0005-0000-0000-0000F1080000}"/>
    <cellStyle name="Percent 6" xfId="2290" xr:uid="{00000000-0005-0000-0000-0000F2080000}"/>
    <cellStyle name="Percent 6 2" xfId="2291" xr:uid="{00000000-0005-0000-0000-0000F3080000}"/>
    <cellStyle name="Percent 7" xfId="2292" xr:uid="{00000000-0005-0000-0000-0000F4080000}"/>
    <cellStyle name="Percent 7 2" xfId="2293" xr:uid="{00000000-0005-0000-0000-0000F5080000}"/>
    <cellStyle name="Percent 7 2 2" xfId="2294" xr:uid="{00000000-0005-0000-0000-0000F6080000}"/>
    <cellStyle name="Percent 7 2 2 2" xfId="2295" xr:uid="{00000000-0005-0000-0000-0000F7080000}"/>
    <cellStyle name="Percent 7 2 2 2 2" xfId="2296" xr:uid="{00000000-0005-0000-0000-0000F8080000}"/>
    <cellStyle name="Percent 7 2 2 3" xfId="2297" xr:uid="{00000000-0005-0000-0000-0000F9080000}"/>
    <cellStyle name="Percent 7 2 3" xfId="2298" xr:uid="{00000000-0005-0000-0000-0000FA080000}"/>
    <cellStyle name="Percent 7 2 3 2" xfId="2299" xr:uid="{00000000-0005-0000-0000-0000FB080000}"/>
    <cellStyle name="Percent 7 2 4" xfId="2300" xr:uid="{00000000-0005-0000-0000-0000FC080000}"/>
    <cellStyle name="Percent 7 3" xfId="2301" xr:uid="{00000000-0005-0000-0000-0000FD080000}"/>
    <cellStyle name="Percent 7 3 2" xfId="2302" xr:uid="{00000000-0005-0000-0000-0000FE080000}"/>
    <cellStyle name="Percent 7 3 2 2" xfId="2303" xr:uid="{00000000-0005-0000-0000-0000FF080000}"/>
    <cellStyle name="Percent 7 3 3" xfId="2304" xr:uid="{00000000-0005-0000-0000-000000090000}"/>
    <cellStyle name="Percent 7 4" xfId="2305" xr:uid="{00000000-0005-0000-0000-000001090000}"/>
    <cellStyle name="Percent 7 4 2" xfId="2306" xr:uid="{00000000-0005-0000-0000-000002090000}"/>
    <cellStyle name="Percent 7 5" xfId="2307" xr:uid="{00000000-0005-0000-0000-000003090000}"/>
    <cellStyle name="Percent 8" xfId="2308" xr:uid="{00000000-0005-0000-0000-000004090000}"/>
    <cellStyle name="Percent 9" xfId="2309" xr:uid="{00000000-0005-0000-0000-000005090000}"/>
    <cellStyle name="Percent 9 2" xfId="2310" xr:uid="{00000000-0005-0000-0000-000006090000}"/>
    <cellStyle name="Percent 9 2 2" xfId="2311" xr:uid="{00000000-0005-0000-0000-000007090000}"/>
    <cellStyle name="Percent 9 2 3" xfId="2312" xr:uid="{00000000-0005-0000-0000-000008090000}"/>
    <cellStyle name="Percent 9 2 3 2" xfId="2313" xr:uid="{00000000-0005-0000-0000-000009090000}"/>
    <cellStyle name="Percent 9 2 4" xfId="2314" xr:uid="{00000000-0005-0000-0000-00000A090000}"/>
    <cellStyle name="Percent 9 3" xfId="2315" xr:uid="{00000000-0005-0000-0000-00000B090000}"/>
    <cellStyle name="Percent 9 4" xfId="2316" xr:uid="{00000000-0005-0000-0000-00000C090000}"/>
    <cellStyle name="Percent 9 4 2" xfId="2317" xr:uid="{00000000-0005-0000-0000-00000D090000}"/>
    <cellStyle name="Percent 9 5" xfId="2318" xr:uid="{00000000-0005-0000-0000-00000E090000}"/>
    <cellStyle name="RangeName" xfId="2319" xr:uid="{00000000-0005-0000-0000-00000F090000}"/>
    <cellStyle name="Rubrik" xfId="2320" xr:uid="{00000000-0005-0000-0000-000010090000}"/>
    <cellStyle name="Rubrik 1" xfId="2321" xr:uid="{00000000-0005-0000-0000-000011090000}"/>
    <cellStyle name="Rubrik 2" xfId="2322" xr:uid="{00000000-0005-0000-0000-000012090000}"/>
    <cellStyle name="Rubrik 3" xfId="2323" xr:uid="{00000000-0005-0000-0000-000013090000}"/>
    <cellStyle name="Rubrik 4" xfId="2324" xr:uid="{00000000-0005-0000-0000-000014090000}"/>
    <cellStyle name="Sammenkædet celle" xfId="2325" xr:uid="{00000000-0005-0000-0000-000015090000}"/>
    <cellStyle name="SAPBEXaggData" xfId="2326" xr:uid="{00000000-0005-0000-0000-000016090000}"/>
    <cellStyle name="SAPBEXaggData 2" xfId="2327" xr:uid="{00000000-0005-0000-0000-000017090000}"/>
    <cellStyle name="SAPBEXaggData 2 2" xfId="2328" xr:uid="{00000000-0005-0000-0000-000018090000}"/>
    <cellStyle name="SAPBEXaggData 3" xfId="2329" xr:uid="{00000000-0005-0000-0000-000019090000}"/>
    <cellStyle name="SAPBEXaggDataEmph" xfId="2330" xr:uid="{00000000-0005-0000-0000-00001A090000}"/>
    <cellStyle name="SAPBEXaggDataEmph 2" xfId="2331" xr:uid="{00000000-0005-0000-0000-00001B090000}"/>
    <cellStyle name="SAPBEXaggDataEmph 2 2" xfId="2332" xr:uid="{00000000-0005-0000-0000-00001C090000}"/>
    <cellStyle name="SAPBEXaggDataEmph 3" xfId="2333" xr:uid="{00000000-0005-0000-0000-00001D090000}"/>
    <cellStyle name="SAPBEXaggItem" xfId="2334" xr:uid="{00000000-0005-0000-0000-00001E090000}"/>
    <cellStyle name="SAPBEXaggItem 2" xfId="2335" xr:uid="{00000000-0005-0000-0000-00001F090000}"/>
    <cellStyle name="SAPBEXaggItem 2 2" xfId="2336" xr:uid="{00000000-0005-0000-0000-000020090000}"/>
    <cellStyle name="SAPBEXaggItem 3" xfId="2337" xr:uid="{00000000-0005-0000-0000-000021090000}"/>
    <cellStyle name="SAPBEXaggItemX" xfId="2338" xr:uid="{00000000-0005-0000-0000-000022090000}"/>
    <cellStyle name="SAPBEXaggItemX 2" xfId="2339" xr:uid="{00000000-0005-0000-0000-000023090000}"/>
    <cellStyle name="SAPBEXaggItemX 2 2" xfId="2340" xr:uid="{00000000-0005-0000-0000-000024090000}"/>
    <cellStyle name="SAPBEXaggItemX 3" xfId="2341" xr:uid="{00000000-0005-0000-0000-000025090000}"/>
    <cellStyle name="SAPBEXchaText" xfId="2342" xr:uid="{00000000-0005-0000-0000-000026090000}"/>
    <cellStyle name="SAPBEXexcBad7" xfId="2343" xr:uid="{00000000-0005-0000-0000-000027090000}"/>
    <cellStyle name="SAPBEXexcBad7 2" xfId="2344" xr:uid="{00000000-0005-0000-0000-000028090000}"/>
    <cellStyle name="SAPBEXexcBad7 2 2" xfId="2345" xr:uid="{00000000-0005-0000-0000-000029090000}"/>
    <cellStyle name="SAPBEXexcBad7 3" xfId="2346" xr:uid="{00000000-0005-0000-0000-00002A090000}"/>
    <cellStyle name="SAPBEXexcBad8" xfId="2347" xr:uid="{00000000-0005-0000-0000-00002B090000}"/>
    <cellStyle name="SAPBEXexcBad8 2" xfId="2348" xr:uid="{00000000-0005-0000-0000-00002C090000}"/>
    <cellStyle name="SAPBEXexcBad8 2 2" xfId="2349" xr:uid="{00000000-0005-0000-0000-00002D090000}"/>
    <cellStyle name="SAPBEXexcBad8 3" xfId="2350" xr:uid="{00000000-0005-0000-0000-00002E090000}"/>
    <cellStyle name="SAPBEXexcBad9" xfId="2351" xr:uid="{00000000-0005-0000-0000-00002F090000}"/>
    <cellStyle name="SAPBEXexcBad9 2" xfId="2352" xr:uid="{00000000-0005-0000-0000-000030090000}"/>
    <cellStyle name="SAPBEXexcBad9 2 2" xfId="2353" xr:uid="{00000000-0005-0000-0000-000031090000}"/>
    <cellStyle name="SAPBEXexcBad9 3" xfId="2354" xr:uid="{00000000-0005-0000-0000-000032090000}"/>
    <cellStyle name="SAPBEXexcCritical4" xfId="2355" xr:uid="{00000000-0005-0000-0000-000033090000}"/>
    <cellStyle name="SAPBEXexcCritical4 2" xfId="2356" xr:uid="{00000000-0005-0000-0000-000034090000}"/>
    <cellStyle name="SAPBEXexcCritical4 2 2" xfId="2357" xr:uid="{00000000-0005-0000-0000-000035090000}"/>
    <cellStyle name="SAPBEXexcCritical4 3" xfId="2358" xr:uid="{00000000-0005-0000-0000-000036090000}"/>
    <cellStyle name="SAPBEXexcCritical5" xfId="2359" xr:uid="{00000000-0005-0000-0000-000037090000}"/>
    <cellStyle name="SAPBEXexcCritical5 2" xfId="2360" xr:uid="{00000000-0005-0000-0000-000038090000}"/>
    <cellStyle name="SAPBEXexcCritical5 2 2" xfId="2361" xr:uid="{00000000-0005-0000-0000-000039090000}"/>
    <cellStyle name="SAPBEXexcCritical5 3" xfId="2362" xr:uid="{00000000-0005-0000-0000-00003A090000}"/>
    <cellStyle name="SAPBEXexcCritical6" xfId="2363" xr:uid="{00000000-0005-0000-0000-00003B090000}"/>
    <cellStyle name="SAPBEXexcCritical6 2" xfId="2364" xr:uid="{00000000-0005-0000-0000-00003C090000}"/>
    <cellStyle name="SAPBEXexcCritical6 2 2" xfId="2365" xr:uid="{00000000-0005-0000-0000-00003D090000}"/>
    <cellStyle name="SAPBEXexcCritical6 3" xfId="2366" xr:uid="{00000000-0005-0000-0000-00003E090000}"/>
    <cellStyle name="SAPBEXexcGood1" xfId="2367" xr:uid="{00000000-0005-0000-0000-00003F090000}"/>
    <cellStyle name="SAPBEXexcGood1 2" xfId="2368" xr:uid="{00000000-0005-0000-0000-000040090000}"/>
    <cellStyle name="SAPBEXexcGood1 2 2" xfId="2369" xr:uid="{00000000-0005-0000-0000-000041090000}"/>
    <cellStyle name="SAPBEXexcGood1 3" xfId="2370" xr:uid="{00000000-0005-0000-0000-000042090000}"/>
    <cellStyle name="SAPBEXexcGood2" xfId="2371" xr:uid="{00000000-0005-0000-0000-000043090000}"/>
    <cellStyle name="SAPBEXexcGood2 2" xfId="2372" xr:uid="{00000000-0005-0000-0000-000044090000}"/>
    <cellStyle name="SAPBEXexcGood2 2 2" xfId="2373" xr:uid="{00000000-0005-0000-0000-000045090000}"/>
    <cellStyle name="SAPBEXexcGood2 3" xfId="2374" xr:uid="{00000000-0005-0000-0000-000046090000}"/>
    <cellStyle name="SAPBEXexcGood3" xfId="2375" xr:uid="{00000000-0005-0000-0000-000047090000}"/>
    <cellStyle name="SAPBEXexcGood3 2" xfId="2376" xr:uid="{00000000-0005-0000-0000-000048090000}"/>
    <cellStyle name="SAPBEXexcGood3 2 2" xfId="2377" xr:uid="{00000000-0005-0000-0000-000049090000}"/>
    <cellStyle name="SAPBEXexcGood3 3" xfId="2378" xr:uid="{00000000-0005-0000-0000-00004A090000}"/>
    <cellStyle name="SAPBEXfilterDrill" xfId="2379" xr:uid="{00000000-0005-0000-0000-00004B090000}"/>
    <cellStyle name="SAPBEXfilterItem" xfId="2380" xr:uid="{00000000-0005-0000-0000-00004C090000}"/>
    <cellStyle name="SAPBEXfilterText" xfId="2381" xr:uid="{00000000-0005-0000-0000-00004D090000}"/>
    <cellStyle name="SAPBEXformats" xfId="2382" xr:uid="{00000000-0005-0000-0000-00004E090000}"/>
    <cellStyle name="SAPBEXformats 2" xfId="2383" xr:uid="{00000000-0005-0000-0000-00004F090000}"/>
    <cellStyle name="SAPBEXformats 2 2" xfId="2384" xr:uid="{00000000-0005-0000-0000-000050090000}"/>
    <cellStyle name="SAPBEXformats 3" xfId="2385" xr:uid="{00000000-0005-0000-0000-000051090000}"/>
    <cellStyle name="SAPBEXheaderItem" xfId="2386" xr:uid="{00000000-0005-0000-0000-000052090000}"/>
    <cellStyle name="SAPBEXheaderText" xfId="2387" xr:uid="{00000000-0005-0000-0000-000053090000}"/>
    <cellStyle name="SAPBEXHLevel0" xfId="2388" xr:uid="{00000000-0005-0000-0000-000054090000}"/>
    <cellStyle name="SAPBEXHLevel0 2" xfId="2389" xr:uid="{00000000-0005-0000-0000-000055090000}"/>
    <cellStyle name="SAPBEXHLevel0 2 2" xfId="2390" xr:uid="{00000000-0005-0000-0000-000056090000}"/>
    <cellStyle name="SAPBEXHLevel0 3" xfId="2391" xr:uid="{00000000-0005-0000-0000-000057090000}"/>
    <cellStyle name="SAPBEXHLevel0X" xfId="2392" xr:uid="{00000000-0005-0000-0000-000058090000}"/>
    <cellStyle name="SAPBEXHLevel0X 2" xfId="2393" xr:uid="{00000000-0005-0000-0000-000059090000}"/>
    <cellStyle name="SAPBEXHLevel0X 2 2" xfId="2394" xr:uid="{00000000-0005-0000-0000-00005A090000}"/>
    <cellStyle name="SAPBEXHLevel0X 3" xfId="2395" xr:uid="{00000000-0005-0000-0000-00005B090000}"/>
    <cellStyle name="SAPBEXHLevel1" xfId="2396" xr:uid="{00000000-0005-0000-0000-00005C090000}"/>
    <cellStyle name="SAPBEXHLevel1 2" xfId="2397" xr:uid="{00000000-0005-0000-0000-00005D090000}"/>
    <cellStyle name="SAPBEXHLevel1 2 2" xfId="2398" xr:uid="{00000000-0005-0000-0000-00005E090000}"/>
    <cellStyle name="SAPBEXHLevel1 3" xfId="2399" xr:uid="{00000000-0005-0000-0000-00005F090000}"/>
    <cellStyle name="SAPBEXHLevel1X" xfId="2400" xr:uid="{00000000-0005-0000-0000-000060090000}"/>
    <cellStyle name="SAPBEXHLevel1X 2" xfId="2401" xr:uid="{00000000-0005-0000-0000-000061090000}"/>
    <cellStyle name="SAPBEXHLevel1X 2 2" xfId="2402" xr:uid="{00000000-0005-0000-0000-000062090000}"/>
    <cellStyle name="SAPBEXHLevel1X 3" xfId="2403" xr:uid="{00000000-0005-0000-0000-000063090000}"/>
    <cellStyle name="SAPBEXHLevel2" xfId="2404" xr:uid="{00000000-0005-0000-0000-000064090000}"/>
    <cellStyle name="SAPBEXHLevel2 2" xfId="2405" xr:uid="{00000000-0005-0000-0000-000065090000}"/>
    <cellStyle name="SAPBEXHLevel2 2 2" xfId="2406" xr:uid="{00000000-0005-0000-0000-000066090000}"/>
    <cellStyle name="SAPBEXHLevel2 3" xfId="2407" xr:uid="{00000000-0005-0000-0000-000067090000}"/>
    <cellStyle name="SAPBEXHLevel2X" xfId="2408" xr:uid="{00000000-0005-0000-0000-000068090000}"/>
    <cellStyle name="SAPBEXHLevel2X 2" xfId="2409" xr:uid="{00000000-0005-0000-0000-000069090000}"/>
    <cellStyle name="SAPBEXHLevel2X 2 2" xfId="2410" xr:uid="{00000000-0005-0000-0000-00006A090000}"/>
    <cellStyle name="SAPBEXHLevel2X 3" xfId="2411" xr:uid="{00000000-0005-0000-0000-00006B090000}"/>
    <cellStyle name="SAPBEXHLevel3" xfId="2412" xr:uid="{00000000-0005-0000-0000-00006C090000}"/>
    <cellStyle name="SAPBEXHLevel3 2" xfId="2413" xr:uid="{00000000-0005-0000-0000-00006D090000}"/>
    <cellStyle name="SAPBEXHLevel3 2 2" xfId="2414" xr:uid="{00000000-0005-0000-0000-00006E090000}"/>
    <cellStyle name="SAPBEXHLevel3 3" xfId="2415" xr:uid="{00000000-0005-0000-0000-00006F090000}"/>
    <cellStyle name="SAPBEXHLevel3X" xfId="2416" xr:uid="{00000000-0005-0000-0000-000070090000}"/>
    <cellStyle name="SAPBEXHLevel3X 2" xfId="2417" xr:uid="{00000000-0005-0000-0000-000071090000}"/>
    <cellStyle name="SAPBEXHLevel3X 2 2" xfId="2418" xr:uid="{00000000-0005-0000-0000-000072090000}"/>
    <cellStyle name="SAPBEXHLevel3X 3" xfId="2419" xr:uid="{00000000-0005-0000-0000-000073090000}"/>
    <cellStyle name="SAPBEXinputData" xfId="2420" xr:uid="{00000000-0005-0000-0000-000074090000}"/>
    <cellStyle name="SAPBEXItemHeader" xfId="2421" xr:uid="{00000000-0005-0000-0000-000075090000}"/>
    <cellStyle name="SAPBEXItemHeader 2" xfId="2422" xr:uid="{00000000-0005-0000-0000-000076090000}"/>
    <cellStyle name="SAPBEXItemHeader 2 2" xfId="2423" xr:uid="{00000000-0005-0000-0000-000077090000}"/>
    <cellStyle name="SAPBEXItemHeader 3" xfId="2424" xr:uid="{00000000-0005-0000-0000-000078090000}"/>
    <cellStyle name="SAPBEXresData" xfId="2425" xr:uid="{00000000-0005-0000-0000-000079090000}"/>
    <cellStyle name="SAPBEXresData 2" xfId="2426" xr:uid="{00000000-0005-0000-0000-00007A090000}"/>
    <cellStyle name="SAPBEXresData 2 2" xfId="2427" xr:uid="{00000000-0005-0000-0000-00007B090000}"/>
    <cellStyle name="SAPBEXresData 3" xfId="2428" xr:uid="{00000000-0005-0000-0000-00007C090000}"/>
    <cellStyle name="SAPBEXresDataEmph" xfId="2429" xr:uid="{00000000-0005-0000-0000-00007D090000}"/>
    <cellStyle name="SAPBEXresDataEmph 2" xfId="2430" xr:uid="{00000000-0005-0000-0000-00007E090000}"/>
    <cellStyle name="SAPBEXresDataEmph 2 2" xfId="2431" xr:uid="{00000000-0005-0000-0000-00007F090000}"/>
    <cellStyle name="SAPBEXresDataEmph 3" xfId="2432" xr:uid="{00000000-0005-0000-0000-000080090000}"/>
    <cellStyle name="SAPBEXresItem" xfId="2433" xr:uid="{00000000-0005-0000-0000-000081090000}"/>
    <cellStyle name="SAPBEXresItem 2" xfId="2434" xr:uid="{00000000-0005-0000-0000-000082090000}"/>
    <cellStyle name="SAPBEXresItem 2 2" xfId="2435" xr:uid="{00000000-0005-0000-0000-000083090000}"/>
    <cellStyle name="SAPBEXresItem 3" xfId="2436" xr:uid="{00000000-0005-0000-0000-000084090000}"/>
    <cellStyle name="SAPBEXresItemX" xfId="2437" xr:uid="{00000000-0005-0000-0000-000085090000}"/>
    <cellStyle name="SAPBEXresItemX 2" xfId="2438" xr:uid="{00000000-0005-0000-0000-000086090000}"/>
    <cellStyle name="SAPBEXresItemX 2 2" xfId="2439" xr:uid="{00000000-0005-0000-0000-000087090000}"/>
    <cellStyle name="SAPBEXresItemX 3" xfId="2440" xr:uid="{00000000-0005-0000-0000-000088090000}"/>
    <cellStyle name="SAPBEXstdData" xfId="2441" xr:uid="{00000000-0005-0000-0000-000089090000}"/>
    <cellStyle name="SAPBEXstdData 2" xfId="2442" xr:uid="{00000000-0005-0000-0000-00008A090000}"/>
    <cellStyle name="SAPBEXstdData 2 2" xfId="2443" xr:uid="{00000000-0005-0000-0000-00008B090000}"/>
    <cellStyle name="SAPBEXstdData 3" xfId="2444" xr:uid="{00000000-0005-0000-0000-00008C090000}"/>
    <cellStyle name="SAPBEXstdDataEmph" xfId="2445" xr:uid="{00000000-0005-0000-0000-00008D090000}"/>
    <cellStyle name="SAPBEXstdDataEmph 2" xfId="2446" xr:uid="{00000000-0005-0000-0000-00008E090000}"/>
    <cellStyle name="SAPBEXstdDataEmph 2 2" xfId="2447" xr:uid="{00000000-0005-0000-0000-00008F090000}"/>
    <cellStyle name="SAPBEXstdDataEmph 3" xfId="2448" xr:uid="{00000000-0005-0000-0000-000090090000}"/>
    <cellStyle name="SAPBEXstdItem" xfId="2449" xr:uid="{00000000-0005-0000-0000-000091090000}"/>
    <cellStyle name="SAPBEXstdItem 2" xfId="2450" xr:uid="{00000000-0005-0000-0000-000092090000}"/>
    <cellStyle name="SAPBEXstdItem 2 2" xfId="2451" xr:uid="{00000000-0005-0000-0000-000093090000}"/>
    <cellStyle name="SAPBEXstdItem 3" xfId="2452" xr:uid="{00000000-0005-0000-0000-000094090000}"/>
    <cellStyle name="SAPBEXstdItemX" xfId="2453" xr:uid="{00000000-0005-0000-0000-000095090000}"/>
    <cellStyle name="SAPBEXstdItemX 2" xfId="2454" xr:uid="{00000000-0005-0000-0000-000096090000}"/>
    <cellStyle name="SAPBEXstdItemX 2 2" xfId="2455" xr:uid="{00000000-0005-0000-0000-000097090000}"/>
    <cellStyle name="SAPBEXstdItemX 3" xfId="2456" xr:uid="{00000000-0005-0000-0000-000098090000}"/>
    <cellStyle name="SAPBEXtitle" xfId="2457" xr:uid="{00000000-0005-0000-0000-000099090000}"/>
    <cellStyle name="SAPBEXtitle 2" xfId="2458" xr:uid="{00000000-0005-0000-0000-00009A090000}"/>
    <cellStyle name="SAPBEXtitle 2 2" xfId="2459" xr:uid="{00000000-0005-0000-0000-00009B090000}"/>
    <cellStyle name="SAPBEXtitle 3" xfId="2460" xr:uid="{00000000-0005-0000-0000-00009C090000}"/>
    <cellStyle name="SAPBEXunassignedItem" xfId="2461" xr:uid="{00000000-0005-0000-0000-00009D090000}"/>
    <cellStyle name="SAPBEXundefined" xfId="2462" xr:uid="{00000000-0005-0000-0000-00009E090000}"/>
    <cellStyle name="SAPBEXundefined 2" xfId="2463" xr:uid="{00000000-0005-0000-0000-00009F090000}"/>
    <cellStyle name="SAPBEXundefined 2 2" xfId="2464" xr:uid="{00000000-0005-0000-0000-0000A0090000}"/>
    <cellStyle name="SAPBEXundefined 3" xfId="2465" xr:uid="{00000000-0005-0000-0000-0000A1090000}"/>
    <cellStyle name="Sheet Title" xfId="2466" xr:uid="{00000000-0005-0000-0000-0000A2090000}"/>
    <cellStyle name="Style 1" xfId="2467" xr:uid="{00000000-0005-0000-0000-0000A3090000}"/>
    <cellStyle name="Style 1 2" xfId="2468" xr:uid="{00000000-0005-0000-0000-0000A4090000}"/>
    <cellStyle name="Sub-total" xfId="2469" xr:uid="{00000000-0005-0000-0000-0000A5090000}"/>
    <cellStyle name="Sub-total 2" xfId="2470" xr:uid="{00000000-0005-0000-0000-0000A6090000}"/>
    <cellStyle name="Sub-total 2 2" xfId="2471" xr:uid="{00000000-0005-0000-0000-0000A7090000}"/>
    <cellStyle name="Sub-total 3" xfId="2472" xr:uid="{00000000-0005-0000-0000-0000A8090000}"/>
    <cellStyle name="Summa" xfId="2473" xr:uid="{00000000-0005-0000-0000-0000A9090000}"/>
    <cellStyle name="Summa 2" xfId="2474" xr:uid="{00000000-0005-0000-0000-0000AA090000}"/>
    <cellStyle name="Summa 2 2" xfId="2475" xr:uid="{00000000-0005-0000-0000-0000AB090000}"/>
    <cellStyle name="Summa 3" xfId="2476" xr:uid="{00000000-0005-0000-0000-0000AC090000}"/>
    <cellStyle name="Text" xfId="2477" xr:uid="{00000000-0005-0000-0000-0000AD090000}"/>
    <cellStyle name="Titel" xfId="2478" xr:uid="{00000000-0005-0000-0000-0000AE090000}"/>
    <cellStyle name="Totals" xfId="2479" xr:uid="{00000000-0005-0000-0000-0000AF090000}"/>
    <cellStyle name="Ugyldig" xfId="2480" xr:uid="{00000000-0005-0000-0000-0000B0090000}"/>
    <cellStyle name="Utdata" xfId="2481" xr:uid="{00000000-0005-0000-0000-0000B1090000}"/>
    <cellStyle name="Utdata 2" xfId="2482" xr:uid="{00000000-0005-0000-0000-0000B2090000}"/>
    <cellStyle name="Utdata 2 2" xfId="2483" xr:uid="{00000000-0005-0000-0000-0000B3090000}"/>
    <cellStyle name="Utdata 3" xfId="2484" xr:uid="{00000000-0005-0000-0000-0000B4090000}"/>
    <cellStyle name="Varningstext" xfId="2485" xr:uid="{00000000-0005-0000-0000-0000B5090000}"/>
  </cellStyles>
  <dxfs count="26">
    <dxf>
      <font>
        <color rgb="FFBFBFBF"/>
        <family val="2"/>
      </font>
    </dxf>
    <dxf>
      <font>
        <color rgb="FFBFBFBF"/>
        <family val="2"/>
      </font>
    </dxf>
    <dxf>
      <font>
        <color rgb="FFBFBFBF"/>
        <family val="2"/>
      </font>
    </dxf>
    <dxf>
      <font>
        <color rgb="FFBFBFBF"/>
        <family val="2"/>
      </font>
    </dxf>
    <dxf>
      <font>
        <color rgb="FFBFBFBF"/>
        <family val="2"/>
      </font>
    </dxf>
    <dxf>
      <font>
        <color rgb="FFBFBFBF"/>
        <family val="2"/>
      </font>
    </dxf>
    <dxf>
      <font>
        <color rgb="FFBFBFBF"/>
        <family val="2"/>
      </font>
    </dxf>
    <dxf>
      <font>
        <color rgb="FFBFBFBF"/>
        <family val="2"/>
      </font>
    </dxf>
    <dxf>
      <font>
        <color rgb="FFBFBFBF"/>
        <family val="2"/>
      </font>
    </dxf>
    <dxf>
      <font>
        <color rgb="FFBFBFBF"/>
        <family val="2"/>
      </font>
    </dxf>
    <dxf>
      <font>
        <color rgb="FFBFBFBF"/>
        <family val="2"/>
      </font>
    </dxf>
    <dxf>
      <font>
        <color rgb="FFC00000"/>
        <family val="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1" hidden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rgb="FF000000"/>
        <name val="Calibri"/>
        <family val="2"/>
        <scheme val="none"/>
      </font>
      <fill>
        <patternFill patternType="solid">
          <fgColor rgb="FFFF9900"/>
          <bgColor rgb="FFFF9900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8890</xdr:colOff>
      <xdr:row>0</xdr:row>
      <xdr:rowOff>0</xdr:rowOff>
    </xdr:from>
    <xdr:ext cx="2997202" cy="717547"/>
    <xdr:pic>
      <xdr:nvPicPr>
        <xdr:cNvPr id="2" name="Picture 2" descr="Ofgem logo">
          <a:extLst>
            <a:ext uri="{FF2B5EF4-FFF2-40B4-BE49-F238E27FC236}">
              <a16:creationId xmlns:a16="http://schemas.microsoft.com/office/drawing/2014/main" id="{C1338D49-8E85-D4A1-B9F6-44DD99A97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306070" y="0"/>
          <a:ext cx="2997202" cy="717547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EEDF12-715A-4B6A-AF08-2984814A545F}" name="VersionControl" displayName="VersionControl" ref="A2:K23" totalsRowShown="0" headerRowDxfId="25" dataDxfId="24" tableBorderDxfId="23" dataCellStyle="Normal 14">
  <autoFilter ref="A2:K23" xr:uid="{A1EEDF12-715A-4B6A-AF08-2984814A545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7937A1F0-B6F3-4CD7-A086-B51C3714A6C9}" name="Version number" dataDxfId="22" dataCellStyle="Normal 14"/>
    <tableColumn id="2" xr3:uid="{0356EBFC-90B2-4534-8859-F6A3E92062F7}" name="File pathname" dataDxfId="21" dataCellStyle="Normal 14"/>
    <tableColumn id="3" xr3:uid="{BDAE9F38-ABD7-4354-9F65-B0468DCB555E}" name="Based on version" dataDxfId="20" dataCellStyle="Normal 14"/>
    <tableColumn id="4" xr3:uid="{6C09B4C9-E9A6-41B1-ADDC-0E0DF169960F}" name="Author or editor" dataDxfId="19" dataCellStyle="Normal 14"/>
    <tableColumn id="5" xr3:uid="{DD14E6FF-BC81-4A18-8A12-FEB877681C77}" name="Date" dataDxfId="18" dataCellStyle="Normal 14"/>
    <tableColumn id="6" xr3:uid="{8B0C7F7D-53A4-4463-B740-7C4781BF8CD3}" name="Description of changes" dataDxfId="17" dataCellStyle="Normal 14"/>
    <tableColumn id="7" xr3:uid="{611A961F-38FB-4B06-A5AD-5CAF516D5E61}" name="Rationale for changes" dataDxfId="16" dataCellStyle="Normal 14"/>
    <tableColumn id="8" xr3:uid="{EB29E506-806D-456B-9CA7-CDD760B9D0D4}" name="Location of changes" dataDxfId="15" dataCellStyle="Normal 14"/>
    <tableColumn id="9" xr3:uid="{559753B0-F8DF-4C2A-B0AC-5B1DF43814F4}" name="Impact of changes on outputs" dataDxfId="14" dataCellStyle="Normal 14"/>
    <tableColumn id="10" xr3:uid="{9A887BCD-9D2A-47CA-B6CD-3436289859DA}" name="Quality assurance performed? By?" dataDxfId="13" dataCellStyle="Normal 14"/>
    <tableColumn id="11" xr3:uid="{CA27F073-7C05-465C-B539-35068FD7E03C}" name="Comments on QA performed" dataDxfId="12" dataCellStyle="Normal 1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ons.gov.uk/economy/inflationandpriceindices/timeseries/l522/mm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E6B8B7"/>
    <pageSetUpPr fitToPage="1"/>
  </sheetPr>
  <dimension ref="A1:D39"/>
  <sheetViews>
    <sheetView workbookViewId="0">
      <selection activeCell="A2" sqref="A2"/>
    </sheetView>
  </sheetViews>
  <sheetFormatPr defaultColWidth="0" defaultRowHeight="0" customHeight="1" zeroHeight="1"/>
  <cols>
    <col min="1" max="1" width="19.140625" style="1" customWidth="1"/>
    <col min="2" max="2" width="2.7109375" style="1" customWidth="1"/>
    <col min="3" max="3" width="96.42578125" style="1" customWidth="1"/>
    <col min="4" max="4" width="3.140625" customWidth="1"/>
    <col min="5" max="5" width="0" style="1" hidden="1" customWidth="1"/>
    <col min="6" max="16384" width="0" style="1" hidden="1"/>
  </cols>
  <sheetData>
    <row r="1" spans="1:4" ht="57" customHeight="1"/>
    <row r="2" spans="1:4" s="3" customFormat="1" ht="21">
      <c r="A2" s="2" t="s">
        <v>0</v>
      </c>
      <c r="D2"/>
    </row>
    <row r="3" spans="1:4" s="3" customFormat="1" ht="15.6">
      <c r="A3" s="4" t="s">
        <v>1</v>
      </c>
      <c r="D3"/>
    </row>
    <row r="4" spans="1:4" s="3" customFormat="1" ht="15" customHeight="1">
      <c r="A4" s="5" t="e">
        <f ca="1">MID(CELL("filename"),SEARCH("[",CELL("filename"))+1,SEARCH("]",CELL("filename"))-SEARCH("[",CELL("filename"))-1)</f>
        <v>#VALUE!</v>
      </c>
      <c r="B4" s="6"/>
      <c r="C4" s="6"/>
      <c r="D4"/>
    </row>
    <row r="5" spans="1:4" s="3" customFormat="1" ht="12.75" customHeight="1">
      <c r="A5" s="7" t="s">
        <v>2</v>
      </c>
      <c r="B5" s="7"/>
      <c r="C5" s="7"/>
      <c r="D5"/>
    </row>
    <row r="6" spans="1:4" s="3" customFormat="1" ht="12.95">
      <c r="A6" s="8" t="s">
        <v>3</v>
      </c>
      <c r="B6" s="9"/>
      <c r="C6" s="9"/>
      <c r="D6"/>
    </row>
    <row r="7" spans="1:4" s="11" customFormat="1" ht="28.5" customHeight="1">
      <c r="A7" s="12" t="s">
        <v>4</v>
      </c>
      <c r="B7" s="13"/>
      <c r="C7" s="13"/>
      <c r="D7"/>
    </row>
    <row r="8" spans="1:4" s="11" customFormat="1" ht="15" customHeight="1">
      <c r="A8" s="14" t="s">
        <v>5</v>
      </c>
      <c r="C8" s="14" t="s">
        <v>6</v>
      </c>
      <c r="D8"/>
    </row>
    <row r="9" spans="1:4" s="11" customFormat="1" ht="15" customHeight="1">
      <c r="A9" s="15" t="s">
        <v>5</v>
      </c>
      <c r="C9" s="11" t="s">
        <v>7</v>
      </c>
      <c r="D9"/>
    </row>
    <row r="10" spans="1:4" s="11" customFormat="1" ht="15" customHeight="1">
      <c r="A10" s="16" t="s">
        <v>5</v>
      </c>
      <c r="C10" s="14" t="s">
        <v>8</v>
      </c>
      <c r="D10"/>
    </row>
    <row r="11" spans="1:4" s="11" customFormat="1" ht="15" customHeight="1">
      <c r="A11" s="17" t="s">
        <v>5</v>
      </c>
      <c r="C11" s="14" t="s">
        <v>9</v>
      </c>
      <c r="D11"/>
    </row>
    <row r="12" spans="1:4" s="11" customFormat="1" ht="15" customHeight="1">
      <c r="A12" s="18" t="s">
        <v>5</v>
      </c>
      <c r="C12" s="14" t="s">
        <v>10</v>
      </c>
      <c r="D12"/>
    </row>
    <row r="13" spans="1:4" s="11" customFormat="1" ht="15" customHeight="1">
      <c r="A13" s="19" t="s">
        <v>5</v>
      </c>
      <c r="C13" s="11" t="s">
        <v>11</v>
      </c>
      <c r="D13"/>
    </row>
    <row r="14" spans="1:4" s="11" customFormat="1" ht="15" customHeight="1">
      <c r="A14" s="20" t="s">
        <v>5</v>
      </c>
      <c r="C14" s="11" t="s">
        <v>12</v>
      </c>
      <c r="D14"/>
    </row>
    <row r="15" spans="1:4" s="11" customFormat="1" ht="15" customHeight="1">
      <c r="A15" s="21" t="s">
        <v>5</v>
      </c>
      <c r="C15" s="11" t="s">
        <v>13</v>
      </c>
      <c r="D15"/>
    </row>
    <row r="16" spans="1:4" s="11" customFormat="1" ht="15" customHeight="1">
      <c r="A16" s="22" t="s">
        <v>5</v>
      </c>
      <c r="C16" s="11" t="s">
        <v>14</v>
      </c>
      <c r="D16"/>
    </row>
    <row r="17" spans="1:4" s="11" customFormat="1" ht="15" customHeight="1">
      <c r="A17" s="1" t="s">
        <v>5</v>
      </c>
      <c r="C17" s="11" t="s">
        <v>15</v>
      </c>
      <c r="D17"/>
    </row>
    <row r="18" spans="1:4" s="11" customFormat="1" ht="15" customHeight="1">
      <c r="A18" s="23"/>
      <c r="C18" s="11" t="s">
        <v>16</v>
      </c>
      <c r="D18"/>
    </row>
    <row r="19" spans="1:4" s="11" customFormat="1" ht="25.5" customHeight="1" thickBot="1">
      <c r="A19" s="12" t="s">
        <v>17</v>
      </c>
      <c r="B19" s="13"/>
      <c r="C19" s="13"/>
      <c r="D19"/>
    </row>
    <row r="20" spans="1:4" s="11" customFormat="1" ht="15" customHeight="1" thickBot="1">
      <c r="A20" s="24" t="s">
        <v>18</v>
      </c>
      <c r="B20" s="25"/>
      <c r="C20" s="26" t="s">
        <v>19</v>
      </c>
      <c r="D20"/>
    </row>
    <row r="21" spans="1:4" s="11" customFormat="1" ht="15" customHeight="1" thickBot="1">
      <c r="A21" s="24" t="s">
        <v>20</v>
      </c>
      <c r="B21" s="27"/>
      <c r="C21" s="26" t="s">
        <v>21</v>
      </c>
      <c r="D21"/>
    </row>
    <row r="22" spans="1:4" s="11" customFormat="1" ht="15" customHeight="1" thickTop="1" thickBot="1">
      <c r="A22" s="24" t="s">
        <v>22</v>
      </c>
      <c r="B22" s="28"/>
      <c r="C22" s="26" t="s">
        <v>23</v>
      </c>
      <c r="D22"/>
    </row>
    <row r="23" spans="1:4" s="11" customFormat="1" ht="15" customHeight="1" thickTop="1" thickBot="1">
      <c r="A23" s="24" t="s">
        <v>24</v>
      </c>
      <c r="B23" s="28"/>
      <c r="C23" s="26" t="s">
        <v>25</v>
      </c>
      <c r="D23"/>
    </row>
    <row r="24" spans="1:4" s="11" customFormat="1" ht="15" customHeight="1" thickTop="1" thickBot="1">
      <c r="A24" s="24" t="s">
        <v>26</v>
      </c>
      <c r="B24" s="29"/>
      <c r="C24" s="26" t="s">
        <v>27</v>
      </c>
      <c r="D24"/>
    </row>
    <row r="25" spans="1:4" s="11" customFormat="1" ht="15" customHeight="1" thickBot="1">
      <c r="A25" s="24" t="s">
        <v>28</v>
      </c>
      <c r="B25" s="29"/>
      <c r="C25" s="26" t="s">
        <v>29</v>
      </c>
      <c r="D25"/>
    </row>
    <row r="26" spans="1:4" s="11" customFormat="1" ht="15" customHeight="1" thickBot="1">
      <c r="A26" s="24" t="s">
        <v>30</v>
      </c>
      <c r="B26" s="29"/>
      <c r="C26" s="26" t="s">
        <v>31</v>
      </c>
      <c r="D26"/>
    </row>
    <row r="27" spans="1:4" s="11" customFormat="1" ht="15" customHeight="1" thickBot="1">
      <c r="A27" s="24" t="s">
        <v>32</v>
      </c>
      <c r="B27" s="29"/>
      <c r="C27" s="26" t="s">
        <v>33</v>
      </c>
      <c r="D27"/>
    </row>
    <row r="28" spans="1:4" s="11" customFormat="1" ht="15" customHeight="1" thickBot="1">
      <c r="A28" s="24" t="s">
        <v>34</v>
      </c>
      <c r="B28" s="29"/>
      <c r="C28" s="26" t="s">
        <v>35</v>
      </c>
      <c r="D28"/>
    </row>
    <row r="29" spans="1:4" s="11" customFormat="1" ht="15" customHeight="1" thickBot="1">
      <c r="A29" s="24" t="s">
        <v>36</v>
      </c>
      <c r="B29" s="29"/>
      <c r="C29" s="26" t="s">
        <v>37</v>
      </c>
      <c r="D29"/>
    </row>
    <row r="30" spans="1:4" s="11" customFormat="1" ht="15" customHeight="1" thickBot="1">
      <c r="A30" s="24" t="s">
        <v>38</v>
      </c>
      <c r="B30" s="29"/>
      <c r="C30" s="26" t="s">
        <v>39</v>
      </c>
      <c r="D30"/>
    </row>
    <row r="31" spans="1:4" s="11" customFormat="1" ht="15" customHeight="1" thickBot="1">
      <c r="A31" s="24" t="s">
        <v>40</v>
      </c>
      <c r="B31" s="29"/>
      <c r="C31" s="26" t="s">
        <v>41</v>
      </c>
      <c r="D31"/>
    </row>
    <row r="32" spans="1:4" s="11" customFormat="1" ht="15" customHeight="1" thickBot="1">
      <c r="A32" s="24" t="s">
        <v>42</v>
      </c>
      <c r="B32" s="30"/>
      <c r="C32" s="26" t="s">
        <v>43</v>
      </c>
      <c r="D32"/>
    </row>
    <row r="33" spans="1:4" s="11" customFormat="1" ht="15" customHeight="1">
      <c r="A33" s="24" t="s">
        <v>44</v>
      </c>
      <c r="B33" s="204"/>
      <c r="C33" s="26" t="s">
        <v>45</v>
      </c>
      <c r="D33"/>
    </row>
    <row r="34" spans="1:4" s="11" customFormat="1" ht="25.5" customHeight="1">
      <c r="A34" s="12" t="s">
        <v>46</v>
      </c>
      <c r="B34" s="13"/>
      <c r="C34" s="13"/>
      <c r="D34"/>
    </row>
    <row r="35" spans="1:4" s="11" customFormat="1" ht="15" customHeight="1">
      <c r="A35" s="1" t="s">
        <v>47</v>
      </c>
      <c r="B35" s="1"/>
      <c r="C35" s="31" t="str">
        <f>Op_Rav!I28</f>
        <v>TRUE</v>
      </c>
      <c r="D35"/>
    </row>
    <row r="36" spans="1:4" s="11" customFormat="1" ht="15" customHeight="1">
      <c r="A36" s="1" t="s">
        <v>48</v>
      </c>
      <c r="B36" s="1"/>
      <c r="C36" s="31" t="b">
        <f>Inputs!I144</f>
        <v>0</v>
      </c>
      <c r="D36"/>
    </row>
    <row r="37" spans="1:4" s="11" customFormat="1" ht="15" customHeight="1">
      <c r="A37" s="12" t="s">
        <v>49</v>
      </c>
      <c r="B37" s="13"/>
      <c r="C37" s="13"/>
      <c r="D37"/>
    </row>
    <row r="38" spans="1:4" s="11" customFormat="1" ht="15" customHeight="1">
      <c r="A38" s="32"/>
      <c r="B38" s="32"/>
      <c r="C38" s="26"/>
      <c r="D38"/>
    </row>
    <row r="39" spans="1:4" ht="15" hidden="1" customHeight="1"/>
  </sheetData>
  <hyperlinks>
    <hyperlink ref="A20" location="Cover!A1" display="Cover" xr:uid="{00000000-0004-0000-0000-000000000000}"/>
    <hyperlink ref="A21" location="'Version Control'!A1" display="Version Control" xr:uid="{00000000-0004-0000-0000-000001000000}"/>
    <hyperlink ref="A22" location="Inputs!A1" display="Inputs" xr:uid="{00000000-0004-0000-0000-000002000000}"/>
    <hyperlink ref="A23" location="'Data sources'!A1" display="Data Sources" xr:uid="{00000000-0004-0000-0000-000003000000}"/>
    <hyperlink ref="A24" location="'Pre Op RAV'!A1" display="Pre Op RAV" xr:uid="{00000000-0004-0000-0000-000004000000}"/>
    <hyperlink ref="A25" location="Finance!A1" display="Finance" xr:uid="{00000000-0004-0000-0000-000005000000}"/>
    <hyperlink ref="A26" location="'Op Rav'!A1" display="Op RAV" xr:uid="{00000000-0004-0000-0000-000006000000}"/>
    <hyperlink ref="A27" location="'Allowances Cap'!A1" display="Allowances Cap" xr:uid="{00000000-0004-0000-0000-000007000000}"/>
    <hyperlink ref="A28" location="'Allowances Floor'!A1" display="Allowances Floor" xr:uid="{00000000-0004-0000-0000-000008000000}"/>
    <hyperlink ref="A29" location="'Tax Deductions'!A1" display="Tax Deductions" xr:uid="{00000000-0004-0000-0000-000009000000}"/>
    <hyperlink ref="A30" location="'Tax Cap'!A1" display="Tax Cap" xr:uid="{00000000-0004-0000-0000-00000A000000}"/>
    <hyperlink ref="A31" location="'Tax Floor'!A1" display="Tax Floor" xr:uid="{00000000-0004-0000-0000-00000B000000}"/>
    <hyperlink ref="A32" location="'Cap Floor Levels'!A1" display="Cap Floor Levels" xr:uid="{00000000-0004-0000-0000-00000C000000}"/>
    <hyperlink ref="A33" location="Future_Cashflows!A1" display="Future Cashflows" xr:uid="{2462FCD2-D541-4F79-95D3-D8AA270B8BE6}"/>
  </hyperlinks>
  <pageMargins left="0.23622047244094502" right="0.23622047244094502" top="0.74803149606299213" bottom="0.74803149606299213" header="0.31496062992126012" footer="0.31496062992126012"/>
  <pageSetup paperSize="0" fitToHeight="0" orientation="portrait" horizontalDpi="0" verticalDpi="0" copie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CCC0DA"/>
    <pageSetUpPr fitToPage="1"/>
  </sheetPr>
  <dimension ref="A1:AX79"/>
  <sheetViews>
    <sheetView zoomScale="70" zoomScaleNormal="70" workbookViewId="0">
      <selection activeCell="E50" sqref="E50"/>
    </sheetView>
  </sheetViews>
  <sheetFormatPr defaultColWidth="9.140625" defaultRowHeight="0" customHeight="1" zeroHeight="1"/>
  <cols>
    <col min="1" max="1" width="2.5703125" style="93" customWidth="1"/>
    <col min="2" max="2" width="2.5703125" style="90" customWidth="1"/>
    <col min="3" max="3" width="2.5703125" style="11" customWidth="1"/>
    <col min="4" max="4" width="2.5703125" style="90" customWidth="1"/>
    <col min="5" max="5" width="50.5703125" style="11" customWidth="1"/>
    <col min="6" max="6" width="1.5703125" style="11" customWidth="1"/>
    <col min="7" max="7" width="15.5703125" style="11" customWidth="1"/>
    <col min="8" max="8" width="10.7109375" style="11" customWidth="1"/>
    <col min="9" max="9" width="10.5703125" style="11" customWidth="1"/>
    <col min="10" max="10" width="1.5703125" style="11" customWidth="1"/>
    <col min="11" max="35" width="10.5703125" style="11" customWidth="1"/>
    <col min="36" max="49" width="10.5703125" customWidth="1"/>
    <col min="50" max="50" width="9.140625" customWidth="1"/>
  </cols>
  <sheetData>
    <row r="1" spans="1:50" ht="14.45">
      <c r="A1" s="45" t="s">
        <v>36</v>
      </c>
      <c r="B1" s="46"/>
      <c r="C1" s="46"/>
      <c r="D1" s="46"/>
      <c r="E1" s="46"/>
      <c r="F1" s="46"/>
      <c r="G1" s="46"/>
      <c r="H1" s="46" t="s">
        <v>64</v>
      </c>
      <c r="I1" s="46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</row>
    <row r="2" spans="1:50" ht="15" customHeight="1">
      <c r="A2" s="46"/>
      <c r="B2" s="46"/>
      <c r="C2" s="46"/>
      <c r="D2" s="46"/>
      <c r="E2" s="48" t="s">
        <v>65</v>
      </c>
      <c r="F2" s="48"/>
      <c r="G2" s="48" t="s">
        <v>66</v>
      </c>
      <c r="H2" s="48" t="s">
        <v>67</v>
      </c>
      <c r="I2" s="49" t="s">
        <v>68</v>
      </c>
      <c r="J2" s="46"/>
      <c r="K2" s="48" t="s">
        <v>69</v>
      </c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</row>
    <row r="3" spans="1:50" ht="15" customHeight="1">
      <c r="A3" s="46"/>
      <c r="B3" s="46"/>
      <c r="C3" s="46"/>
      <c r="D3" s="46"/>
      <c r="E3" s="46" t="s">
        <v>358</v>
      </c>
      <c r="F3" s="48"/>
      <c r="G3" s="48"/>
      <c r="H3" s="48"/>
      <c r="I3" s="49"/>
      <c r="J3" s="46"/>
      <c r="K3" s="76" t="s">
        <v>91</v>
      </c>
      <c r="L3" s="76" t="s">
        <v>92</v>
      </c>
      <c r="M3" s="76" t="s">
        <v>93</v>
      </c>
      <c r="N3" s="76" t="s">
        <v>94</v>
      </c>
      <c r="O3" s="76" t="s">
        <v>95</v>
      </c>
      <c r="P3" s="76" t="s">
        <v>96</v>
      </c>
      <c r="Q3" s="76" t="s">
        <v>97</v>
      </c>
      <c r="R3" s="76" t="s">
        <v>98</v>
      </c>
      <c r="S3" s="76" t="s">
        <v>99</v>
      </c>
      <c r="T3" s="76" t="s">
        <v>100</v>
      </c>
      <c r="U3" s="76" t="s">
        <v>101</v>
      </c>
      <c r="V3" s="76" t="s">
        <v>102</v>
      </c>
      <c r="W3" s="76" t="s">
        <v>103</v>
      </c>
      <c r="X3" s="76" t="s">
        <v>104</v>
      </c>
      <c r="Y3" s="76" t="s">
        <v>105</v>
      </c>
      <c r="Z3" s="76" t="s">
        <v>106</v>
      </c>
      <c r="AA3" s="76" t="s">
        <v>107</v>
      </c>
      <c r="AB3" s="76" t="s">
        <v>108</v>
      </c>
      <c r="AC3" s="76" t="s">
        <v>109</v>
      </c>
      <c r="AD3" s="76" t="s">
        <v>110</v>
      </c>
      <c r="AE3" s="76" t="s">
        <v>111</v>
      </c>
      <c r="AF3" s="76" t="s">
        <v>112</v>
      </c>
      <c r="AG3" s="76" t="s">
        <v>113</v>
      </c>
      <c r="AH3" s="76" t="s">
        <v>114</v>
      </c>
      <c r="AI3" s="76" t="s">
        <v>115</v>
      </c>
      <c r="AJ3" s="76" t="s">
        <v>116</v>
      </c>
      <c r="AK3" s="76" t="s">
        <v>117</v>
      </c>
      <c r="AL3" s="76" t="s">
        <v>118</v>
      </c>
      <c r="AM3" s="76" t="s">
        <v>119</v>
      </c>
      <c r="AN3" s="76" t="s">
        <v>120</v>
      </c>
      <c r="AO3" s="76" t="s">
        <v>121</v>
      </c>
      <c r="AP3" s="76" t="s">
        <v>122</v>
      </c>
      <c r="AQ3" s="76" t="s">
        <v>123</v>
      </c>
      <c r="AR3" s="76" t="s">
        <v>124</v>
      </c>
      <c r="AS3" s="76" t="s">
        <v>125</v>
      </c>
      <c r="AT3" s="76" t="s">
        <v>126</v>
      </c>
      <c r="AU3" s="76" t="s">
        <v>127</v>
      </c>
      <c r="AV3" s="76" t="s">
        <v>128</v>
      </c>
      <c r="AW3" s="76" t="s">
        <v>129</v>
      </c>
      <c r="AX3" s="76" t="s">
        <v>130</v>
      </c>
    </row>
    <row r="4" spans="1:50" ht="15" customHeight="1">
      <c r="A4" s="170"/>
      <c r="B4" s="46"/>
      <c r="C4" s="46"/>
      <c r="D4" s="46"/>
      <c r="E4" s="46" t="s">
        <v>168</v>
      </c>
      <c r="F4" s="48"/>
      <c r="G4" s="48"/>
      <c r="H4" s="48"/>
      <c r="I4" s="49"/>
      <c r="J4" s="46"/>
      <c r="K4" s="76">
        <v>1</v>
      </c>
      <c r="L4" s="76">
        <v>2</v>
      </c>
      <c r="M4" s="76">
        <v>3</v>
      </c>
      <c r="N4" s="76">
        <v>4</v>
      </c>
      <c r="O4" s="76">
        <v>5</v>
      </c>
      <c r="P4" s="76">
        <v>6</v>
      </c>
      <c r="Q4" s="76">
        <v>7</v>
      </c>
      <c r="R4" s="76">
        <v>8</v>
      </c>
      <c r="S4" s="76">
        <v>9</v>
      </c>
      <c r="T4" s="76">
        <v>10</v>
      </c>
      <c r="U4" s="76">
        <v>11</v>
      </c>
      <c r="V4" s="76">
        <v>12</v>
      </c>
      <c r="W4" s="76">
        <v>13</v>
      </c>
      <c r="X4" s="76">
        <v>14</v>
      </c>
      <c r="Y4" s="76">
        <v>15</v>
      </c>
      <c r="Z4" s="76">
        <v>16</v>
      </c>
      <c r="AA4" s="76">
        <v>17</v>
      </c>
      <c r="AB4" s="76">
        <v>18</v>
      </c>
      <c r="AC4" s="76">
        <v>19</v>
      </c>
      <c r="AD4" s="76">
        <v>20</v>
      </c>
      <c r="AE4" s="76">
        <v>21</v>
      </c>
      <c r="AF4" s="76">
        <v>22</v>
      </c>
      <c r="AG4" s="76">
        <v>23</v>
      </c>
      <c r="AH4" s="76">
        <v>24</v>
      </c>
      <c r="AI4" s="76">
        <v>25</v>
      </c>
      <c r="AJ4" s="76">
        <v>26</v>
      </c>
      <c r="AK4" s="76">
        <v>27</v>
      </c>
      <c r="AL4" s="76">
        <v>28</v>
      </c>
      <c r="AM4" s="76">
        <v>29</v>
      </c>
      <c r="AN4" s="76">
        <v>30</v>
      </c>
      <c r="AO4" s="76">
        <v>31</v>
      </c>
      <c r="AP4" s="76">
        <v>32</v>
      </c>
      <c r="AQ4" s="76">
        <v>33</v>
      </c>
      <c r="AR4" s="76">
        <v>34</v>
      </c>
      <c r="AS4" s="76">
        <v>35</v>
      </c>
      <c r="AT4" s="76">
        <v>36</v>
      </c>
      <c r="AU4" s="76">
        <v>37</v>
      </c>
      <c r="AV4" s="76">
        <v>38</v>
      </c>
      <c r="AW4" s="76">
        <v>39</v>
      </c>
      <c r="AX4" s="76">
        <v>40</v>
      </c>
    </row>
    <row r="5" spans="1:50" ht="15" customHeight="1">
      <c r="A5" s="11"/>
      <c r="B5" s="11"/>
      <c r="D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</row>
    <row r="6" spans="1:50" ht="15" customHeight="1">
      <c r="A6"/>
      <c r="B6" s="12" t="s">
        <v>444</v>
      </c>
      <c r="C6" s="13"/>
      <c r="D6" s="13"/>
      <c r="E6" s="13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</row>
    <row r="7" spans="1:50" ht="15" customHeight="1">
      <c r="A7"/>
      <c r="B7" s="11"/>
      <c r="D7" s="11"/>
      <c r="P7" s="1"/>
      <c r="Q7" s="1"/>
      <c r="R7" s="1"/>
      <c r="S7" s="1"/>
      <c r="T7" s="1"/>
      <c r="U7" s="1"/>
      <c r="V7" s="1"/>
      <c r="W7" s="71"/>
      <c r="X7" s="7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</row>
    <row r="8" spans="1:50" ht="15" customHeight="1">
      <c r="A8"/>
      <c r="B8" s="11"/>
      <c r="C8" s="56" t="s">
        <v>445</v>
      </c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</row>
    <row r="9" spans="1:50" ht="15" customHeight="1">
      <c r="A9"/>
      <c r="B9" s="11"/>
      <c r="D9" s="11"/>
      <c r="P9" s="1"/>
      <c r="Q9" s="1"/>
      <c r="R9" s="1"/>
      <c r="S9" s="1"/>
      <c r="T9" s="1"/>
      <c r="U9" s="1"/>
      <c r="V9" s="1"/>
      <c r="W9" s="71"/>
      <c r="X9" s="7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</row>
    <row r="10" spans="1:50" ht="15" customHeight="1">
      <c r="A10"/>
      <c r="B10" s="11"/>
      <c r="D10" s="11"/>
      <c r="E10" s="77" t="str">
        <f>Inputs!E176</f>
        <v>UK CPIH uplift from 2024 term to start of regime</v>
      </c>
      <c r="F10" s="77"/>
      <c r="G10" s="77" t="s">
        <v>249</v>
      </c>
      <c r="I10" s="171">
        <f>Inputs!I176</f>
        <v>1.1040808032000002</v>
      </c>
      <c r="K10" s="141"/>
      <c r="P10" s="1"/>
      <c r="Q10" s="1"/>
      <c r="R10" s="1"/>
      <c r="S10" s="1"/>
      <c r="T10" s="1"/>
      <c r="U10" s="1"/>
      <c r="V10" s="1"/>
      <c r="W10" s="71"/>
      <c r="X10" s="7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</row>
    <row r="11" spans="1:50" ht="15" customHeight="1">
      <c r="A11"/>
      <c r="B11" s="11"/>
      <c r="D11" s="11"/>
      <c r="E11" s="77" t="s">
        <v>83</v>
      </c>
      <c r="G11" s="1" t="s">
        <v>142</v>
      </c>
      <c r="I11" s="141"/>
      <c r="K11" s="219">
        <f>IFERROR(INDEX(Inputs!K171:AX171, MATCH(Tax_Deductions!K4,Inputs!K170:AX170,0)),"")</f>
        <v>0.02</v>
      </c>
      <c r="L11" s="219">
        <f>IFERROR(INDEX(Inputs!L171:AY171, MATCH(Tax_Deductions!L4,Inputs!L170:AY170,0)),"")</f>
        <v>0.02</v>
      </c>
      <c r="M11" s="219">
        <f>IFERROR(INDEX(Inputs!M171:AZ171, MATCH(Tax_Deductions!M4,Inputs!M170:AZ170,0)),"")</f>
        <v>0.02</v>
      </c>
      <c r="N11" s="219">
        <f>IFERROR(INDEX(Inputs!N171:BA171, MATCH(Tax_Deductions!N4,Inputs!N170:BA170,0)),"")</f>
        <v>0.02</v>
      </c>
      <c r="O11" s="219">
        <f>IFERROR(INDEX(Inputs!O171:BB171, MATCH(Tax_Deductions!O4,Inputs!O170:BB170,0)),"")</f>
        <v>0.02</v>
      </c>
      <c r="P11" s="219">
        <f>IFERROR(INDEX(Inputs!P171:BC171, MATCH(Tax_Deductions!P4,Inputs!P170:BC170,0)),"")</f>
        <v>0.02</v>
      </c>
      <c r="Q11" s="219">
        <f>IFERROR(INDEX(Inputs!Q171:BD171, MATCH(Tax_Deductions!Q4,Inputs!Q170:BD170,0)),"")</f>
        <v>0.02</v>
      </c>
      <c r="R11" s="219">
        <f>IFERROR(INDEX(Inputs!R171:BE171, MATCH(Tax_Deductions!R4,Inputs!R170:BE170,0)),"")</f>
        <v>0.02</v>
      </c>
      <c r="S11" s="219">
        <f>IFERROR(INDEX(Inputs!S171:BF171, MATCH(Tax_Deductions!S4,Inputs!S170:BF170,0)),"")</f>
        <v>0.02</v>
      </c>
      <c r="T11" s="219">
        <f>IFERROR(INDEX(Inputs!T171:BG171, MATCH(Tax_Deductions!T4,Inputs!T170:BG170,0)),"")</f>
        <v>0.02</v>
      </c>
      <c r="U11" s="219">
        <f>IFERROR(INDEX(Inputs!U171:BH171, MATCH(Tax_Deductions!U4,Inputs!U170:BH170,0)),"")</f>
        <v>0.02</v>
      </c>
      <c r="V11" s="219">
        <f>IFERROR(INDEX(Inputs!V171:BI171, MATCH(Tax_Deductions!V4,Inputs!V170:BI170,0)),"")</f>
        <v>0.02</v>
      </c>
      <c r="W11" s="219">
        <f>IFERROR(INDEX(Inputs!W171:BJ171, MATCH(Tax_Deductions!W4,Inputs!W170:BJ170,0)),"")</f>
        <v>0.02</v>
      </c>
      <c r="X11" s="219">
        <f>IFERROR(INDEX(Inputs!X171:BK171, MATCH(Tax_Deductions!X4,Inputs!X170:BK170,0)),"")</f>
        <v>0.02</v>
      </c>
      <c r="Y11" s="219">
        <f>IFERROR(INDEX(Inputs!Y171:BL171, MATCH(Tax_Deductions!Y4,Inputs!Y170:BL170,0)),"")</f>
        <v>0.02</v>
      </c>
      <c r="Z11" s="219">
        <f>IFERROR(INDEX(Inputs!Z171:BM171, MATCH(Tax_Deductions!Z4,Inputs!Z170:BM170,0)),"")</f>
        <v>0.02</v>
      </c>
      <c r="AA11" s="219">
        <f>IFERROR(INDEX(Inputs!AA171:BN171, MATCH(Tax_Deductions!AA4,Inputs!AA170:BN170,0)),"")</f>
        <v>0.02</v>
      </c>
      <c r="AB11" s="219">
        <f>IFERROR(INDEX(Inputs!AB171:BO171, MATCH(Tax_Deductions!AB4,Inputs!AB170:BO170,0)),"")</f>
        <v>0.02</v>
      </c>
      <c r="AC11" s="219">
        <f>IFERROR(INDEX(Inputs!AC171:BP171, MATCH(Tax_Deductions!AC4,Inputs!AC170:BP170,0)),"")</f>
        <v>0.02</v>
      </c>
      <c r="AD11" s="219">
        <f>IFERROR(INDEX(Inputs!AD171:BQ171, MATCH(Tax_Deductions!AD4,Inputs!AD170:BQ170,0)),"")</f>
        <v>0.02</v>
      </c>
      <c r="AE11" s="219">
        <f>IFERROR(INDEX(Inputs!AE171:BR171, MATCH(Tax_Deductions!AE4,Inputs!AE170:BR170,0)),"")</f>
        <v>0.02</v>
      </c>
      <c r="AF11" s="219">
        <f>IFERROR(INDEX(Inputs!AF171:BS171, MATCH(Tax_Deductions!AF4,Inputs!AF170:BS170,0)),"")</f>
        <v>0.02</v>
      </c>
      <c r="AG11" s="219">
        <f>IFERROR(INDEX(Inputs!AG171:BT171, MATCH(Tax_Deductions!AG4,Inputs!AG170:BT170,0)),"")</f>
        <v>0.02</v>
      </c>
      <c r="AH11" s="219">
        <f>IFERROR(INDEX(Inputs!AH171:BU171, MATCH(Tax_Deductions!AH4,Inputs!AH170:BU170,0)),"")</f>
        <v>0.02</v>
      </c>
      <c r="AI11" s="219">
        <f>IFERROR(INDEX(Inputs!AI171:BV171, MATCH(Tax_Deductions!AI4,Inputs!AI170:BV170,0)),"")</f>
        <v>0.02</v>
      </c>
      <c r="AJ11" s="219" t="str">
        <f>IFERROR(INDEX(Inputs!AJ171:BW171, MATCH(Tax_Deductions!AJ4,Inputs!AJ170:BW170,0)),"")</f>
        <v/>
      </c>
      <c r="AK11" s="219" t="str">
        <f>IFERROR(INDEX(Inputs!AK171:BX171, MATCH(Tax_Deductions!AK4,Inputs!AK170:BX170,0)),"")</f>
        <v/>
      </c>
      <c r="AL11" s="219" t="str">
        <f>IFERROR(INDEX(Inputs!AL171:BY171, MATCH(Tax_Deductions!AL4,Inputs!AL170:BY170,0)),"")</f>
        <v/>
      </c>
      <c r="AM11" s="219" t="str">
        <f>IFERROR(INDEX(Inputs!AM171:BZ171, MATCH(Tax_Deductions!AM4,Inputs!AM170:BZ170,0)),"")</f>
        <v/>
      </c>
      <c r="AN11" s="219" t="str">
        <f>IFERROR(INDEX(Inputs!AN171:CA171, MATCH(Tax_Deductions!AN4,Inputs!AN170:CA170,0)),"")</f>
        <v/>
      </c>
      <c r="AO11" s="219" t="str">
        <f>IFERROR(INDEX(Inputs!AO171:CB171, MATCH(Tax_Deductions!AO4,Inputs!AO170:CB170,0)),"")</f>
        <v/>
      </c>
      <c r="AP11" s="219" t="str">
        <f>IFERROR(INDEX(Inputs!AP171:CC171, MATCH(Tax_Deductions!AP4,Inputs!AP170:CC170,0)),"")</f>
        <v/>
      </c>
      <c r="AQ11" s="219" t="str">
        <f>IFERROR(INDEX(Inputs!AQ171:CD171, MATCH(Tax_Deductions!AQ4,Inputs!AQ170:CD170,0)),"")</f>
        <v/>
      </c>
      <c r="AR11" s="219" t="str">
        <f>IFERROR(INDEX(Inputs!AR171:CE171, MATCH(Tax_Deductions!AR4,Inputs!AR170:CE170,0)),"")</f>
        <v/>
      </c>
      <c r="AS11" s="219" t="str">
        <f>IFERROR(INDEX(Inputs!AS171:CF171, MATCH(Tax_Deductions!AS4,Inputs!AS170:CF170,0)),"")</f>
        <v/>
      </c>
      <c r="AT11" s="219" t="str">
        <f>IFERROR(INDEX(Inputs!AT171:CG171, MATCH(Tax_Deductions!AT4,Inputs!AT170:CG170,0)),"")</f>
        <v/>
      </c>
      <c r="AU11" s="219" t="str">
        <f>IFERROR(INDEX(Inputs!AU171:CH171, MATCH(Tax_Deductions!AU4,Inputs!AU170:CH170,0)),"")</f>
        <v/>
      </c>
      <c r="AV11" s="219" t="str">
        <f>IFERROR(INDEX(Inputs!AV171:CI171, MATCH(Tax_Deductions!AV4,Inputs!AV170:CI170,0)),"")</f>
        <v/>
      </c>
      <c r="AW11" s="219" t="str">
        <f>IFERROR(INDEX(Inputs!AW171:CJ171, MATCH(Tax_Deductions!AW4,Inputs!AW170:CJ170,0)),"")</f>
        <v/>
      </c>
      <c r="AX11" s="219" t="str">
        <f>IFERROR(INDEX(Inputs!AX171:CK171, MATCH(Tax_Deductions!AX4,Inputs!AX170:CK170,0)),"")</f>
        <v/>
      </c>
    </row>
    <row r="12" spans="1:50" ht="15" customHeight="1">
      <c r="A12"/>
      <c r="B12" s="11"/>
      <c r="D12" s="11"/>
      <c r="E12" s="1" t="s">
        <v>390</v>
      </c>
      <c r="F12" s="1"/>
      <c r="G12" s="1" t="s">
        <v>225</v>
      </c>
      <c r="I12" s="141"/>
      <c r="K12" s="158" t="b">
        <f>Op_Rav!K24</f>
        <v>1</v>
      </c>
      <c r="L12" s="158" t="b">
        <f>Op_Rav!L24</f>
        <v>1</v>
      </c>
      <c r="M12" s="158" t="b">
        <f>Op_Rav!M24</f>
        <v>1</v>
      </c>
      <c r="N12" s="158" t="b">
        <f>Op_Rav!N24</f>
        <v>1</v>
      </c>
      <c r="O12" s="158" t="b">
        <f>Op_Rav!O24</f>
        <v>1</v>
      </c>
      <c r="P12" s="158" t="b">
        <f>Op_Rav!P24</f>
        <v>1</v>
      </c>
      <c r="Q12" s="158" t="b">
        <f>Op_Rav!Q24</f>
        <v>1</v>
      </c>
      <c r="R12" s="158" t="b">
        <f>Op_Rav!R24</f>
        <v>1</v>
      </c>
      <c r="S12" s="158" t="b">
        <f>Op_Rav!S24</f>
        <v>1</v>
      </c>
      <c r="T12" s="158" t="b">
        <f>Op_Rav!T24</f>
        <v>1</v>
      </c>
      <c r="U12" s="158" t="b">
        <f>Op_Rav!U24</f>
        <v>1</v>
      </c>
      <c r="V12" s="158" t="b">
        <f>Op_Rav!V24</f>
        <v>1</v>
      </c>
      <c r="W12" s="158" t="b">
        <f>Op_Rav!W24</f>
        <v>1</v>
      </c>
      <c r="X12" s="158" t="b">
        <f>Op_Rav!X24</f>
        <v>1</v>
      </c>
      <c r="Y12" s="158" t="b">
        <f>Op_Rav!Y24</f>
        <v>1</v>
      </c>
      <c r="Z12" s="158" t="b">
        <f>Op_Rav!Z24</f>
        <v>1</v>
      </c>
      <c r="AA12" s="158" t="b">
        <f>Op_Rav!AA24</f>
        <v>1</v>
      </c>
      <c r="AB12" s="158" t="b">
        <f>Op_Rav!AB24</f>
        <v>1</v>
      </c>
      <c r="AC12" s="158" t="b">
        <f>Op_Rav!AC24</f>
        <v>1</v>
      </c>
      <c r="AD12" s="158" t="b">
        <f>Op_Rav!AD24</f>
        <v>1</v>
      </c>
      <c r="AE12" s="158" t="b">
        <f>Op_Rav!AE24</f>
        <v>1</v>
      </c>
      <c r="AF12" s="158" t="b">
        <f>Op_Rav!AF24</f>
        <v>1</v>
      </c>
      <c r="AG12" s="158" t="b">
        <f>Op_Rav!AG24</f>
        <v>1</v>
      </c>
      <c r="AH12" s="158" t="b">
        <f>Op_Rav!AH24</f>
        <v>1</v>
      </c>
      <c r="AI12" s="158" t="b">
        <f>Op_Rav!AI24</f>
        <v>1</v>
      </c>
      <c r="AJ12" s="158" t="b">
        <f>Op_Rav!AJ24</f>
        <v>0</v>
      </c>
      <c r="AK12" s="158" t="b">
        <f>Op_Rav!AK24</f>
        <v>0</v>
      </c>
      <c r="AL12" s="158" t="b">
        <f>Op_Rav!AL24</f>
        <v>0</v>
      </c>
      <c r="AM12" s="158" t="b">
        <f>Op_Rav!AM24</f>
        <v>0</v>
      </c>
      <c r="AN12" s="158" t="b">
        <f>Op_Rav!AN24</f>
        <v>0</v>
      </c>
      <c r="AO12" s="158" t="b">
        <f>Op_Rav!AO24</f>
        <v>0</v>
      </c>
      <c r="AP12" s="158" t="b">
        <f>Op_Rav!AP24</f>
        <v>0</v>
      </c>
      <c r="AQ12" s="158" t="b">
        <f>Op_Rav!AQ24</f>
        <v>0</v>
      </c>
      <c r="AR12" s="158" t="b">
        <f>Op_Rav!AR24</f>
        <v>0</v>
      </c>
      <c r="AS12" s="158" t="b">
        <f>Op_Rav!AS24</f>
        <v>0</v>
      </c>
      <c r="AT12" s="158" t="b">
        <f>Op_Rav!AT24</f>
        <v>0</v>
      </c>
      <c r="AU12" s="158" t="b">
        <f>Op_Rav!AU24</f>
        <v>0</v>
      </c>
      <c r="AV12" s="158" t="b">
        <f>Op_Rav!AV24</f>
        <v>0</v>
      </c>
      <c r="AW12" s="158" t="b">
        <f>Op_Rav!AW24</f>
        <v>0</v>
      </c>
      <c r="AX12" s="158" t="b">
        <f>Op_Rav!AX24</f>
        <v>0</v>
      </c>
    </row>
    <row r="13" spans="1:50" ht="15" customHeight="1">
      <c r="A13"/>
      <c r="B13" s="11"/>
      <c r="D13" s="11"/>
      <c r="E13" s="11" t="s">
        <v>446</v>
      </c>
      <c r="G13" s="77" t="s">
        <v>249</v>
      </c>
      <c r="K13" s="221">
        <f>IFERROR(I10,"")</f>
        <v>1.1040808032000002</v>
      </c>
      <c r="L13" s="220">
        <f>K13*(1+L11)</f>
        <v>1.1261624192640003</v>
      </c>
      <c r="M13" s="220">
        <f t="shared" ref="M13:AX13" si="0">IFERROR(L13*(1+M11),0)</f>
        <v>1.1486856676492803</v>
      </c>
      <c r="N13" s="220">
        <f t="shared" si="0"/>
        <v>1.171659381002266</v>
      </c>
      <c r="O13" s="220">
        <f t="shared" si="0"/>
        <v>1.1950925686223113</v>
      </c>
      <c r="P13" s="220">
        <f t="shared" si="0"/>
        <v>1.2189944199947575</v>
      </c>
      <c r="Q13" s="220">
        <f t="shared" si="0"/>
        <v>1.2433743083946527</v>
      </c>
      <c r="R13" s="220">
        <f t="shared" si="0"/>
        <v>1.2682417945625457</v>
      </c>
      <c r="S13" s="220">
        <f t="shared" si="0"/>
        <v>1.2936066304537968</v>
      </c>
      <c r="T13" s="220">
        <f t="shared" si="0"/>
        <v>1.3194787630628728</v>
      </c>
      <c r="U13" s="220">
        <f t="shared" si="0"/>
        <v>1.3458683383241303</v>
      </c>
      <c r="V13" s="220">
        <f t="shared" si="0"/>
        <v>1.3727857050906129</v>
      </c>
      <c r="W13" s="220">
        <f t="shared" si="0"/>
        <v>1.4002414191924253</v>
      </c>
      <c r="X13" s="220">
        <f t="shared" si="0"/>
        <v>1.4282462475762738</v>
      </c>
      <c r="Y13" s="220">
        <f t="shared" si="0"/>
        <v>1.4568111725277992</v>
      </c>
      <c r="Z13" s="220">
        <f t="shared" si="0"/>
        <v>1.4859473959783553</v>
      </c>
      <c r="AA13" s="220">
        <f t="shared" si="0"/>
        <v>1.5156663438979225</v>
      </c>
      <c r="AB13" s="220">
        <f t="shared" si="0"/>
        <v>1.5459796707758811</v>
      </c>
      <c r="AC13" s="220">
        <f t="shared" si="0"/>
        <v>1.5768992641913988</v>
      </c>
      <c r="AD13" s="220">
        <f t="shared" si="0"/>
        <v>1.6084372494752268</v>
      </c>
      <c r="AE13" s="220">
        <f t="shared" si="0"/>
        <v>1.6406059944647313</v>
      </c>
      <c r="AF13" s="220">
        <f t="shared" si="0"/>
        <v>1.6734181143540259</v>
      </c>
      <c r="AG13" s="220">
        <f t="shared" si="0"/>
        <v>1.7068864766411065</v>
      </c>
      <c r="AH13" s="220">
        <f t="shared" si="0"/>
        <v>1.7410242061739287</v>
      </c>
      <c r="AI13" s="220">
        <f t="shared" si="0"/>
        <v>1.7758446902974074</v>
      </c>
      <c r="AJ13" s="220">
        <f>IFERROR(AI13*(1+AJ11),0)</f>
        <v>0</v>
      </c>
      <c r="AK13" s="220">
        <f t="shared" si="0"/>
        <v>0</v>
      </c>
      <c r="AL13" s="220">
        <f t="shared" si="0"/>
        <v>0</v>
      </c>
      <c r="AM13" s="220">
        <f t="shared" si="0"/>
        <v>0</v>
      </c>
      <c r="AN13" s="220">
        <f t="shared" si="0"/>
        <v>0</v>
      </c>
      <c r="AO13" s="220">
        <f t="shared" si="0"/>
        <v>0</v>
      </c>
      <c r="AP13" s="220">
        <f t="shared" si="0"/>
        <v>0</v>
      </c>
      <c r="AQ13" s="220">
        <f t="shared" si="0"/>
        <v>0</v>
      </c>
      <c r="AR13" s="220">
        <f t="shared" si="0"/>
        <v>0</v>
      </c>
      <c r="AS13" s="220">
        <f t="shared" si="0"/>
        <v>0</v>
      </c>
      <c r="AT13" s="220">
        <f t="shared" si="0"/>
        <v>0</v>
      </c>
      <c r="AU13" s="220">
        <f t="shared" si="0"/>
        <v>0</v>
      </c>
      <c r="AV13" s="220">
        <f t="shared" si="0"/>
        <v>0</v>
      </c>
      <c r="AW13" s="220">
        <f t="shared" si="0"/>
        <v>0</v>
      </c>
      <c r="AX13" s="220">
        <f t="shared" si="0"/>
        <v>0</v>
      </c>
    </row>
    <row r="14" spans="1:50" ht="15" customHeight="1">
      <c r="A14"/>
      <c r="B14" s="11"/>
      <c r="D14" s="11"/>
      <c r="P14" s="1"/>
      <c r="Q14" s="1"/>
      <c r="R14" s="1"/>
      <c r="S14" s="1"/>
      <c r="T14" s="1"/>
      <c r="U14" s="1"/>
      <c r="V14" s="1"/>
      <c r="W14" s="71"/>
      <c r="X14" s="7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</row>
    <row r="15" spans="1:50" ht="15" customHeight="1">
      <c r="A15"/>
      <c r="B15" s="11"/>
      <c r="C15" s="56" t="s">
        <v>447</v>
      </c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</row>
    <row r="16" spans="1:50" ht="15" customHeight="1">
      <c r="A16" s="11"/>
      <c r="B16" s="11"/>
      <c r="D16" s="11"/>
      <c r="P16" s="1"/>
      <c r="Q16" s="1"/>
      <c r="R16" s="1"/>
      <c r="S16" s="1"/>
      <c r="T16" s="1"/>
      <c r="U16" s="1"/>
      <c r="V16" s="1"/>
      <c r="W16" s="71"/>
      <c r="X16" s="7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</row>
    <row r="17" spans="1:50" ht="15" customHeight="1">
      <c r="A17" s="11"/>
      <c r="B17" s="11"/>
      <c r="D17" s="11"/>
      <c r="E17" s="1" t="s">
        <v>448</v>
      </c>
      <c r="G17" s="11" t="s">
        <v>449</v>
      </c>
      <c r="K17" s="1">
        <f t="shared" ref="K17:AI17" si="1">K39</f>
        <v>8.8326464256000019</v>
      </c>
      <c r="L17" s="1">
        <f t="shared" si="1"/>
        <v>9.0092993541120023</v>
      </c>
      <c r="M17" s="1">
        <f t="shared" si="1"/>
        <v>9.1894853411942421</v>
      </c>
      <c r="N17" s="1">
        <f t="shared" si="1"/>
        <v>9.3732750480181277</v>
      </c>
      <c r="O17" s="1">
        <f t="shared" si="1"/>
        <v>9.5607405489784902</v>
      </c>
      <c r="P17" s="1">
        <f t="shared" si="1"/>
        <v>9.7519553599580604</v>
      </c>
      <c r="Q17" s="1">
        <f t="shared" si="1"/>
        <v>9.9469944671572215</v>
      </c>
      <c r="R17" s="1">
        <f t="shared" si="1"/>
        <v>10.145934356500366</v>
      </c>
      <c r="S17" s="1">
        <f t="shared" si="1"/>
        <v>10.348853043630374</v>
      </c>
      <c r="T17" s="1">
        <f t="shared" si="1"/>
        <v>10.555830104502983</v>
      </c>
      <c r="U17" s="1">
        <f t="shared" si="1"/>
        <v>10.766946706593043</v>
      </c>
      <c r="V17" s="1">
        <f t="shared" si="1"/>
        <v>10.982285640724903</v>
      </c>
      <c r="W17" s="1">
        <f t="shared" si="1"/>
        <v>11.201931353539402</v>
      </c>
      <c r="X17" s="1">
        <f t="shared" si="1"/>
        <v>11.425969980610191</v>
      </c>
      <c r="Y17" s="1">
        <f t="shared" si="1"/>
        <v>11.654489380222394</v>
      </c>
      <c r="Z17" s="1">
        <f t="shared" si="1"/>
        <v>11.887579167826843</v>
      </c>
      <c r="AA17" s="1">
        <f t="shared" si="1"/>
        <v>12.12533075118338</v>
      </c>
      <c r="AB17" s="1">
        <f t="shared" si="1"/>
        <v>12.367837366207048</v>
      </c>
      <c r="AC17" s="1">
        <f t="shared" si="1"/>
        <v>12.61519411353119</v>
      </c>
      <c r="AD17" s="1">
        <f t="shared" si="1"/>
        <v>12.867497995801815</v>
      </c>
      <c r="AE17" s="1">
        <f t="shared" si="1"/>
        <v>13.124847955717851</v>
      </c>
      <c r="AF17" s="1">
        <f t="shared" si="1"/>
        <v>13.387344914832207</v>
      </c>
      <c r="AG17" s="1">
        <f t="shared" si="1"/>
        <v>13.655091813128852</v>
      </c>
      <c r="AH17" s="1">
        <f t="shared" si="1"/>
        <v>13.92819364939143</v>
      </c>
      <c r="AI17" s="1">
        <f t="shared" si="1"/>
        <v>14.206757522379259</v>
      </c>
      <c r="AJ17" s="1">
        <f t="shared" ref="AJ17:AX17" si="2">AJ39</f>
        <v>0</v>
      </c>
      <c r="AK17" s="1">
        <f t="shared" si="2"/>
        <v>0</v>
      </c>
      <c r="AL17" s="1">
        <f t="shared" si="2"/>
        <v>0</v>
      </c>
      <c r="AM17" s="1">
        <f t="shared" si="2"/>
        <v>0</v>
      </c>
      <c r="AN17" s="1">
        <f t="shared" si="2"/>
        <v>0</v>
      </c>
      <c r="AO17" s="1">
        <f t="shared" si="2"/>
        <v>0</v>
      </c>
      <c r="AP17" s="1">
        <f t="shared" si="2"/>
        <v>0</v>
      </c>
      <c r="AQ17" s="1">
        <f t="shared" si="2"/>
        <v>0</v>
      </c>
      <c r="AR17" s="1">
        <f t="shared" si="2"/>
        <v>0</v>
      </c>
      <c r="AS17" s="1">
        <f t="shared" si="2"/>
        <v>0</v>
      </c>
      <c r="AT17" s="1">
        <f t="shared" si="2"/>
        <v>0</v>
      </c>
      <c r="AU17" s="1">
        <f t="shared" si="2"/>
        <v>0</v>
      </c>
      <c r="AV17" s="1">
        <f t="shared" si="2"/>
        <v>0</v>
      </c>
      <c r="AW17" s="1">
        <f t="shared" si="2"/>
        <v>0</v>
      </c>
      <c r="AX17" s="1">
        <f t="shared" si="2"/>
        <v>0</v>
      </c>
    </row>
    <row r="18" spans="1:50" ht="15" customHeight="1">
      <c r="A18" s="11"/>
      <c r="B18" s="11"/>
      <c r="D18" s="11"/>
      <c r="E18" s="1" t="s">
        <v>450</v>
      </c>
      <c r="G18" s="11" t="s">
        <v>449</v>
      </c>
      <c r="K18" s="1">
        <f t="shared" ref="K18:AI18" si="3">K54</f>
        <v>27</v>
      </c>
      <c r="L18" s="1">
        <f t="shared" si="3"/>
        <v>25.38</v>
      </c>
      <c r="M18" s="1">
        <f t="shared" si="3"/>
        <v>23.857199999999999</v>
      </c>
      <c r="N18" s="1">
        <f t="shared" si="3"/>
        <v>22.425768000000001</v>
      </c>
      <c r="O18" s="1">
        <f t="shared" si="3"/>
        <v>21.08022192</v>
      </c>
      <c r="P18" s="1">
        <f t="shared" si="3"/>
        <v>19.815408604800002</v>
      </c>
      <c r="Q18" s="1">
        <f t="shared" si="3"/>
        <v>18.626484088512001</v>
      </c>
      <c r="R18" s="1">
        <f t="shared" si="3"/>
        <v>17.562645268589311</v>
      </c>
      <c r="S18" s="1">
        <f t="shared" si="3"/>
        <v>16.538274289215348</v>
      </c>
      <c r="T18" s="1">
        <f t="shared" si="3"/>
        <v>15.561428545889321</v>
      </c>
      <c r="U18" s="1">
        <f t="shared" si="3"/>
        <v>14.658622605944341</v>
      </c>
      <c r="V18" s="1">
        <f t="shared" si="3"/>
        <v>13.841542727753577</v>
      </c>
      <c r="W18" s="1">
        <f t="shared" si="3"/>
        <v>13.128268187184558</v>
      </c>
      <c r="X18" s="1">
        <f t="shared" si="3"/>
        <v>12.365523059555796</v>
      </c>
      <c r="Y18" s="1">
        <f t="shared" si="3"/>
        <v>11.648958033511613</v>
      </c>
      <c r="Z18" s="1">
        <f t="shared" si="3"/>
        <v>11.094196757286326</v>
      </c>
      <c r="AA18" s="1">
        <f t="shared" si="3"/>
        <v>10.454936110222489</v>
      </c>
      <c r="AB18" s="1">
        <f t="shared" si="3"/>
        <v>9.8546476690352733</v>
      </c>
      <c r="AC18" s="1">
        <f t="shared" si="3"/>
        <v>9.2908261700647827</v>
      </c>
      <c r="AD18" s="1">
        <f t="shared" si="3"/>
        <v>8.7659072360321968</v>
      </c>
      <c r="AE18" s="1">
        <f t="shared" si="3"/>
        <v>8.3241772915776071</v>
      </c>
      <c r="AF18" s="1">
        <f t="shared" si="3"/>
        <v>7.9291835768596792</v>
      </c>
      <c r="AG18" s="1">
        <f t="shared" si="3"/>
        <v>7.4831532930089999</v>
      </c>
      <c r="AH18" s="1">
        <f t="shared" si="3"/>
        <v>7.0680770818338532</v>
      </c>
      <c r="AI18" s="1">
        <f t="shared" si="3"/>
        <v>112.52789739278334</v>
      </c>
      <c r="AJ18" s="1">
        <f t="shared" ref="AJ18:AX18" si="4">AJ54</f>
        <v>0</v>
      </c>
      <c r="AK18" s="1">
        <f t="shared" si="4"/>
        <v>0</v>
      </c>
      <c r="AL18" s="1">
        <f t="shared" si="4"/>
        <v>0</v>
      </c>
      <c r="AM18" s="1">
        <f t="shared" si="4"/>
        <v>0</v>
      </c>
      <c r="AN18" s="1">
        <f t="shared" si="4"/>
        <v>0</v>
      </c>
      <c r="AO18" s="1">
        <f t="shared" si="4"/>
        <v>0</v>
      </c>
      <c r="AP18" s="1">
        <f t="shared" si="4"/>
        <v>0</v>
      </c>
      <c r="AQ18" s="1">
        <f t="shared" si="4"/>
        <v>0</v>
      </c>
      <c r="AR18" s="1">
        <f t="shared" si="4"/>
        <v>0</v>
      </c>
      <c r="AS18" s="1">
        <f t="shared" si="4"/>
        <v>0</v>
      </c>
      <c r="AT18" s="1">
        <f t="shared" si="4"/>
        <v>0</v>
      </c>
      <c r="AU18" s="1">
        <f t="shared" si="4"/>
        <v>0</v>
      </c>
      <c r="AV18" s="1">
        <f t="shared" si="4"/>
        <v>0</v>
      </c>
      <c r="AW18" s="1">
        <f t="shared" si="4"/>
        <v>0</v>
      </c>
      <c r="AX18" s="1">
        <f t="shared" si="4"/>
        <v>0</v>
      </c>
    </row>
    <row r="19" spans="1:50" ht="15" customHeight="1">
      <c r="A19" s="11"/>
      <c r="B19" s="11"/>
      <c r="D19" s="11"/>
      <c r="E19" s="1" t="s">
        <v>451</v>
      </c>
      <c r="G19" s="11" t="s">
        <v>449</v>
      </c>
      <c r="K19" s="1">
        <f t="shared" ref="K19:AI19" si="5">K71</f>
        <v>18.196655141995485</v>
      </c>
      <c r="L19" s="1">
        <f t="shared" si="5"/>
        <v>17.890249959039227</v>
      </c>
      <c r="M19" s="1">
        <f t="shared" si="5"/>
        <v>17.563746434512137</v>
      </c>
      <c r="N19" s="1">
        <f t="shared" si="5"/>
        <v>17.21582623779722</v>
      </c>
      <c r="O19" s="1">
        <f t="shared" si="5"/>
        <v>16.845084563698979</v>
      </c>
      <c r="P19" s="1">
        <f t="shared" si="5"/>
        <v>16.45002446022994</v>
      </c>
      <c r="Q19" s="1">
        <f t="shared" si="5"/>
        <v>16.029050784333954</v>
      </c>
      <c r="R19" s="1">
        <f t="shared" si="5"/>
        <v>15.580463761141244</v>
      </c>
      <c r="S19" s="1">
        <f t="shared" si="5"/>
        <v>15.102452120749232</v>
      </c>
      <c r="T19" s="1">
        <f t="shared" si="5"/>
        <v>14.593085784817347</v>
      </c>
      <c r="U19" s="1">
        <f t="shared" si="5"/>
        <v>14.050308073446347</v>
      </c>
      <c r="V19" s="1">
        <f t="shared" si="5"/>
        <v>13.471927400875677</v>
      </c>
      <c r="W19" s="1">
        <f t="shared" si="5"/>
        <v>12.855608426468406</v>
      </c>
      <c r="X19" s="1">
        <f t="shared" si="5"/>
        <v>12.198862625253863</v>
      </c>
      <c r="Y19" s="1">
        <f t="shared" si="5"/>
        <v>11.499038239954457</v>
      </c>
      <c r="Z19" s="1">
        <f t="shared" si="5"/>
        <v>10.753309573925719</v>
      </c>
      <c r="AA19" s="1">
        <f t="shared" si="5"/>
        <v>9.9586655817774936</v>
      </c>
      <c r="AB19" s="1">
        <f t="shared" si="5"/>
        <v>9.1118977116082966</v>
      </c>
      <c r="AC19" s="1">
        <f t="shared" si="5"/>
        <v>8.2095869497632226</v>
      </c>
      <c r="AD19" s="1">
        <f t="shared" si="5"/>
        <v>7.2480900158056816</v>
      </c>
      <c r="AE19" s="1">
        <f t="shared" si="5"/>
        <v>6.2235246519621299</v>
      </c>
      <c r="AF19" s="1">
        <f t="shared" si="5"/>
        <v>5.1317539476426237</v>
      </c>
      <c r="AG19" s="1">
        <f t="shared" si="5"/>
        <v>3.968369635743985</v>
      </c>
      <c r="AH19" s="1">
        <f t="shared" si="5"/>
        <v>2.7286742932906662</v>
      </c>
      <c r="AI19" s="1">
        <f t="shared" si="5"/>
        <v>1.4076623745444652</v>
      </c>
      <c r="AJ19" s="1">
        <f t="shared" ref="AJ19:AX19" si="6">AJ71</f>
        <v>0</v>
      </c>
      <c r="AK19" s="1">
        <f t="shared" si="6"/>
        <v>0</v>
      </c>
      <c r="AL19" s="1">
        <f t="shared" si="6"/>
        <v>0</v>
      </c>
      <c r="AM19" s="1">
        <f t="shared" si="6"/>
        <v>0</v>
      </c>
      <c r="AN19" s="1">
        <f t="shared" si="6"/>
        <v>0</v>
      </c>
      <c r="AO19" s="1">
        <f t="shared" si="6"/>
        <v>0</v>
      </c>
      <c r="AP19" s="1">
        <f t="shared" si="6"/>
        <v>0</v>
      </c>
      <c r="AQ19" s="1">
        <f t="shared" si="6"/>
        <v>0</v>
      </c>
      <c r="AR19" s="1">
        <f t="shared" si="6"/>
        <v>0</v>
      </c>
      <c r="AS19" s="1">
        <f t="shared" si="6"/>
        <v>0</v>
      </c>
      <c r="AT19" s="1">
        <f t="shared" si="6"/>
        <v>0</v>
      </c>
      <c r="AU19" s="1">
        <f t="shared" si="6"/>
        <v>0</v>
      </c>
      <c r="AV19" s="1">
        <f t="shared" si="6"/>
        <v>0</v>
      </c>
      <c r="AW19" s="1">
        <f t="shared" si="6"/>
        <v>0</v>
      </c>
      <c r="AX19" s="1">
        <f t="shared" si="6"/>
        <v>0</v>
      </c>
    </row>
    <row r="20" spans="1:50" ht="15" customHeight="1">
      <c r="A20" s="11"/>
      <c r="B20" s="11"/>
      <c r="D20" s="11"/>
      <c r="E20" s="1" t="s">
        <v>147</v>
      </c>
      <c r="G20" s="11" t="s">
        <v>449</v>
      </c>
      <c r="K20" s="172">
        <f>SUMPRODUCT(Finance!K43:AX43,Inputs!K23:AX23)+SUMPRODUCT(Finance!K45:AX45,Inputs!K23:AX23)</f>
        <v>6.2536664757206575</v>
      </c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138"/>
      <c r="AO20" s="138"/>
      <c r="AP20" s="138"/>
      <c r="AQ20" s="138"/>
      <c r="AR20" s="138"/>
      <c r="AS20" s="138"/>
      <c r="AT20" s="138"/>
      <c r="AU20" s="138"/>
      <c r="AV20" s="138"/>
      <c r="AW20" s="138"/>
      <c r="AX20" s="138"/>
    </row>
    <row r="21" spans="1:50" ht="15" customHeight="1">
      <c r="A21" s="11"/>
      <c r="B21" s="11"/>
      <c r="D21" s="11"/>
      <c r="E21" s="11" t="s">
        <v>452</v>
      </c>
      <c r="G21" s="11" t="s">
        <v>449</v>
      </c>
      <c r="K21" s="17">
        <f t="shared" ref="K21:AI21" si="7">SUM(K17:K20)</f>
        <v>60.282968043316146</v>
      </c>
      <c r="L21" s="17">
        <f t="shared" si="7"/>
        <v>52.279549313151222</v>
      </c>
      <c r="M21" s="17">
        <f t="shared" si="7"/>
        <v>50.610431775706374</v>
      </c>
      <c r="N21" s="17">
        <f t="shared" si="7"/>
        <v>49.014869285815351</v>
      </c>
      <c r="O21" s="17">
        <f t="shared" si="7"/>
        <v>47.486047032677469</v>
      </c>
      <c r="P21" s="17">
        <f t="shared" si="7"/>
        <v>46.017388424987999</v>
      </c>
      <c r="Q21" s="17">
        <f t="shared" si="7"/>
        <v>44.602529340003173</v>
      </c>
      <c r="R21" s="17">
        <f t="shared" si="7"/>
        <v>43.289043386230922</v>
      </c>
      <c r="S21" s="17">
        <f t="shared" si="7"/>
        <v>41.989579453594956</v>
      </c>
      <c r="T21" s="17">
        <f t="shared" si="7"/>
        <v>40.710344435209649</v>
      </c>
      <c r="U21" s="17">
        <f t="shared" si="7"/>
        <v>39.475877385983729</v>
      </c>
      <c r="V21" s="17">
        <f t="shared" si="7"/>
        <v>38.295755769354159</v>
      </c>
      <c r="W21" s="17">
        <f t="shared" si="7"/>
        <v>37.185807967192368</v>
      </c>
      <c r="X21" s="17">
        <f t="shared" si="7"/>
        <v>35.990355665419855</v>
      </c>
      <c r="Y21" s="17">
        <f t="shared" si="7"/>
        <v>34.802485653688464</v>
      </c>
      <c r="Z21" s="17">
        <f t="shared" si="7"/>
        <v>33.735085499038888</v>
      </c>
      <c r="AA21" s="17">
        <f t="shared" si="7"/>
        <v>32.538932443183363</v>
      </c>
      <c r="AB21" s="17">
        <f t="shared" si="7"/>
        <v>31.334382746850618</v>
      </c>
      <c r="AC21" s="17">
        <f t="shared" si="7"/>
        <v>30.115607233359192</v>
      </c>
      <c r="AD21" s="17">
        <f t="shared" si="7"/>
        <v>28.881495247639691</v>
      </c>
      <c r="AE21" s="17">
        <f t="shared" si="7"/>
        <v>27.672549899257589</v>
      </c>
      <c r="AF21" s="17">
        <f t="shared" si="7"/>
        <v>26.448282439334513</v>
      </c>
      <c r="AG21" s="17">
        <f t="shared" si="7"/>
        <v>25.106614741881838</v>
      </c>
      <c r="AH21" s="17">
        <f t="shared" si="7"/>
        <v>23.72494502451595</v>
      </c>
      <c r="AI21" s="17">
        <f t="shared" si="7"/>
        <v>128.14231728970708</v>
      </c>
      <c r="AJ21" s="17">
        <f t="shared" ref="AJ21:AX21" si="8">SUM(AJ17:AJ20)</f>
        <v>0</v>
      </c>
      <c r="AK21" s="17">
        <f t="shared" si="8"/>
        <v>0</v>
      </c>
      <c r="AL21" s="17">
        <f t="shared" si="8"/>
        <v>0</v>
      </c>
      <c r="AM21" s="17">
        <f t="shared" si="8"/>
        <v>0</v>
      </c>
      <c r="AN21" s="17">
        <f t="shared" si="8"/>
        <v>0</v>
      </c>
      <c r="AO21" s="17">
        <f t="shared" si="8"/>
        <v>0</v>
      </c>
      <c r="AP21" s="17">
        <f t="shared" si="8"/>
        <v>0</v>
      </c>
      <c r="AQ21" s="17">
        <f t="shared" si="8"/>
        <v>0</v>
      </c>
      <c r="AR21" s="17">
        <f t="shared" si="8"/>
        <v>0</v>
      </c>
      <c r="AS21" s="17">
        <f t="shared" si="8"/>
        <v>0</v>
      </c>
      <c r="AT21" s="17">
        <f t="shared" si="8"/>
        <v>0</v>
      </c>
      <c r="AU21" s="17">
        <f t="shared" si="8"/>
        <v>0</v>
      </c>
      <c r="AV21" s="17">
        <f t="shared" si="8"/>
        <v>0</v>
      </c>
      <c r="AW21" s="17">
        <f t="shared" si="8"/>
        <v>0</v>
      </c>
      <c r="AX21" s="17">
        <f t="shared" si="8"/>
        <v>0</v>
      </c>
    </row>
    <row r="22" spans="1:50" ht="15" customHeight="1">
      <c r="A22" s="11"/>
      <c r="B22" s="11"/>
      <c r="D22" s="1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71"/>
      <c r="X22" s="7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</row>
    <row r="23" spans="1:50" ht="15" customHeight="1">
      <c r="A23" s="92"/>
      <c r="B23" s="11"/>
      <c r="C23" s="56" t="s">
        <v>453</v>
      </c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</row>
    <row r="24" spans="1:50" ht="15" customHeight="1">
      <c r="A24" s="86"/>
      <c r="B24" s="11"/>
      <c r="D24" s="11"/>
      <c r="P24" s="1"/>
      <c r="Q24" s="1"/>
      <c r="R24" s="1"/>
      <c r="S24" s="1"/>
      <c r="T24" s="1"/>
      <c r="U24" s="1"/>
      <c r="V24" s="1"/>
      <c r="W24" s="71"/>
      <c r="X24" s="7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</row>
    <row r="25" spans="1:50" ht="15" customHeight="1">
      <c r="A25" s="86"/>
      <c r="B25" s="11"/>
      <c r="D25" s="11"/>
      <c r="E25" s="11" t="s">
        <v>454</v>
      </c>
      <c r="G25" s="11" t="s">
        <v>225</v>
      </c>
      <c r="K25" s="11" t="b">
        <f>OR(Allowances_Floor!L88,Allowances_Floor!L106)</f>
        <v>0</v>
      </c>
      <c r="L25" s="11" t="b">
        <f>OR(Allowances_Floor!M88,Allowances_Floor!M106)</f>
        <v>0</v>
      </c>
      <c r="M25" s="11" t="b">
        <f>OR(Allowances_Floor!N88,Allowances_Floor!N106)</f>
        <v>1</v>
      </c>
      <c r="N25" s="11" t="b">
        <f>OR(Allowances_Floor!O88,Allowances_Floor!O106)</f>
        <v>1</v>
      </c>
      <c r="O25" s="11" t="b">
        <f>OR(Allowances_Floor!P88,Allowances_Floor!P106)</f>
        <v>1</v>
      </c>
      <c r="P25" s="11" t="b">
        <f>OR(Allowances_Floor!Q88,Allowances_Floor!Q106)</f>
        <v>1</v>
      </c>
      <c r="Q25" s="11" t="b">
        <f>OR(Allowances_Floor!R88,Allowances_Floor!R106)</f>
        <v>1</v>
      </c>
      <c r="R25" s="11" t="b">
        <f>OR(Allowances_Floor!S88,Allowances_Floor!S106)</f>
        <v>1</v>
      </c>
      <c r="S25" s="11" t="b">
        <f>OR(Allowances_Floor!T88,Allowances_Floor!T106)</f>
        <v>1</v>
      </c>
      <c r="T25" s="11" t="b">
        <f>OR(Allowances_Floor!U88,Allowances_Floor!U106)</f>
        <v>1</v>
      </c>
      <c r="U25" s="11" t="b">
        <f>OR(Allowances_Floor!V88,Allowances_Floor!V106)</f>
        <v>1</v>
      </c>
      <c r="V25" s="11" t="b">
        <f>OR(Allowances_Floor!W88,Allowances_Floor!W106)</f>
        <v>1</v>
      </c>
      <c r="W25" s="11" t="b">
        <f>OR(Allowances_Floor!X88,Allowances_Floor!X106)</f>
        <v>1</v>
      </c>
      <c r="X25" s="11" t="b">
        <f>OR(Allowances_Floor!Y88,Allowances_Floor!Y106)</f>
        <v>1</v>
      </c>
      <c r="Y25" s="11" t="b">
        <f>OR(Allowances_Floor!Z88,Allowances_Floor!Z106)</f>
        <v>1</v>
      </c>
      <c r="Z25" s="11" t="b">
        <f>OR(Allowances_Floor!AA88,Allowances_Floor!AA106)</f>
        <v>1</v>
      </c>
      <c r="AA25" s="11" t="b">
        <f>OR(Allowances_Floor!AB88,Allowances_Floor!AB106)</f>
        <v>1</v>
      </c>
      <c r="AB25" s="11" t="b">
        <f>OR(Allowances_Floor!AC88,Allowances_Floor!AC106)</f>
        <v>1</v>
      </c>
      <c r="AC25" s="11" t="b">
        <f>OR(Allowances_Floor!AD88,Allowances_Floor!AD106)</f>
        <v>1</v>
      </c>
      <c r="AD25" s="11" t="b">
        <f>OR(Allowances_Floor!AE88,Allowances_Floor!AE106)</f>
        <v>1</v>
      </c>
      <c r="AE25" s="11" t="b">
        <f>OR(Allowances_Floor!AF88,Allowances_Floor!AF106)</f>
        <v>1</v>
      </c>
      <c r="AF25" s="11" t="b">
        <f>OR(Allowances_Floor!AG88,Allowances_Floor!AG106)</f>
        <v>1</v>
      </c>
      <c r="AG25" s="11" t="b">
        <f>OR(Allowances_Floor!AH88,Allowances_Floor!AH106)</f>
        <v>1</v>
      </c>
      <c r="AH25" s="11" t="b">
        <f>OR(Allowances_Floor!AI88,Allowances_Floor!AI106)</f>
        <v>1</v>
      </c>
      <c r="AI25" s="11" t="b">
        <f>OR(Allowances_Floor!AJ88,Allowances_Floor!AJ106)</f>
        <v>1</v>
      </c>
      <c r="AJ25" s="11" t="b">
        <f>OR(Allowances_Floor!AK88,Allowances_Floor!AK106)</f>
        <v>0</v>
      </c>
      <c r="AK25" s="11" t="b">
        <f>OR(Allowances_Floor!AL88,Allowances_Floor!AL106)</f>
        <v>0</v>
      </c>
      <c r="AL25" s="11" t="b">
        <f>OR(Allowances_Floor!AM88,Allowances_Floor!AM106)</f>
        <v>0</v>
      </c>
      <c r="AM25" s="11" t="b">
        <f>OR(Allowances_Floor!AN88,Allowances_Floor!AN106)</f>
        <v>0</v>
      </c>
      <c r="AN25" s="11" t="b">
        <f>OR(Allowances_Floor!AO88,Allowances_Floor!AO106)</f>
        <v>0</v>
      </c>
      <c r="AO25" s="11" t="b">
        <f>OR(Allowances_Floor!AP88,Allowances_Floor!AP106)</f>
        <v>0</v>
      </c>
      <c r="AP25" s="11" t="b">
        <f>OR(Allowances_Floor!AQ88,Allowances_Floor!AQ106)</f>
        <v>0</v>
      </c>
      <c r="AQ25" s="11" t="b">
        <f>OR(Allowances_Floor!AR88,Allowances_Floor!AR106)</f>
        <v>0</v>
      </c>
      <c r="AR25" s="11" t="b">
        <f>OR(Allowances_Floor!AS88,Allowances_Floor!AS106)</f>
        <v>0</v>
      </c>
      <c r="AS25" s="11" t="b">
        <f>OR(Allowances_Floor!AT88,Allowances_Floor!AT106)</f>
        <v>0</v>
      </c>
      <c r="AT25" s="11" t="b">
        <f>OR(Allowances_Floor!AU88,Allowances_Floor!AU106)</f>
        <v>0</v>
      </c>
      <c r="AU25" s="11" t="b">
        <f>OR(Allowances_Floor!AV88,Allowances_Floor!AV106)</f>
        <v>0</v>
      </c>
      <c r="AV25" s="11" t="b">
        <f>OR(Allowances_Floor!AW88,Allowances_Floor!AW106)</f>
        <v>0</v>
      </c>
      <c r="AW25" s="11" t="b">
        <f>OR(Allowances_Floor!AX88,Allowances_Floor!AX106)</f>
        <v>0</v>
      </c>
      <c r="AX25" s="11" t="b">
        <f>OR(Allowances_Floor!AY88,Allowances_Floor!AY106)</f>
        <v>0</v>
      </c>
    </row>
    <row r="26" spans="1:50" ht="15" customHeight="1">
      <c r="A26" s="86"/>
      <c r="B26" s="11"/>
      <c r="D26" s="11"/>
      <c r="P26" s="1"/>
      <c r="Q26" s="1"/>
      <c r="R26" s="1"/>
      <c r="S26" s="1"/>
      <c r="T26" s="1"/>
      <c r="U26" s="1"/>
      <c r="V26" s="1"/>
      <c r="W26" s="71"/>
      <c r="X26" s="7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</row>
    <row r="27" spans="1:50" ht="15" customHeight="1">
      <c r="A27" s="86"/>
      <c r="B27" s="11"/>
      <c r="D27" s="11"/>
      <c r="E27" s="1" t="s">
        <v>448</v>
      </c>
      <c r="G27" s="11" t="s">
        <v>449</v>
      </c>
      <c r="K27" s="1">
        <f t="shared" ref="K27:AI27" si="9">K39*K$25</f>
        <v>0</v>
      </c>
      <c r="L27" s="1">
        <f>L39*L$25</f>
        <v>0</v>
      </c>
      <c r="M27" s="1">
        <f t="shared" si="9"/>
        <v>9.1894853411942421</v>
      </c>
      <c r="N27" s="1">
        <f t="shared" si="9"/>
        <v>9.3732750480181277</v>
      </c>
      <c r="O27" s="1">
        <f t="shared" si="9"/>
        <v>9.5607405489784902</v>
      </c>
      <c r="P27" s="1">
        <f t="shared" si="9"/>
        <v>9.7519553599580604</v>
      </c>
      <c r="Q27" s="1">
        <f t="shared" si="9"/>
        <v>9.9469944671572215</v>
      </c>
      <c r="R27" s="1">
        <f t="shared" si="9"/>
        <v>10.145934356500366</v>
      </c>
      <c r="S27" s="1">
        <f t="shared" si="9"/>
        <v>10.348853043630374</v>
      </c>
      <c r="T27" s="1">
        <f t="shared" si="9"/>
        <v>10.555830104502983</v>
      </c>
      <c r="U27" s="1">
        <f t="shared" si="9"/>
        <v>10.766946706593043</v>
      </c>
      <c r="V27" s="1">
        <f t="shared" si="9"/>
        <v>10.982285640724903</v>
      </c>
      <c r="W27" s="1">
        <f t="shared" si="9"/>
        <v>11.201931353539402</v>
      </c>
      <c r="X27" s="1">
        <f t="shared" si="9"/>
        <v>11.425969980610191</v>
      </c>
      <c r="Y27" s="1">
        <f t="shared" si="9"/>
        <v>11.654489380222394</v>
      </c>
      <c r="Z27" s="1">
        <f t="shared" si="9"/>
        <v>11.887579167826843</v>
      </c>
      <c r="AA27" s="1">
        <f t="shared" si="9"/>
        <v>12.12533075118338</v>
      </c>
      <c r="AB27" s="1">
        <f t="shared" si="9"/>
        <v>12.367837366207048</v>
      </c>
      <c r="AC27" s="1">
        <f t="shared" si="9"/>
        <v>12.61519411353119</v>
      </c>
      <c r="AD27" s="1">
        <f t="shared" si="9"/>
        <v>12.867497995801815</v>
      </c>
      <c r="AE27" s="1">
        <f t="shared" si="9"/>
        <v>13.124847955717851</v>
      </c>
      <c r="AF27" s="1">
        <f t="shared" si="9"/>
        <v>13.387344914832207</v>
      </c>
      <c r="AG27" s="1">
        <f t="shared" si="9"/>
        <v>13.655091813128852</v>
      </c>
      <c r="AH27" s="1">
        <f t="shared" si="9"/>
        <v>13.92819364939143</v>
      </c>
      <c r="AI27" s="1">
        <f t="shared" si="9"/>
        <v>14.206757522379259</v>
      </c>
      <c r="AJ27" s="1">
        <f t="shared" ref="AJ27:AX27" si="10">AJ39*AJ$25</f>
        <v>0</v>
      </c>
      <c r="AK27" s="1">
        <f t="shared" si="10"/>
        <v>0</v>
      </c>
      <c r="AL27" s="1">
        <f t="shared" si="10"/>
        <v>0</v>
      </c>
      <c r="AM27" s="1">
        <f t="shared" si="10"/>
        <v>0</v>
      </c>
      <c r="AN27" s="1">
        <f t="shared" si="10"/>
        <v>0</v>
      </c>
      <c r="AO27" s="1">
        <f t="shared" si="10"/>
        <v>0</v>
      </c>
      <c r="AP27" s="1">
        <f t="shared" si="10"/>
        <v>0</v>
      </c>
      <c r="AQ27" s="1">
        <f t="shared" si="10"/>
        <v>0</v>
      </c>
      <c r="AR27" s="1">
        <f t="shared" si="10"/>
        <v>0</v>
      </c>
      <c r="AS27" s="1">
        <f t="shared" si="10"/>
        <v>0</v>
      </c>
      <c r="AT27" s="1">
        <f t="shared" si="10"/>
        <v>0</v>
      </c>
      <c r="AU27" s="1">
        <f t="shared" si="10"/>
        <v>0</v>
      </c>
      <c r="AV27" s="1">
        <f t="shared" si="10"/>
        <v>0</v>
      </c>
      <c r="AW27" s="1">
        <f t="shared" si="10"/>
        <v>0</v>
      </c>
      <c r="AX27" s="1">
        <f t="shared" si="10"/>
        <v>0</v>
      </c>
    </row>
    <row r="28" spans="1:50" ht="15" customHeight="1">
      <c r="A28" s="86"/>
      <c r="B28" s="11"/>
      <c r="D28" s="11"/>
      <c r="E28" s="1" t="s">
        <v>450</v>
      </c>
      <c r="G28" s="11" t="s">
        <v>449</v>
      </c>
      <c r="K28" s="1">
        <f t="shared" ref="K28:AI28" si="11">K54*K$25</f>
        <v>0</v>
      </c>
      <c r="L28" s="1">
        <f t="shared" si="11"/>
        <v>0</v>
      </c>
      <c r="M28" s="1">
        <f t="shared" si="11"/>
        <v>23.857199999999999</v>
      </c>
      <c r="N28" s="1">
        <f t="shared" si="11"/>
        <v>22.425768000000001</v>
      </c>
      <c r="O28" s="1">
        <f t="shared" si="11"/>
        <v>21.08022192</v>
      </c>
      <c r="P28" s="1">
        <f t="shared" si="11"/>
        <v>19.815408604800002</v>
      </c>
      <c r="Q28" s="1">
        <f t="shared" si="11"/>
        <v>18.626484088512001</v>
      </c>
      <c r="R28" s="1">
        <f t="shared" si="11"/>
        <v>17.562645268589311</v>
      </c>
      <c r="S28" s="1">
        <f t="shared" si="11"/>
        <v>16.538274289215348</v>
      </c>
      <c r="T28" s="1">
        <f t="shared" si="11"/>
        <v>15.561428545889321</v>
      </c>
      <c r="U28" s="1">
        <f t="shared" si="11"/>
        <v>14.658622605944341</v>
      </c>
      <c r="V28" s="1">
        <f t="shared" si="11"/>
        <v>13.841542727753577</v>
      </c>
      <c r="W28" s="1">
        <f t="shared" si="11"/>
        <v>13.128268187184558</v>
      </c>
      <c r="X28" s="1">
        <f t="shared" si="11"/>
        <v>12.365523059555796</v>
      </c>
      <c r="Y28" s="1">
        <f t="shared" si="11"/>
        <v>11.648958033511613</v>
      </c>
      <c r="Z28" s="1">
        <f t="shared" si="11"/>
        <v>11.094196757286326</v>
      </c>
      <c r="AA28" s="1">
        <f t="shared" si="11"/>
        <v>10.454936110222489</v>
      </c>
      <c r="AB28" s="1">
        <f t="shared" si="11"/>
        <v>9.8546476690352733</v>
      </c>
      <c r="AC28" s="1">
        <f t="shared" si="11"/>
        <v>9.2908261700647827</v>
      </c>
      <c r="AD28" s="1">
        <f t="shared" si="11"/>
        <v>8.7659072360321968</v>
      </c>
      <c r="AE28" s="1">
        <f t="shared" si="11"/>
        <v>8.3241772915776071</v>
      </c>
      <c r="AF28" s="1">
        <f t="shared" si="11"/>
        <v>7.9291835768596792</v>
      </c>
      <c r="AG28" s="1">
        <f t="shared" si="11"/>
        <v>7.4831532930089999</v>
      </c>
      <c r="AH28" s="1">
        <f t="shared" si="11"/>
        <v>7.0680770818338532</v>
      </c>
      <c r="AI28" s="1">
        <f t="shared" si="11"/>
        <v>112.52789739278334</v>
      </c>
      <c r="AJ28" s="1">
        <f t="shared" ref="AJ28:AX28" si="12">AJ54*AJ$25</f>
        <v>0</v>
      </c>
      <c r="AK28" s="1">
        <f t="shared" si="12"/>
        <v>0</v>
      </c>
      <c r="AL28" s="1">
        <f t="shared" si="12"/>
        <v>0</v>
      </c>
      <c r="AM28" s="1">
        <f t="shared" si="12"/>
        <v>0</v>
      </c>
      <c r="AN28" s="1">
        <f t="shared" si="12"/>
        <v>0</v>
      </c>
      <c r="AO28" s="1">
        <f t="shared" si="12"/>
        <v>0</v>
      </c>
      <c r="AP28" s="1">
        <f t="shared" si="12"/>
        <v>0</v>
      </c>
      <c r="AQ28" s="1">
        <f t="shared" si="12"/>
        <v>0</v>
      </c>
      <c r="AR28" s="1">
        <f t="shared" si="12"/>
        <v>0</v>
      </c>
      <c r="AS28" s="1">
        <f t="shared" si="12"/>
        <v>0</v>
      </c>
      <c r="AT28" s="1">
        <f t="shared" si="12"/>
        <v>0</v>
      </c>
      <c r="AU28" s="1">
        <f t="shared" si="12"/>
        <v>0</v>
      </c>
      <c r="AV28" s="1">
        <f t="shared" si="12"/>
        <v>0</v>
      </c>
      <c r="AW28" s="1">
        <f t="shared" si="12"/>
        <v>0</v>
      </c>
      <c r="AX28" s="1">
        <f t="shared" si="12"/>
        <v>0</v>
      </c>
    </row>
    <row r="29" spans="1:50" ht="15" customHeight="1">
      <c r="A29" s="86"/>
      <c r="B29" s="11"/>
      <c r="D29" s="11"/>
      <c r="E29" s="1" t="s">
        <v>345</v>
      </c>
      <c r="G29" s="11" t="s">
        <v>449</v>
      </c>
      <c r="K29" s="1">
        <f>SUMIF(Finance!10:10,Tax_Deductions!K4,Finance!140:140)*K$25</f>
        <v>0</v>
      </c>
      <c r="L29" s="1">
        <f>SUMIF(Finance!10:10,Tax_Deductions!L4,Finance!140:140)*L$25</f>
        <v>0</v>
      </c>
      <c r="M29" s="1">
        <f>SUMIF(Finance!10:10,Tax_Deductions!M4,Finance!140:140)*M$25</f>
        <v>32.950000000000003</v>
      </c>
      <c r="N29" s="1">
        <f>SUMIF(Finance!10:10,Tax_Deductions!N4,Finance!140:140)*N$25</f>
        <v>31.669999999999998</v>
      </c>
      <c r="O29" s="1">
        <f>SUMIF(Finance!10:10,Tax_Deductions!O4,Finance!140:140)*O$25</f>
        <v>30.39</v>
      </c>
      <c r="P29" s="1">
        <f>SUMIF(Finance!10:10,Tax_Deductions!P4,Finance!140:140)*P$25</f>
        <v>29.11</v>
      </c>
      <c r="Q29" s="1">
        <f>SUMIF(Finance!10:10,Tax_Deductions!Q4,Finance!140:140)*Q$25</f>
        <v>27.83</v>
      </c>
      <c r="R29" s="1">
        <f>SUMIF(Finance!10:10,Tax_Deductions!R4,Finance!140:140)*R$25</f>
        <v>26.55</v>
      </c>
      <c r="S29" s="1">
        <f>SUMIF(Finance!10:10,Tax_Deductions!S4,Finance!140:140)*S$25</f>
        <v>25.27</v>
      </c>
      <c r="T29" s="1">
        <f>SUMIF(Finance!10:10,Tax_Deductions!T4,Finance!140:140)*T$25</f>
        <v>23.99</v>
      </c>
      <c r="U29" s="1">
        <f>SUMIF(Finance!10:10,Tax_Deductions!U4,Finance!140:140)*U$25</f>
        <v>22.71</v>
      </c>
      <c r="V29" s="1">
        <f>SUMIF(Finance!10:10,Tax_Deductions!V4,Finance!140:140)*V$25</f>
        <v>21.43</v>
      </c>
      <c r="W29" s="1">
        <f>SUMIF(Finance!10:10,Tax_Deductions!W4,Finance!140:140)*W$25</f>
        <v>20.149999999999999</v>
      </c>
      <c r="X29" s="1">
        <f>SUMIF(Finance!10:10,Tax_Deductions!X4,Finance!140:140)*X$25</f>
        <v>18.87</v>
      </c>
      <c r="Y29" s="1">
        <f>SUMIF(Finance!10:10,Tax_Deductions!Y4,Finance!140:140)*Y$25</f>
        <v>17.59</v>
      </c>
      <c r="Z29" s="1">
        <f>SUMIF(Finance!10:10,Tax_Deductions!Z4,Finance!140:140)*Z$25</f>
        <v>16.309999999999999</v>
      </c>
      <c r="AA29" s="1">
        <f>SUMIF(Finance!10:10,Tax_Deductions!AA4,Finance!140:140)*AA$25</f>
        <v>15.030000000000001</v>
      </c>
      <c r="AB29" s="1">
        <f>SUMIF(Finance!10:10,Tax_Deductions!AB4,Finance!140:140)*AB$25</f>
        <v>13.750000000000002</v>
      </c>
      <c r="AC29" s="1">
        <f>SUMIF(Finance!10:10,Tax_Deductions!AC4,Finance!140:140)*AC$25</f>
        <v>12.47</v>
      </c>
      <c r="AD29" s="1">
        <f>SUMIF(Finance!10:10,Tax_Deductions!AD4,Finance!140:140)*AD$25</f>
        <v>11.190000000000001</v>
      </c>
      <c r="AE29" s="1">
        <f>SUMIF(Finance!10:10,Tax_Deductions!AE4,Finance!140:140)*AE$25</f>
        <v>9.9100000000000019</v>
      </c>
      <c r="AF29" s="1">
        <f>SUMIF(Finance!10:10,Tax_Deductions!AF4,Finance!140:140)*AF$25</f>
        <v>8.6300000000000008</v>
      </c>
      <c r="AG29" s="1">
        <f>SUMIF(Finance!10:10,Tax_Deductions!AG4,Finance!140:140)*AG$25</f>
        <v>7.3500000000000005</v>
      </c>
      <c r="AH29" s="1">
        <f>SUMIF(Finance!10:10,Tax_Deductions!AH4,Finance!140:140)*AH$25</f>
        <v>6.07</v>
      </c>
      <c r="AI29" s="1">
        <f>SUMIF(Finance!10:10,Tax_Deductions!AI4,Finance!140:140)*AI$25</f>
        <v>4.79</v>
      </c>
      <c r="AJ29" s="1">
        <f>SUMIF(Finance!10:10,Tax_Deductions!AJ4,Finance!140:140)*AJ$25</f>
        <v>0</v>
      </c>
      <c r="AK29" s="1">
        <f>SUMIF(Finance!10:10,Tax_Deductions!AK4,Finance!140:140)*AK$25</f>
        <v>0</v>
      </c>
      <c r="AL29" s="1">
        <f>SUMIF(Finance!10:10,Tax_Deductions!AL4,Finance!140:140)*AL$25</f>
        <v>0</v>
      </c>
      <c r="AM29" s="1">
        <f>SUMIF(Finance!10:10,Tax_Deductions!AM4,Finance!140:140)*AM$25</f>
        <v>0</v>
      </c>
      <c r="AN29" s="1">
        <f>SUMIF(Finance!10:10,Tax_Deductions!AN4,Finance!140:140)*AN$25</f>
        <v>0</v>
      </c>
      <c r="AO29" s="1">
        <f>SUMIF(Finance!10:10,Tax_Deductions!AO4,Finance!140:140)*AO$25</f>
        <v>0</v>
      </c>
      <c r="AP29" s="1">
        <f>SUMIF(Finance!10:10,Tax_Deductions!AP4,Finance!140:140)*AP$25</f>
        <v>0</v>
      </c>
      <c r="AQ29" s="1">
        <f>SUMIF(Finance!10:10,Tax_Deductions!AQ4,Finance!140:140)*AQ$25</f>
        <v>0</v>
      </c>
      <c r="AR29" s="1">
        <f>SUMIF(Finance!10:10,Tax_Deductions!AR4,Finance!140:140)*AR$25</f>
        <v>0</v>
      </c>
      <c r="AS29" s="1">
        <f>SUMIF(Finance!10:10,Tax_Deductions!AS4,Finance!140:140)*AS$25</f>
        <v>0</v>
      </c>
      <c r="AT29" s="1">
        <f>SUMIF(Finance!10:10,Tax_Deductions!AT4,Finance!140:140)*AT$25</f>
        <v>0</v>
      </c>
      <c r="AU29" s="1">
        <f>SUMIF(Finance!10:10,Tax_Deductions!AU4,Finance!140:140)*AU$25</f>
        <v>0</v>
      </c>
      <c r="AV29" s="1">
        <f>SUMIF(Finance!10:10,Tax_Deductions!AV4,Finance!140:140)*AV$25</f>
        <v>0</v>
      </c>
      <c r="AW29" s="1">
        <f>SUMIF(Finance!10:10,Tax_Deductions!AW4,Finance!140:140)*AW$25</f>
        <v>0</v>
      </c>
      <c r="AX29" s="1">
        <f>SUMIF(Finance!10:10,Tax_Deductions!AX4,Finance!140:140)*AX$25</f>
        <v>0</v>
      </c>
    </row>
    <row r="30" spans="1:50" ht="15" customHeight="1">
      <c r="A30" s="86"/>
      <c r="B30" s="11"/>
      <c r="D30" s="11"/>
      <c r="E30" s="1" t="s">
        <v>147</v>
      </c>
      <c r="G30" s="11" t="s">
        <v>449</v>
      </c>
      <c r="K30" s="172">
        <f>IF(Inputs!I109=1,Tax_Deductions!K20,SUMPRODUCT(Finance!108:108,Finance!14:14)+SUMPRODUCT(Finance!109:109,Finance!14:14))</f>
        <v>9.41</v>
      </c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  <c r="AG30" s="138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138"/>
      <c r="AV30" s="138"/>
      <c r="AW30" s="138"/>
      <c r="AX30" s="138"/>
    </row>
    <row r="31" spans="1:50" ht="15" customHeight="1">
      <c r="A31" s="86"/>
      <c r="B31" s="11"/>
      <c r="D31" s="11"/>
      <c r="E31" s="11" t="s">
        <v>452</v>
      </c>
      <c r="G31" s="11" t="s">
        <v>449</v>
      </c>
      <c r="K31" s="17">
        <f t="shared" ref="K31:AI31" si="13">SUM(K27:K30)</f>
        <v>9.41</v>
      </c>
      <c r="L31" s="17">
        <f t="shared" si="13"/>
        <v>0</v>
      </c>
      <c r="M31" s="17">
        <f t="shared" si="13"/>
        <v>65.996685341194251</v>
      </c>
      <c r="N31" s="17">
        <f t="shared" si="13"/>
        <v>63.469043048018122</v>
      </c>
      <c r="O31" s="17">
        <f t="shared" si="13"/>
        <v>61.030962468978487</v>
      </c>
      <c r="P31" s="17">
        <f t="shared" si="13"/>
        <v>58.677363964758058</v>
      </c>
      <c r="Q31" s="17">
        <f t="shared" si="13"/>
        <v>56.403478555669224</v>
      </c>
      <c r="R31" s="17">
        <f t="shared" si="13"/>
        <v>54.258579625089681</v>
      </c>
      <c r="S31" s="17">
        <f t="shared" si="13"/>
        <v>52.157127332845718</v>
      </c>
      <c r="T31" s="17">
        <f t="shared" si="13"/>
        <v>50.107258650392296</v>
      </c>
      <c r="U31" s="17">
        <f t="shared" si="13"/>
        <v>48.135569312537385</v>
      </c>
      <c r="V31" s="17">
        <f t="shared" si="13"/>
        <v>46.25382836847848</v>
      </c>
      <c r="W31" s="17">
        <f t="shared" si="13"/>
        <v>44.480199540723959</v>
      </c>
      <c r="X31" s="17">
        <f t="shared" si="13"/>
        <v>42.661493040165993</v>
      </c>
      <c r="Y31" s="17">
        <f t="shared" si="13"/>
        <v>40.893447413734009</v>
      </c>
      <c r="Z31" s="17">
        <f t="shared" si="13"/>
        <v>39.291775925113171</v>
      </c>
      <c r="AA31" s="17">
        <f t="shared" si="13"/>
        <v>37.610266861405869</v>
      </c>
      <c r="AB31" s="17">
        <f t="shared" si="13"/>
        <v>35.972485035242322</v>
      </c>
      <c r="AC31" s="17">
        <f t="shared" si="13"/>
        <v>34.37602028359597</v>
      </c>
      <c r="AD31" s="17">
        <f t="shared" si="13"/>
        <v>32.823405231834016</v>
      </c>
      <c r="AE31" s="17">
        <f t="shared" si="13"/>
        <v>31.359025247295463</v>
      </c>
      <c r="AF31" s="17">
        <f t="shared" si="13"/>
        <v>29.946528491691886</v>
      </c>
      <c r="AG31" s="17">
        <f t="shared" si="13"/>
        <v>28.488245106137853</v>
      </c>
      <c r="AH31" s="17">
        <f t="shared" si="13"/>
        <v>27.066270731225284</v>
      </c>
      <c r="AI31" s="17">
        <f t="shared" si="13"/>
        <v>131.52465491516261</v>
      </c>
      <c r="AJ31" s="17">
        <f t="shared" ref="AJ31:AX31" si="14">SUM(AJ27:AJ30)</f>
        <v>0</v>
      </c>
      <c r="AK31" s="17">
        <f t="shared" si="14"/>
        <v>0</v>
      </c>
      <c r="AL31" s="17">
        <f t="shared" si="14"/>
        <v>0</v>
      </c>
      <c r="AM31" s="17">
        <f t="shared" si="14"/>
        <v>0</v>
      </c>
      <c r="AN31" s="17">
        <f t="shared" si="14"/>
        <v>0</v>
      </c>
      <c r="AO31" s="17">
        <f t="shared" si="14"/>
        <v>0</v>
      </c>
      <c r="AP31" s="17">
        <f t="shared" si="14"/>
        <v>0</v>
      </c>
      <c r="AQ31" s="17">
        <f t="shared" si="14"/>
        <v>0</v>
      </c>
      <c r="AR31" s="17">
        <f t="shared" si="14"/>
        <v>0</v>
      </c>
      <c r="AS31" s="17">
        <f t="shared" si="14"/>
        <v>0</v>
      </c>
      <c r="AT31" s="17">
        <f t="shared" si="14"/>
        <v>0</v>
      </c>
      <c r="AU31" s="17">
        <f t="shared" si="14"/>
        <v>0</v>
      </c>
      <c r="AV31" s="17">
        <f t="shared" si="14"/>
        <v>0</v>
      </c>
      <c r="AW31" s="17">
        <f t="shared" si="14"/>
        <v>0</v>
      </c>
      <c r="AX31" s="17">
        <f t="shared" si="14"/>
        <v>0</v>
      </c>
    </row>
    <row r="32" spans="1:50" ht="15" customHeight="1">
      <c r="A32" s="86"/>
      <c r="B32" s="11"/>
      <c r="D32" s="1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71"/>
      <c r="X32" s="7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</row>
    <row r="33" spans="1:50" ht="15" customHeight="1">
      <c r="A33"/>
      <c r="B33" s="12" t="s">
        <v>455</v>
      </c>
      <c r="C33" s="13"/>
      <c r="D33" s="13"/>
      <c r="E33" s="13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</row>
    <row r="34" spans="1:50" ht="15" customHeight="1">
      <c r="A34" s="11"/>
      <c r="B34" s="11"/>
      <c r="D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</row>
    <row r="35" spans="1:50" ht="15" customHeight="1">
      <c r="A35"/>
      <c r="B35" s="11"/>
      <c r="C35" s="56" t="s">
        <v>456</v>
      </c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</row>
    <row r="36" spans="1:50" ht="15" customHeight="1">
      <c r="A36" s="11"/>
      <c r="C36" s="90"/>
      <c r="D36" s="11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</row>
    <row r="37" spans="1:50" ht="15" customHeight="1">
      <c r="A37" s="11"/>
      <c r="C37" s="90"/>
      <c r="D37" s="11"/>
      <c r="E37" s="103" t="s">
        <v>133</v>
      </c>
      <c r="G37" s="11" t="s">
        <v>449</v>
      </c>
      <c r="K37" s="16">
        <f>Inputs!K37* K$13</f>
        <v>8.8326464256000019</v>
      </c>
      <c r="L37" s="16">
        <f>Inputs!L37* L$13</f>
        <v>9.0092993541120023</v>
      </c>
      <c r="M37" s="16">
        <f>Inputs!M37* M$13</f>
        <v>9.1894853411942421</v>
      </c>
      <c r="N37" s="16">
        <f>Inputs!N37* N$13</f>
        <v>9.3732750480181277</v>
      </c>
      <c r="O37" s="16">
        <f>Inputs!O37* O$13</f>
        <v>9.5607405489784902</v>
      </c>
      <c r="P37" s="16">
        <f>Inputs!P37* P$13</f>
        <v>9.7519553599580604</v>
      </c>
      <c r="Q37" s="16">
        <f>Inputs!Q37* Q$13</f>
        <v>9.9469944671572215</v>
      </c>
      <c r="R37" s="16">
        <f>Inputs!R37* R$13</f>
        <v>10.145934356500366</v>
      </c>
      <c r="S37" s="16">
        <f>Inputs!S37* S$13</f>
        <v>10.348853043630374</v>
      </c>
      <c r="T37" s="16">
        <f>Inputs!T37* T$13</f>
        <v>10.555830104502983</v>
      </c>
      <c r="U37" s="16">
        <f>Inputs!U37* U$13</f>
        <v>10.766946706593043</v>
      </c>
      <c r="V37" s="16">
        <f>Inputs!V37* V$13</f>
        <v>10.982285640724903</v>
      </c>
      <c r="W37" s="16">
        <f>Inputs!W37* W$13</f>
        <v>11.201931353539402</v>
      </c>
      <c r="X37" s="16">
        <f>Inputs!X37* X$13</f>
        <v>11.425969980610191</v>
      </c>
      <c r="Y37" s="16">
        <f>Inputs!Y37* Y$13</f>
        <v>11.654489380222394</v>
      </c>
      <c r="Z37" s="16">
        <f>Inputs!Z37* Z$13</f>
        <v>11.887579167826843</v>
      </c>
      <c r="AA37" s="16">
        <f>Inputs!AA37* AA$13</f>
        <v>12.12533075118338</v>
      </c>
      <c r="AB37" s="16">
        <f>Inputs!AB37* AB$13</f>
        <v>12.367837366207048</v>
      </c>
      <c r="AC37" s="16">
        <f>Inputs!AC37* AC$13</f>
        <v>12.61519411353119</v>
      </c>
      <c r="AD37" s="16">
        <f>Inputs!AD37* AD$13</f>
        <v>12.867497995801815</v>
      </c>
      <c r="AE37" s="16">
        <f>Inputs!AE37* AE$13</f>
        <v>13.124847955717851</v>
      </c>
      <c r="AF37" s="16">
        <f>Inputs!AF37* AF$13</f>
        <v>13.387344914832207</v>
      </c>
      <c r="AG37" s="16">
        <f>Inputs!AG37* AG$13</f>
        <v>13.655091813128852</v>
      </c>
      <c r="AH37" s="16">
        <f>Inputs!AH37* AH$13</f>
        <v>13.92819364939143</v>
      </c>
      <c r="AI37" s="16">
        <f>Inputs!AI37* AI$13</f>
        <v>14.206757522379259</v>
      </c>
      <c r="AJ37" s="16">
        <f>Inputs!AJ37* AJ$13</f>
        <v>0</v>
      </c>
      <c r="AK37" s="16">
        <f>Inputs!AK37* AK$13</f>
        <v>0</v>
      </c>
      <c r="AL37" s="16">
        <f>Inputs!AL37* AL$13</f>
        <v>0</v>
      </c>
      <c r="AM37" s="16">
        <f>Inputs!AM37* AM$13</f>
        <v>0</v>
      </c>
      <c r="AN37" s="16">
        <f>Inputs!AN37* AN$13</f>
        <v>0</v>
      </c>
      <c r="AO37" s="16">
        <f>Inputs!AO37* AO$13</f>
        <v>0</v>
      </c>
      <c r="AP37" s="16">
        <f>Inputs!AP37* AP$13</f>
        <v>0</v>
      </c>
      <c r="AQ37" s="16">
        <f>Inputs!AQ37* AQ$13</f>
        <v>0</v>
      </c>
      <c r="AR37" s="16">
        <f>Inputs!AR37* AR$13</f>
        <v>0</v>
      </c>
      <c r="AS37" s="16">
        <f>Inputs!AS37* AS$13</f>
        <v>0</v>
      </c>
      <c r="AT37" s="16">
        <f>Inputs!AT37* AT$13</f>
        <v>0</v>
      </c>
      <c r="AU37" s="16">
        <f>Inputs!AU37* AU$13</f>
        <v>0</v>
      </c>
      <c r="AV37" s="16">
        <f>Inputs!AV37* AV$13</f>
        <v>0</v>
      </c>
      <c r="AW37" s="16">
        <f>Inputs!AW37* AW$13</f>
        <v>0</v>
      </c>
      <c r="AX37" s="16">
        <f>Inputs!AX37* AX$13</f>
        <v>0</v>
      </c>
    </row>
    <row r="38" spans="1:50" ht="15" customHeight="1">
      <c r="A38" s="11"/>
      <c r="C38" s="90"/>
      <c r="D38" s="11"/>
      <c r="E38" s="103" t="s">
        <v>381</v>
      </c>
      <c r="G38" s="11" t="s">
        <v>449</v>
      </c>
      <c r="K38" s="16">
        <f>Inputs!K38* K$13</f>
        <v>0</v>
      </c>
      <c r="L38" s="16">
        <f>Inputs!L38* L$13</f>
        <v>0</v>
      </c>
      <c r="M38" s="16">
        <f>Inputs!M38* M$13</f>
        <v>0</v>
      </c>
      <c r="N38" s="16">
        <f>Inputs!N38* N$13</f>
        <v>0</v>
      </c>
      <c r="O38" s="16">
        <f>Inputs!O38* O$13</f>
        <v>0</v>
      </c>
      <c r="P38" s="16">
        <f>Inputs!P38* P$13</f>
        <v>0</v>
      </c>
      <c r="Q38" s="16">
        <f>Inputs!Q38* Q$13</f>
        <v>0</v>
      </c>
      <c r="R38" s="16">
        <f>Inputs!R38* R$13</f>
        <v>0</v>
      </c>
      <c r="S38" s="16">
        <f>Inputs!S38* S$13</f>
        <v>0</v>
      </c>
      <c r="T38" s="16">
        <f>Inputs!T38* T$13</f>
        <v>0</v>
      </c>
      <c r="U38" s="16">
        <f>Inputs!U38* U$13</f>
        <v>0</v>
      </c>
      <c r="V38" s="16">
        <f>Inputs!V38* V$13</f>
        <v>0</v>
      </c>
      <c r="W38" s="16">
        <f>Inputs!W38* W$13</f>
        <v>0</v>
      </c>
      <c r="X38" s="16">
        <f>Inputs!X38* X$13</f>
        <v>0</v>
      </c>
      <c r="Y38" s="16">
        <f>Inputs!Y38* Y$13</f>
        <v>0</v>
      </c>
      <c r="Z38" s="16">
        <f>Inputs!Z38* Z$13</f>
        <v>0</v>
      </c>
      <c r="AA38" s="16">
        <f>Inputs!AA38* AA$13</f>
        <v>0</v>
      </c>
      <c r="AB38" s="16">
        <f>Inputs!AB38* AB$13</f>
        <v>0</v>
      </c>
      <c r="AC38" s="16">
        <f>Inputs!AC38* AC$13</f>
        <v>0</v>
      </c>
      <c r="AD38" s="16">
        <f>Inputs!AD38* AD$13</f>
        <v>0</v>
      </c>
      <c r="AE38" s="16">
        <f>Inputs!AE38* AE$13</f>
        <v>0</v>
      </c>
      <c r="AF38" s="16">
        <f>Inputs!AF38* AF$13</f>
        <v>0</v>
      </c>
      <c r="AG38" s="16">
        <f>Inputs!AG38* AG$13</f>
        <v>0</v>
      </c>
      <c r="AH38" s="16">
        <f>Inputs!AH38* AH$13</f>
        <v>0</v>
      </c>
      <c r="AI38" s="16">
        <f>Inputs!AI38* AI$13</f>
        <v>0</v>
      </c>
      <c r="AJ38" s="16">
        <f>Inputs!AJ38* AJ$13</f>
        <v>0</v>
      </c>
      <c r="AK38" s="16">
        <f>Inputs!AK38* AK$13</f>
        <v>0</v>
      </c>
      <c r="AL38" s="16">
        <f>Inputs!AL38* AL$13</f>
        <v>0</v>
      </c>
      <c r="AM38" s="16">
        <f>Inputs!AM38* AM$13</f>
        <v>0</v>
      </c>
      <c r="AN38" s="16">
        <f>Inputs!AN38* AN$13</f>
        <v>0</v>
      </c>
      <c r="AO38" s="16">
        <f>Inputs!AO38* AO$13</f>
        <v>0</v>
      </c>
      <c r="AP38" s="16">
        <f>Inputs!AP38* AP$13</f>
        <v>0</v>
      </c>
      <c r="AQ38" s="16">
        <f>Inputs!AQ38* AQ$13</f>
        <v>0</v>
      </c>
      <c r="AR38" s="16">
        <f>Inputs!AR38* AR$13</f>
        <v>0</v>
      </c>
      <c r="AS38" s="16">
        <f>Inputs!AS38* AS$13</f>
        <v>0</v>
      </c>
      <c r="AT38" s="16">
        <f>Inputs!AT38* AT$13</f>
        <v>0</v>
      </c>
      <c r="AU38" s="16">
        <f>Inputs!AU38* AU$13</f>
        <v>0</v>
      </c>
      <c r="AV38" s="16">
        <f>Inputs!AV38* AV$13</f>
        <v>0</v>
      </c>
      <c r="AW38" s="16">
        <f>Inputs!AW38* AW$13</f>
        <v>0</v>
      </c>
      <c r="AX38" s="16">
        <f>Inputs!AX38* AX$13</f>
        <v>0</v>
      </c>
    </row>
    <row r="39" spans="1:50" ht="15" customHeight="1">
      <c r="A39" s="1"/>
      <c r="B39" s="1"/>
      <c r="C39" s="1"/>
      <c r="D39" s="1"/>
      <c r="E39" s="173" t="s">
        <v>448</v>
      </c>
      <c r="F39" s="1"/>
      <c r="G39" s="11" t="s">
        <v>449</v>
      </c>
      <c r="H39" s="1"/>
      <c r="I39" s="174"/>
      <c r="J39" s="1"/>
      <c r="K39" s="143">
        <f t="shared" ref="K39:AI39" si="15">SUM(K37:K38)</f>
        <v>8.8326464256000019</v>
      </c>
      <c r="L39" s="143">
        <f t="shared" si="15"/>
        <v>9.0092993541120023</v>
      </c>
      <c r="M39" s="143">
        <f t="shared" si="15"/>
        <v>9.1894853411942421</v>
      </c>
      <c r="N39" s="143">
        <f t="shared" si="15"/>
        <v>9.3732750480181277</v>
      </c>
      <c r="O39" s="143">
        <f t="shared" si="15"/>
        <v>9.5607405489784902</v>
      </c>
      <c r="P39" s="143">
        <f t="shared" si="15"/>
        <v>9.7519553599580604</v>
      </c>
      <c r="Q39" s="143">
        <f t="shared" si="15"/>
        <v>9.9469944671572215</v>
      </c>
      <c r="R39" s="143">
        <f t="shared" si="15"/>
        <v>10.145934356500366</v>
      </c>
      <c r="S39" s="143">
        <f t="shared" si="15"/>
        <v>10.348853043630374</v>
      </c>
      <c r="T39" s="143">
        <f t="shared" si="15"/>
        <v>10.555830104502983</v>
      </c>
      <c r="U39" s="143">
        <f t="shared" si="15"/>
        <v>10.766946706593043</v>
      </c>
      <c r="V39" s="143">
        <f t="shared" si="15"/>
        <v>10.982285640724903</v>
      </c>
      <c r="W39" s="143">
        <f t="shared" si="15"/>
        <v>11.201931353539402</v>
      </c>
      <c r="X39" s="143">
        <f t="shared" si="15"/>
        <v>11.425969980610191</v>
      </c>
      <c r="Y39" s="143">
        <f t="shared" si="15"/>
        <v>11.654489380222394</v>
      </c>
      <c r="Z39" s="143">
        <f t="shared" si="15"/>
        <v>11.887579167826843</v>
      </c>
      <c r="AA39" s="143">
        <f t="shared" si="15"/>
        <v>12.12533075118338</v>
      </c>
      <c r="AB39" s="143">
        <f t="shared" si="15"/>
        <v>12.367837366207048</v>
      </c>
      <c r="AC39" s="143">
        <f t="shared" si="15"/>
        <v>12.61519411353119</v>
      </c>
      <c r="AD39" s="143">
        <f t="shared" si="15"/>
        <v>12.867497995801815</v>
      </c>
      <c r="AE39" s="143">
        <f t="shared" si="15"/>
        <v>13.124847955717851</v>
      </c>
      <c r="AF39" s="143">
        <f t="shared" si="15"/>
        <v>13.387344914832207</v>
      </c>
      <c r="AG39" s="143">
        <f t="shared" si="15"/>
        <v>13.655091813128852</v>
      </c>
      <c r="AH39" s="143">
        <f t="shared" si="15"/>
        <v>13.92819364939143</v>
      </c>
      <c r="AI39" s="143">
        <f t="shared" si="15"/>
        <v>14.206757522379259</v>
      </c>
      <c r="AJ39" s="143">
        <f t="shared" ref="AJ39:AX39" si="16">SUM(AJ37:AJ38)</f>
        <v>0</v>
      </c>
      <c r="AK39" s="143">
        <f t="shared" si="16"/>
        <v>0</v>
      </c>
      <c r="AL39" s="143">
        <f t="shared" si="16"/>
        <v>0</v>
      </c>
      <c r="AM39" s="143">
        <f t="shared" si="16"/>
        <v>0</v>
      </c>
      <c r="AN39" s="143">
        <f t="shared" si="16"/>
        <v>0</v>
      </c>
      <c r="AO39" s="143">
        <f t="shared" si="16"/>
        <v>0</v>
      </c>
      <c r="AP39" s="143">
        <f t="shared" si="16"/>
        <v>0</v>
      </c>
      <c r="AQ39" s="143">
        <f t="shared" si="16"/>
        <v>0</v>
      </c>
      <c r="AR39" s="143">
        <f t="shared" si="16"/>
        <v>0</v>
      </c>
      <c r="AS39" s="143">
        <f t="shared" si="16"/>
        <v>0</v>
      </c>
      <c r="AT39" s="143">
        <f t="shared" si="16"/>
        <v>0</v>
      </c>
      <c r="AU39" s="143">
        <f t="shared" si="16"/>
        <v>0</v>
      </c>
      <c r="AV39" s="143">
        <f t="shared" si="16"/>
        <v>0</v>
      </c>
      <c r="AW39" s="143">
        <f t="shared" si="16"/>
        <v>0</v>
      </c>
      <c r="AX39" s="143">
        <f t="shared" si="16"/>
        <v>0</v>
      </c>
    </row>
    <row r="40" spans="1:50" ht="15" customHeight="1">
      <c r="A40" s="11"/>
      <c r="C40" s="90"/>
      <c r="D40" s="11"/>
      <c r="O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5"/>
      <c r="AC40" s="175"/>
      <c r="AD40" s="175"/>
      <c r="AE40" s="175"/>
      <c r="AF40" s="175"/>
      <c r="AG40" s="175"/>
      <c r="AH40" s="175"/>
      <c r="AI40" s="175"/>
      <c r="AJ40" s="175"/>
      <c r="AK40" s="175"/>
      <c r="AL40" s="175"/>
      <c r="AM40" s="175"/>
      <c r="AN40" s="175"/>
      <c r="AO40" s="175"/>
      <c r="AP40" s="175"/>
      <c r="AQ40" s="175"/>
      <c r="AR40" s="175"/>
      <c r="AS40" s="175"/>
      <c r="AT40" s="175"/>
      <c r="AU40" s="175"/>
      <c r="AV40" s="175"/>
      <c r="AW40" s="175"/>
      <c r="AX40" s="175"/>
    </row>
    <row r="41" spans="1:50" ht="15" customHeight="1">
      <c r="A41"/>
      <c r="B41" s="11"/>
      <c r="C41" s="56" t="s">
        <v>457</v>
      </c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</row>
    <row r="42" spans="1:50" ht="15" customHeight="1">
      <c r="A42" s="11"/>
      <c r="D42" s="11"/>
      <c r="O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</row>
    <row r="43" spans="1:50" ht="15" customHeight="1">
      <c r="A43" s="11"/>
      <c r="B43" s="11"/>
      <c r="D43" s="11"/>
      <c r="E43" s="77" t="s">
        <v>242</v>
      </c>
      <c r="G43" s="77" t="str">
        <f>Inputs!G166</f>
        <v>%</v>
      </c>
      <c r="J43" s="176"/>
      <c r="K43" s="141">
        <f>Inputs!K166</f>
        <v>0.06</v>
      </c>
      <c r="L43" s="141">
        <f>Inputs!L166</f>
        <v>0.06</v>
      </c>
      <c r="M43" s="141">
        <f>Inputs!M166</f>
        <v>0.06</v>
      </c>
      <c r="N43" s="141">
        <f>Inputs!N166</f>
        <v>0.06</v>
      </c>
      <c r="O43" s="141">
        <f>Inputs!O166</f>
        <v>0.06</v>
      </c>
      <c r="P43" s="141">
        <f>Inputs!P166</f>
        <v>0.06</v>
      </c>
      <c r="Q43" s="141">
        <f>Inputs!Q166</f>
        <v>0.06</v>
      </c>
      <c r="R43" s="141">
        <f>Inputs!R166</f>
        <v>0.06</v>
      </c>
      <c r="S43" s="141">
        <f>Inputs!S166</f>
        <v>0.06</v>
      </c>
      <c r="T43" s="141">
        <f>Inputs!T166</f>
        <v>0.06</v>
      </c>
      <c r="U43" s="141">
        <f>Inputs!U166</f>
        <v>0.06</v>
      </c>
      <c r="V43" s="141">
        <f>Inputs!V166</f>
        <v>0.06</v>
      </c>
      <c r="W43" s="141">
        <f>Inputs!W166</f>
        <v>0.06</v>
      </c>
      <c r="X43" s="141">
        <f>Inputs!X166</f>
        <v>0.06</v>
      </c>
      <c r="Y43" s="141">
        <f>Inputs!Y166</f>
        <v>0.06</v>
      </c>
      <c r="Z43" s="141">
        <f>Inputs!Z166</f>
        <v>0.06</v>
      </c>
      <c r="AA43" s="141">
        <f>Inputs!AA166</f>
        <v>0.06</v>
      </c>
      <c r="AB43" s="141">
        <f>Inputs!AB166</f>
        <v>0.06</v>
      </c>
      <c r="AC43" s="141">
        <f>Inputs!AC166</f>
        <v>0.06</v>
      </c>
      <c r="AD43" s="141">
        <f>Inputs!AD166</f>
        <v>0.06</v>
      </c>
      <c r="AE43" s="141">
        <f>Inputs!AE166</f>
        <v>0.06</v>
      </c>
      <c r="AF43" s="141">
        <f>Inputs!AF166</f>
        <v>0.06</v>
      </c>
      <c r="AG43" s="141">
        <f>Inputs!AG166</f>
        <v>0.06</v>
      </c>
      <c r="AH43" s="141">
        <f>Inputs!AH166</f>
        <v>0.06</v>
      </c>
      <c r="AI43" s="141">
        <f>Inputs!AI166</f>
        <v>0.06</v>
      </c>
      <c r="AJ43" s="141">
        <f>Inputs!AJ166</f>
        <v>0.06</v>
      </c>
      <c r="AK43" s="141">
        <f>Inputs!AK166</f>
        <v>0.06</v>
      </c>
      <c r="AL43" s="141">
        <f>Inputs!AL166</f>
        <v>0.06</v>
      </c>
      <c r="AM43" s="141">
        <f>Inputs!AM166</f>
        <v>0.06</v>
      </c>
      <c r="AN43" s="141">
        <f>Inputs!AN166</f>
        <v>0.06</v>
      </c>
      <c r="AO43" s="141">
        <f>Inputs!AO166</f>
        <v>0.06</v>
      </c>
      <c r="AP43" s="141">
        <f>Inputs!AP166</f>
        <v>0.06</v>
      </c>
      <c r="AQ43" s="141">
        <f>Inputs!AQ166</f>
        <v>0.06</v>
      </c>
      <c r="AR43" s="141">
        <f>Inputs!AR166</f>
        <v>0.06</v>
      </c>
      <c r="AS43" s="141">
        <f>Inputs!AS166</f>
        <v>0.06</v>
      </c>
      <c r="AT43" s="141">
        <f>Inputs!AT166</f>
        <v>0.06</v>
      </c>
      <c r="AU43" s="141">
        <f>Inputs!AU166</f>
        <v>0.06</v>
      </c>
      <c r="AV43" s="141">
        <f>Inputs!AV166</f>
        <v>0.06</v>
      </c>
      <c r="AW43" s="141">
        <f>Inputs!AW166</f>
        <v>0.06</v>
      </c>
      <c r="AX43" s="141">
        <f>Inputs!AX166</f>
        <v>0.06</v>
      </c>
    </row>
    <row r="44" spans="1:50" ht="15" customHeight="1">
      <c r="A44" s="11"/>
      <c r="B44" s="11"/>
      <c r="D44" s="11"/>
      <c r="E44" s="11" t="s">
        <v>368</v>
      </c>
      <c r="G44" s="11" t="str">
        <f>Inputs!G142</f>
        <v>full years</v>
      </c>
      <c r="I44" s="177">
        <f>Inputs!I142</f>
        <v>25</v>
      </c>
      <c r="J44" s="176"/>
      <c r="K44" s="175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  <c r="AA44" s="175"/>
      <c r="AB44" s="175"/>
      <c r="AC44" s="175"/>
      <c r="AD44" s="175"/>
      <c r="AE44" s="175"/>
      <c r="AF44" s="175"/>
      <c r="AG44" s="175"/>
      <c r="AH44" s="175"/>
      <c r="AI44" s="175"/>
      <c r="AJ44" s="175"/>
      <c r="AK44" s="175"/>
      <c r="AL44" s="175"/>
      <c r="AM44" s="175"/>
      <c r="AN44" s="175"/>
      <c r="AO44" s="175"/>
      <c r="AP44" s="175"/>
      <c r="AQ44" s="175"/>
      <c r="AR44" s="175"/>
      <c r="AS44" s="175"/>
      <c r="AT44" s="175"/>
      <c r="AU44" s="175"/>
      <c r="AV44" s="175"/>
      <c r="AW44" s="175"/>
      <c r="AX44" s="175"/>
    </row>
    <row r="45" spans="1:50" ht="15" customHeight="1">
      <c r="A45" s="11"/>
      <c r="B45" s="11"/>
      <c r="D45" s="1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</row>
    <row r="46" spans="1:50" ht="15" customHeight="1">
      <c r="A46" s="11"/>
      <c r="B46" s="11"/>
      <c r="D46" s="11"/>
      <c r="E46" s="11" t="s">
        <v>458</v>
      </c>
      <c r="G46" s="11" t="s">
        <v>449</v>
      </c>
      <c r="J46" s="1"/>
      <c r="K46" s="138">
        <f t="shared" ref="K46:AI46" si="17">J52</f>
        <v>0</v>
      </c>
      <c r="L46" s="138">
        <f t="shared" si="17"/>
        <v>423</v>
      </c>
      <c r="M46" s="138">
        <f t="shared" si="17"/>
        <v>397.62</v>
      </c>
      <c r="N46" s="138">
        <f t="shared" si="17"/>
        <v>373.76280000000003</v>
      </c>
      <c r="O46" s="138">
        <f t="shared" si="17"/>
        <v>351.33703200000002</v>
      </c>
      <c r="P46" s="138">
        <f t="shared" si="17"/>
        <v>330.25681008000004</v>
      </c>
      <c r="Q46" s="138">
        <f t="shared" si="17"/>
        <v>310.44140147520005</v>
      </c>
      <c r="R46" s="138">
        <f t="shared" si="17"/>
        <v>291.81491738668808</v>
      </c>
      <c r="S46" s="138">
        <f t="shared" si="17"/>
        <v>275.14810920789921</v>
      </c>
      <c r="T46" s="138">
        <f t="shared" si="17"/>
        <v>259.09963053104048</v>
      </c>
      <c r="U46" s="138">
        <f t="shared" si="17"/>
        <v>243.79571388559935</v>
      </c>
      <c r="V46" s="138">
        <f t="shared" si="17"/>
        <v>229.65175415979468</v>
      </c>
      <c r="W46" s="138">
        <f t="shared" si="17"/>
        <v>216.85083606813936</v>
      </c>
      <c r="X46" s="138">
        <f t="shared" si="17"/>
        <v>205.67620159922475</v>
      </c>
      <c r="Y46" s="138">
        <f t="shared" si="17"/>
        <v>193.72652793304084</v>
      </c>
      <c r="Z46" s="138">
        <f t="shared" si="17"/>
        <v>182.5003425250153</v>
      </c>
      <c r="AA46" s="138">
        <f t="shared" si="17"/>
        <v>173.80908253081913</v>
      </c>
      <c r="AB46" s="138">
        <f t="shared" si="17"/>
        <v>163.79399906015234</v>
      </c>
      <c r="AC46" s="138">
        <f t="shared" si="17"/>
        <v>154.38948014821929</v>
      </c>
      <c r="AD46" s="138">
        <f t="shared" si="17"/>
        <v>145.55627666434827</v>
      </c>
      <c r="AE46" s="138">
        <f t="shared" si="17"/>
        <v>137.33254669783776</v>
      </c>
      <c r="AF46" s="138">
        <f t="shared" si="17"/>
        <v>130.41211090138253</v>
      </c>
      <c r="AG46" s="138">
        <f t="shared" si="17"/>
        <v>124.2238760374683</v>
      </c>
      <c r="AH46" s="138">
        <f t="shared" si="17"/>
        <v>117.23606825714101</v>
      </c>
      <c r="AI46" s="138">
        <f t="shared" si="17"/>
        <v>110.73320761539705</v>
      </c>
      <c r="AJ46" s="138">
        <f t="shared" ref="AJ46" si="18">AI52</f>
        <v>0</v>
      </c>
      <c r="AK46" s="138">
        <f t="shared" ref="AK46" si="19">AJ52</f>
        <v>0</v>
      </c>
      <c r="AL46" s="138">
        <f t="shared" ref="AL46" si="20">AK52</f>
        <v>0</v>
      </c>
      <c r="AM46" s="138">
        <f t="shared" ref="AM46" si="21">AL52</f>
        <v>0</v>
      </c>
      <c r="AN46" s="138">
        <f t="shared" ref="AN46" si="22">AM52</f>
        <v>0</v>
      </c>
      <c r="AO46" s="138">
        <f t="shared" ref="AO46" si="23">AN52</f>
        <v>0</v>
      </c>
      <c r="AP46" s="138">
        <f t="shared" ref="AP46" si="24">AO52</f>
        <v>0</v>
      </c>
      <c r="AQ46" s="138">
        <f t="shared" ref="AQ46" si="25">AP52</f>
        <v>0</v>
      </c>
      <c r="AR46" s="138">
        <f t="shared" ref="AR46" si="26">AQ52</f>
        <v>0</v>
      </c>
      <c r="AS46" s="138">
        <f t="shared" ref="AS46" si="27">AR52</f>
        <v>0</v>
      </c>
      <c r="AT46" s="138">
        <f t="shared" ref="AT46" si="28">AS52</f>
        <v>0</v>
      </c>
      <c r="AU46" s="138">
        <f t="shared" ref="AU46" si="29">AT52</f>
        <v>0</v>
      </c>
      <c r="AV46" s="138">
        <f t="shared" ref="AV46" si="30">AU52</f>
        <v>0</v>
      </c>
      <c r="AW46" s="138">
        <f t="shared" ref="AW46" si="31">AV52</f>
        <v>0</v>
      </c>
      <c r="AX46" s="138">
        <f t="shared" ref="AX46" si="32">AW52</f>
        <v>0</v>
      </c>
    </row>
    <row r="47" spans="1:50" ht="15" customHeight="1">
      <c r="A47" s="11"/>
      <c r="D47" s="11"/>
      <c r="E47" s="103" t="s">
        <v>78</v>
      </c>
      <c r="G47" s="11" t="s">
        <v>449</v>
      </c>
      <c r="K47" s="16">
        <f>SUMPRODUCT(Pre_Op_RAV!K21:AX21,Inputs!K23:AX23)</f>
        <v>450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</row>
    <row r="48" spans="1:50" ht="15" customHeight="1">
      <c r="A48" s="11"/>
      <c r="D48" s="11"/>
      <c r="E48" s="103" t="s">
        <v>131</v>
      </c>
      <c r="G48" s="11" t="s">
        <v>449</v>
      </c>
      <c r="K48" s="16">
        <f>Op_Rav!K14 * K$13</f>
        <v>0</v>
      </c>
      <c r="L48" s="16">
        <f>Op_Rav!L14 * L$13</f>
        <v>0</v>
      </c>
      <c r="M48" s="16">
        <f>Op_Rav!M14 * M$13</f>
        <v>0</v>
      </c>
      <c r="N48" s="16">
        <f>Op_Rav!N14 * N$13</f>
        <v>0</v>
      </c>
      <c r="O48" s="16">
        <f>Op_Rav!O14 * O$13</f>
        <v>0</v>
      </c>
      <c r="P48" s="16">
        <f>Op_Rav!P14 * P$13</f>
        <v>0</v>
      </c>
      <c r="Q48" s="16">
        <f>Op_Rav!Q14 * Q$13</f>
        <v>0</v>
      </c>
      <c r="R48" s="16">
        <f>Op_Rav!R14 * R$13</f>
        <v>0.89583708980048593</v>
      </c>
      <c r="S48" s="16">
        <f>Op_Rav!S14 * S$13</f>
        <v>0.48979561235662566</v>
      </c>
      <c r="T48" s="16">
        <f>Op_Rav!T14 * T$13</f>
        <v>0.25751190044820321</v>
      </c>
      <c r="U48" s="16">
        <f>Op_Rav!U14 * U$13</f>
        <v>0.514662880139658</v>
      </c>
      <c r="V48" s="16">
        <f>Op_Rav!V14 * V$13</f>
        <v>1.0406246360982681</v>
      </c>
      <c r="W48" s="16">
        <f>Op_Rav!W14 * W$13</f>
        <v>1.9536337182699506</v>
      </c>
      <c r="X48" s="16">
        <f>Op_Rav!X14 * X$13</f>
        <v>0.41584939337187693</v>
      </c>
      <c r="Y48" s="16">
        <f>Op_Rav!Y14 * Y$13</f>
        <v>0.42277262548606587</v>
      </c>
      <c r="Z48" s="16">
        <f>Op_Rav!Z14 * Z$13</f>
        <v>2.4029367630901368</v>
      </c>
      <c r="AA48" s="16">
        <f>Op_Rav!AA14 * AA$13</f>
        <v>0.43985263955570297</v>
      </c>
      <c r="AB48" s="16">
        <f>Op_Rav!AB14 * AB$13</f>
        <v>0.45012875710221045</v>
      </c>
      <c r="AC48" s="16">
        <f>Op_Rav!AC14 * AC$13</f>
        <v>0.45762268619375346</v>
      </c>
      <c r="AD48" s="16">
        <f>Op_Rav!AD14 * AD$13</f>
        <v>0.54217726952167722</v>
      </c>
      <c r="AE48" s="16">
        <f>Op_Rav!AE14 * AE$13</f>
        <v>1.4037414951223628</v>
      </c>
      <c r="AF48" s="16">
        <f>Op_Rav!AF14 * AF$13</f>
        <v>1.7409487129454577</v>
      </c>
      <c r="AG48" s="16">
        <f>Op_Rav!AG14 * AG$13</f>
        <v>0.49534551268170673</v>
      </c>
      <c r="AH48" s="16">
        <f>Op_Rav!AH14 * AH$13</f>
        <v>0.56521644008988747</v>
      </c>
      <c r="AI48" s="16">
        <f>Op_Rav!AI14 * AI$13</f>
        <v>1.7946897773862971</v>
      </c>
      <c r="AJ48" s="16">
        <f>Op_Rav!AJ14 * AJ$13</f>
        <v>0</v>
      </c>
      <c r="AK48" s="16">
        <f>Op_Rav!AK14 * AK$13</f>
        <v>0</v>
      </c>
      <c r="AL48" s="16">
        <f>Op_Rav!AL14 * AL$13</f>
        <v>0</v>
      </c>
      <c r="AM48" s="16">
        <f>Op_Rav!AM14 * AM$13</f>
        <v>0</v>
      </c>
      <c r="AN48" s="16">
        <f>Op_Rav!AN14 * AN$13</f>
        <v>0</v>
      </c>
      <c r="AO48" s="16">
        <f>Op_Rav!AO14 * AO$13</f>
        <v>0</v>
      </c>
      <c r="AP48" s="16">
        <f>Op_Rav!AP14 * AP$13</f>
        <v>0</v>
      </c>
      <c r="AQ48" s="16">
        <f>Op_Rav!AQ14 * AQ$13</f>
        <v>0</v>
      </c>
      <c r="AR48" s="16">
        <f>Op_Rav!AR14 * AR$13</f>
        <v>0</v>
      </c>
      <c r="AS48" s="16">
        <f>Op_Rav!AS14 * AS$13</f>
        <v>0</v>
      </c>
      <c r="AT48" s="16">
        <f>Op_Rav!AT14 * AT$13</f>
        <v>0</v>
      </c>
      <c r="AU48" s="16">
        <f>Op_Rav!AU14 * AU$13</f>
        <v>0</v>
      </c>
      <c r="AV48" s="16">
        <f>Op_Rav!AV14 * AV$13</f>
        <v>0</v>
      </c>
      <c r="AW48" s="16">
        <f>Op_Rav!AW14 * AW$13</f>
        <v>0</v>
      </c>
      <c r="AX48" s="16">
        <f>Op_Rav!AX14 * AX$13</f>
        <v>0</v>
      </c>
    </row>
    <row r="49" spans="1:50" ht="15" customHeight="1">
      <c r="A49" s="11"/>
      <c r="B49" s="11"/>
      <c r="D49" s="11"/>
      <c r="E49" s="11" t="s">
        <v>459</v>
      </c>
      <c r="G49" s="11" t="s">
        <v>449</v>
      </c>
      <c r="J49" s="1"/>
      <c r="K49" s="136">
        <f>SUM(K46:K48)</f>
        <v>450</v>
      </c>
      <c r="L49" s="136">
        <f t="shared" ref="L49:AI49" si="33">SUM(L46:L48)</f>
        <v>423</v>
      </c>
      <c r="M49" s="136">
        <f t="shared" si="33"/>
        <v>397.62</v>
      </c>
      <c r="N49" s="136">
        <f t="shared" si="33"/>
        <v>373.76280000000003</v>
      </c>
      <c r="O49" s="136">
        <f t="shared" si="33"/>
        <v>351.33703200000002</v>
      </c>
      <c r="P49" s="136">
        <f t="shared" si="33"/>
        <v>330.25681008000004</v>
      </c>
      <c r="Q49" s="136">
        <f t="shared" si="33"/>
        <v>310.44140147520005</v>
      </c>
      <c r="R49" s="136">
        <f t="shared" si="33"/>
        <v>292.71075447648855</v>
      </c>
      <c r="S49" s="136">
        <f t="shared" si="33"/>
        <v>275.63790482025581</v>
      </c>
      <c r="T49" s="136">
        <f t="shared" si="33"/>
        <v>259.35714243148868</v>
      </c>
      <c r="U49" s="136">
        <f t="shared" si="33"/>
        <v>244.31037676573902</v>
      </c>
      <c r="V49" s="136">
        <f t="shared" si="33"/>
        <v>230.69237879589295</v>
      </c>
      <c r="W49" s="136">
        <f t="shared" si="33"/>
        <v>218.8044697864093</v>
      </c>
      <c r="X49" s="136">
        <f t="shared" si="33"/>
        <v>206.09205099259663</v>
      </c>
      <c r="Y49" s="136">
        <f t="shared" si="33"/>
        <v>194.1493005585269</v>
      </c>
      <c r="Z49" s="136">
        <f t="shared" si="33"/>
        <v>184.90327928810544</v>
      </c>
      <c r="AA49" s="136">
        <f t="shared" si="33"/>
        <v>174.24893517037484</v>
      </c>
      <c r="AB49" s="136">
        <f t="shared" si="33"/>
        <v>164.24412781725457</v>
      </c>
      <c r="AC49" s="136">
        <f t="shared" si="33"/>
        <v>154.84710283441305</v>
      </c>
      <c r="AD49" s="136">
        <f t="shared" si="33"/>
        <v>146.09845393386996</v>
      </c>
      <c r="AE49" s="136">
        <f t="shared" si="33"/>
        <v>138.73628819296013</v>
      </c>
      <c r="AF49" s="136">
        <f t="shared" si="33"/>
        <v>132.15305961432799</v>
      </c>
      <c r="AG49" s="136">
        <f t="shared" si="33"/>
        <v>124.71922155015001</v>
      </c>
      <c r="AH49" s="136">
        <f t="shared" si="33"/>
        <v>117.8012846972309</v>
      </c>
      <c r="AI49" s="136">
        <f t="shared" si="33"/>
        <v>112.52789739278334</v>
      </c>
      <c r="AJ49" s="136">
        <f t="shared" ref="AJ49:AX49" si="34">SUM(AJ46:AJ48)</f>
        <v>0</v>
      </c>
      <c r="AK49" s="136">
        <f t="shared" si="34"/>
        <v>0</v>
      </c>
      <c r="AL49" s="136">
        <f t="shared" si="34"/>
        <v>0</v>
      </c>
      <c r="AM49" s="136">
        <f t="shared" si="34"/>
        <v>0</v>
      </c>
      <c r="AN49" s="136">
        <f t="shared" si="34"/>
        <v>0</v>
      </c>
      <c r="AO49" s="136">
        <f t="shared" si="34"/>
        <v>0</v>
      </c>
      <c r="AP49" s="136">
        <f t="shared" si="34"/>
        <v>0</v>
      </c>
      <c r="AQ49" s="136">
        <f t="shared" si="34"/>
        <v>0</v>
      </c>
      <c r="AR49" s="136">
        <f t="shared" si="34"/>
        <v>0</v>
      </c>
      <c r="AS49" s="136">
        <f t="shared" si="34"/>
        <v>0</v>
      </c>
      <c r="AT49" s="136">
        <f t="shared" si="34"/>
        <v>0</v>
      </c>
      <c r="AU49" s="136">
        <f t="shared" si="34"/>
        <v>0</v>
      </c>
      <c r="AV49" s="136">
        <f t="shared" si="34"/>
        <v>0</v>
      </c>
      <c r="AW49" s="136">
        <f t="shared" si="34"/>
        <v>0</v>
      </c>
      <c r="AX49" s="136">
        <f t="shared" si="34"/>
        <v>0</v>
      </c>
    </row>
    <row r="50" spans="1:50" ht="15" customHeight="1">
      <c r="A50" s="11"/>
      <c r="B50" s="11"/>
      <c r="D50" s="11"/>
      <c r="E50" s="11" t="s">
        <v>460</v>
      </c>
      <c r="G50" s="11" t="s">
        <v>449</v>
      </c>
      <c r="J50" s="1"/>
      <c r="K50" s="1">
        <f>-K49 * K43</f>
        <v>-27</v>
      </c>
      <c r="L50" s="1">
        <f t="shared" ref="L50:AI50" si="35">-L49 * L43</f>
        <v>-25.38</v>
      </c>
      <c r="M50" s="1">
        <f t="shared" si="35"/>
        <v>-23.857199999999999</v>
      </c>
      <c r="N50" s="1">
        <f t="shared" si="35"/>
        <v>-22.425768000000001</v>
      </c>
      <c r="O50" s="1">
        <f t="shared" si="35"/>
        <v>-21.08022192</v>
      </c>
      <c r="P50" s="1">
        <f t="shared" si="35"/>
        <v>-19.815408604800002</v>
      </c>
      <c r="Q50" s="1">
        <f t="shared" si="35"/>
        <v>-18.626484088512001</v>
      </c>
      <c r="R50" s="1">
        <f t="shared" si="35"/>
        <v>-17.562645268589311</v>
      </c>
      <c r="S50" s="1">
        <f t="shared" si="35"/>
        <v>-16.538274289215348</v>
      </c>
      <c r="T50" s="1">
        <f t="shared" si="35"/>
        <v>-15.561428545889321</v>
      </c>
      <c r="U50" s="1">
        <f t="shared" si="35"/>
        <v>-14.658622605944341</v>
      </c>
      <c r="V50" s="1">
        <f t="shared" si="35"/>
        <v>-13.841542727753577</v>
      </c>
      <c r="W50" s="1">
        <f t="shared" si="35"/>
        <v>-13.128268187184558</v>
      </c>
      <c r="X50" s="1">
        <f t="shared" si="35"/>
        <v>-12.365523059555796</v>
      </c>
      <c r="Y50" s="1">
        <f t="shared" si="35"/>
        <v>-11.648958033511613</v>
      </c>
      <c r="Z50" s="1">
        <f t="shared" si="35"/>
        <v>-11.094196757286326</v>
      </c>
      <c r="AA50" s="1">
        <f t="shared" si="35"/>
        <v>-10.454936110222489</v>
      </c>
      <c r="AB50" s="1">
        <f t="shared" si="35"/>
        <v>-9.8546476690352733</v>
      </c>
      <c r="AC50" s="1">
        <f t="shared" si="35"/>
        <v>-9.2908261700647827</v>
      </c>
      <c r="AD50" s="1">
        <f t="shared" si="35"/>
        <v>-8.7659072360321968</v>
      </c>
      <c r="AE50" s="1">
        <f t="shared" si="35"/>
        <v>-8.3241772915776071</v>
      </c>
      <c r="AF50" s="1">
        <f t="shared" si="35"/>
        <v>-7.9291835768596792</v>
      </c>
      <c r="AG50" s="1">
        <f t="shared" si="35"/>
        <v>-7.4831532930089999</v>
      </c>
      <c r="AH50" s="1">
        <f t="shared" si="35"/>
        <v>-7.0680770818338532</v>
      </c>
      <c r="AI50" s="1">
        <f t="shared" si="35"/>
        <v>-6.7516738435670005</v>
      </c>
      <c r="AJ50" s="1">
        <f t="shared" ref="AJ50:AX50" si="36">-AJ49 * AJ43</f>
        <v>0</v>
      </c>
      <c r="AK50" s="1">
        <f t="shared" si="36"/>
        <v>0</v>
      </c>
      <c r="AL50" s="1">
        <f t="shared" si="36"/>
        <v>0</v>
      </c>
      <c r="AM50" s="1">
        <f t="shared" si="36"/>
        <v>0</v>
      </c>
      <c r="AN50" s="1">
        <f t="shared" si="36"/>
        <v>0</v>
      </c>
      <c r="AO50" s="1">
        <f t="shared" si="36"/>
        <v>0</v>
      </c>
      <c r="AP50" s="1">
        <f t="shared" si="36"/>
        <v>0</v>
      </c>
      <c r="AQ50" s="1">
        <f t="shared" si="36"/>
        <v>0</v>
      </c>
      <c r="AR50" s="1">
        <f t="shared" si="36"/>
        <v>0</v>
      </c>
      <c r="AS50" s="1">
        <f t="shared" si="36"/>
        <v>0</v>
      </c>
      <c r="AT50" s="1">
        <f t="shared" si="36"/>
        <v>0</v>
      </c>
      <c r="AU50" s="1">
        <f t="shared" si="36"/>
        <v>0</v>
      </c>
      <c r="AV50" s="1">
        <f t="shared" si="36"/>
        <v>0</v>
      </c>
      <c r="AW50" s="1">
        <f t="shared" si="36"/>
        <v>0</v>
      </c>
      <c r="AX50" s="1">
        <f t="shared" si="36"/>
        <v>0</v>
      </c>
    </row>
    <row r="51" spans="1:50" ht="15" customHeight="1">
      <c r="A51" s="11"/>
      <c r="B51" s="11"/>
      <c r="D51" s="11"/>
      <c r="E51" s="11" t="s">
        <v>461</v>
      </c>
      <c r="G51" s="11" t="s">
        <v>449</v>
      </c>
      <c r="J51" s="1"/>
      <c r="K51" s="1">
        <f>IF($I$44=K4,-SUM(K49:K50), 0)</f>
        <v>0</v>
      </c>
      <c r="L51" s="1">
        <f t="shared" ref="L51:AH51" si="37">IF($I$44=L4,-SUM(L49:L50), 0)</f>
        <v>0</v>
      </c>
      <c r="M51" s="1">
        <f t="shared" si="37"/>
        <v>0</v>
      </c>
      <c r="N51" s="1">
        <f t="shared" si="37"/>
        <v>0</v>
      </c>
      <c r="O51" s="1">
        <f t="shared" si="37"/>
        <v>0</v>
      </c>
      <c r="P51" s="1">
        <f t="shared" si="37"/>
        <v>0</v>
      </c>
      <c r="Q51" s="1">
        <f t="shared" si="37"/>
        <v>0</v>
      </c>
      <c r="R51" s="1">
        <f t="shared" si="37"/>
        <v>0</v>
      </c>
      <c r="S51" s="1">
        <f t="shared" si="37"/>
        <v>0</v>
      </c>
      <c r="T51" s="1">
        <f t="shared" si="37"/>
        <v>0</v>
      </c>
      <c r="U51" s="1">
        <f t="shared" si="37"/>
        <v>0</v>
      </c>
      <c r="V51" s="1">
        <f t="shared" si="37"/>
        <v>0</v>
      </c>
      <c r="W51" s="1">
        <f t="shared" si="37"/>
        <v>0</v>
      </c>
      <c r="X51" s="1">
        <f t="shared" si="37"/>
        <v>0</v>
      </c>
      <c r="Y51" s="1">
        <f t="shared" si="37"/>
        <v>0</v>
      </c>
      <c r="Z51" s="1">
        <f t="shared" si="37"/>
        <v>0</v>
      </c>
      <c r="AA51" s="1">
        <f t="shared" si="37"/>
        <v>0</v>
      </c>
      <c r="AB51" s="1">
        <f t="shared" si="37"/>
        <v>0</v>
      </c>
      <c r="AC51" s="1">
        <f t="shared" si="37"/>
        <v>0</v>
      </c>
      <c r="AD51" s="1">
        <f t="shared" si="37"/>
        <v>0</v>
      </c>
      <c r="AE51" s="1">
        <f t="shared" si="37"/>
        <v>0</v>
      </c>
      <c r="AF51" s="1">
        <f t="shared" si="37"/>
        <v>0</v>
      </c>
      <c r="AG51" s="1">
        <f t="shared" si="37"/>
        <v>0</v>
      </c>
      <c r="AH51" s="1">
        <f t="shared" si="37"/>
        <v>0</v>
      </c>
      <c r="AI51" s="1">
        <f>IF($I$44=AI4,-SUM(AI49:AI50), 0)</f>
        <v>-105.77622354921634</v>
      </c>
      <c r="AJ51" s="1">
        <f>IF($I$44=AJ4,-SUM(AJ49:AJ50), 0)</f>
        <v>0</v>
      </c>
      <c r="AK51" s="1">
        <f t="shared" ref="AK51" si="38">IF($I$44=AK4,-SUM(AK49:AK50), 0)</f>
        <v>0</v>
      </c>
      <c r="AL51" s="1">
        <f t="shared" ref="AL51" si="39">IF($I$44=AL4,-SUM(AL49:AL50), 0)</f>
        <v>0</v>
      </c>
      <c r="AM51" s="1">
        <f t="shared" ref="AM51" si="40">IF($I$44=AM4,-SUM(AM49:AM50), 0)</f>
        <v>0</v>
      </c>
      <c r="AN51" s="1">
        <f t="shared" ref="AN51" si="41">IF($I$44=AN4,-SUM(AN49:AN50), 0)</f>
        <v>0</v>
      </c>
      <c r="AO51" s="1">
        <f t="shared" ref="AO51" si="42">IF($I$44=AO4,-SUM(AO49:AO50), 0)</f>
        <v>0</v>
      </c>
      <c r="AP51" s="1">
        <f t="shared" ref="AP51" si="43">IF($I$44=AP4,-SUM(AP49:AP50), 0)</f>
        <v>0</v>
      </c>
      <c r="AQ51" s="1">
        <f t="shared" ref="AQ51" si="44">IF($I$44=AQ4,-SUM(AQ49:AQ50), 0)</f>
        <v>0</v>
      </c>
      <c r="AR51" s="1">
        <f t="shared" ref="AR51" si="45">IF($I$44=AR4,-SUM(AR49:AR50), 0)</f>
        <v>0</v>
      </c>
      <c r="AS51" s="1">
        <f t="shared" ref="AS51" si="46">IF($I$44=AS4,-SUM(AS49:AS50), 0)</f>
        <v>0</v>
      </c>
      <c r="AT51" s="1">
        <f t="shared" ref="AT51" si="47">IF($I$44=AT4,-SUM(AT49:AT50), 0)</f>
        <v>0</v>
      </c>
      <c r="AU51" s="1">
        <f t="shared" ref="AU51" si="48">IF($I$44=AU4,-SUM(AU49:AU50), 0)</f>
        <v>0</v>
      </c>
      <c r="AV51" s="1">
        <f t="shared" ref="AV51" si="49">IF($I$44=AV4,-SUM(AV49:AV50), 0)</f>
        <v>0</v>
      </c>
      <c r="AW51" s="1">
        <f t="shared" ref="AW51" si="50">IF($I$44=AW4,-SUM(AW49:AW50), 0)</f>
        <v>0</v>
      </c>
      <c r="AX51" s="1">
        <f t="shared" ref="AX51" si="51">IF($I$44=AX4,-SUM(AX49:AX50), 0)</f>
        <v>0</v>
      </c>
    </row>
    <row r="52" spans="1:50" ht="15" customHeight="1">
      <c r="A52" s="11"/>
      <c r="B52" s="11"/>
      <c r="D52" s="11"/>
      <c r="E52" s="11" t="s">
        <v>462</v>
      </c>
      <c r="G52" s="11" t="s">
        <v>449</v>
      </c>
      <c r="J52" s="1"/>
      <c r="K52" s="136">
        <f>SUM(K49:K51)</f>
        <v>423</v>
      </c>
      <c r="L52" s="136">
        <f t="shared" ref="L52:AI52" si="52">SUM(L49:L51)</f>
        <v>397.62</v>
      </c>
      <c r="M52" s="136">
        <f t="shared" si="52"/>
        <v>373.76280000000003</v>
      </c>
      <c r="N52" s="136">
        <f t="shared" si="52"/>
        <v>351.33703200000002</v>
      </c>
      <c r="O52" s="136">
        <f t="shared" si="52"/>
        <v>330.25681008000004</v>
      </c>
      <c r="P52" s="136">
        <f t="shared" si="52"/>
        <v>310.44140147520005</v>
      </c>
      <c r="Q52" s="136">
        <f t="shared" si="52"/>
        <v>291.81491738668808</v>
      </c>
      <c r="R52" s="136">
        <f t="shared" si="52"/>
        <v>275.14810920789921</v>
      </c>
      <c r="S52" s="136">
        <f t="shared" si="52"/>
        <v>259.09963053104048</v>
      </c>
      <c r="T52" s="136">
        <f t="shared" si="52"/>
        <v>243.79571388559935</v>
      </c>
      <c r="U52" s="136">
        <f t="shared" si="52"/>
        <v>229.65175415979468</v>
      </c>
      <c r="V52" s="136">
        <f t="shared" si="52"/>
        <v>216.85083606813936</v>
      </c>
      <c r="W52" s="136">
        <f t="shared" si="52"/>
        <v>205.67620159922475</v>
      </c>
      <c r="X52" s="136">
        <f t="shared" si="52"/>
        <v>193.72652793304084</v>
      </c>
      <c r="Y52" s="136">
        <f t="shared" si="52"/>
        <v>182.5003425250153</v>
      </c>
      <c r="Z52" s="136">
        <f t="shared" si="52"/>
        <v>173.80908253081913</v>
      </c>
      <c r="AA52" s="136">
        <f t="shared" si="52"/>
        <v>163.79399906015234</v>
      </c>
      <c r="AB52" s="136">
        <f t="shared" si="52"/>
        <v>154.38948014821929</v>
      </c>
      <c r="AC52" s="136">
        <f t="shared" si="52"/>
        <v>145.55627666434827</v>
      </c>
      <c r="AD52" s="136">
        <f t="shared" si="52"/>
        <v>137.33254669783776</v>
      </c>
      <c r="AE52" s="136">
        <f t="shared" si="52"/>
        <v>130.41211090138253</v>
      </c>
      <c r="AF52" s="136">
        <f t="shared" si="52"/>
        <v>124.2238760374683</v>
      </c>
      <c r="AG52" s="136">
        <f t="shared" si="52"/>
        <v>117.23606825714101</v>
      </c>
      <c r="AH52" s="136">
        <f t="shared" si="52"/>
        <v>110.73320761539705</v>
      </c>
      <c r="AI52" s="136">
        <f t="shared" si="52"/>
        <v>0</v>
      </c>
      <c r="AJ52" s="136">
        <f t="shared" ref="AJ52:AX52" si="53">SUM(AJ49:AJ51)</f>
        <v>0</v>
      </c>
      <c r="AK52" s="136">
        <f t="shared" si="53"/>
        <v>0</v>
      </c>
      <c r="AL52" s="136">
        <f t="shared" si="53"/>
        <v>0</v>
      </c>
      <c r="AM52" s="136">
        <f t="shared" si="53"/>
        <v>0</v>
      </c>
      <c r="AN52" s="136">
        <f t="shared" si="53"/>
        <v>0</v>
      </c>
      <c r="AO52" s="136">
        <f t="shared" si="53"/>
        <v>0</v>
      </c>
      <c r="AP52" s="136">
        <f t="shared" si="53"/>
        <v>0</v>
      </c>
      <c r="AQ52" s="136">
        <f t="shared" si="53"/>
        <v>0</v>
      </c>
      <c r="AR52" s="136">
        <f t="shared" si="53"/>
        <v>0</v>
      </c>
      <c r="AS52" s="136">
        <f t="shared" si="53"/>
        <v>0</v>
      </c>
      <c r="AT52" s="136">
        <f t="shared" si="53"/>
        <v>0</v>
      </c>
      <c r="AU52" s="136">
        <f t="shared" si="53"/>
        <v>0</v>
      </c>
      <c r="AV52" s="136">
        <f t="shared" si="53"/>
        <v>0</v>
      </c>
      <c r="AW52" s="136">
        <f t="shared" si="53"/>
        <v>0</v>
      </c>
      <c r="AX52" s="136">
        <f t="shared" si="53"/>
        <v>0</v>
      </c>
    </row>
    <row r="53" spans="1:50" ht="15" customHeight="1">
      <c r="A53" s="11"/>
      <c r="D53" s="1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</row>
    <row r="54" spans="1:50" ht="15" customHeight="1">
      <c r="A54" s="11"/>
      <c r="B54" s="11"/>
      <c r="D54" s="11"/>
      <c r="E54" s="11" t="s">
        <v>450</v>
      </c>
      <c r="G54" s="11" t="s">
        <v>449</v>
      </c>
      <c r="I54" s="139"/>
      <c r="K54" s="143">
        <f t="shared" ref="K54:AI54" si="54">-(K50 + K51)</f>
        <v>27</v>
      </c>
      <c r="L54" s="143">
        <f t="shared" si="54"/>
        <v>25.38</v>
      </c>
      <c r="M54" s="143">
        <f t="shared" si="54"/>
        <v>23.857199999999999</v>
      </c>
      <c r="N54" s="143">
        <f t="shared" si="54"/>
        <v>22.425768000000001</v>
      </c>
      <c r="O54" s="143">
        <f t="shared" si="54"/>
        <v>21.08022192</v>
      </c>
      <c r="P54" s="143">
        <f t="shared" si="54"/>
        <v>19.815408604800002</v>
      </c>
      <c r="Q54" s="143">
        <f t="shared" si="54"/>
        <v>18.626484088512001</v>
      </c>
      <c r="R54" s="143">
        <f t="shared" si="54"/>
        <v>17.562645268589311</v>
      </c>
      <c r="S54" s="143">
        <f t="shared" si="54"/>
        <v>16.538274289215348</v>
      </c>
      <c r="T54" s="143">
        <f t="shared" si="54"/>
        <v>15.561428545889321</v>
      </c>
      <c r="U54" s="143">
        <f t="shared" si="54"/>
        <v>14.658622605944341</v>
      </c>
      <c r="V54" s="143">
        <f t="shared" si="54"/>
        <v>13.841542727753577</v>
      </c>
      <c r="W54" s="143">
        <f t="shared" si="54"/>
        <v>13.128268187184558</v>
      </c>
      <c r="X54" s="143">
        <f t="shared" si="54"/>
        <v>12.365523059555796</v>
      </c>
      <c r="Y54" s="143">
        <f t="shared" si="54"/>
        <v>11.648958033511613</v>
      </c>
      <c r="Z54" s="143">
        <f t="shared" si="54"/>
        <v>11.094196757286326</v>
      </c>
      <c r="AA54" s="143">
        <f t="shared" si="54"/>
        <v>10.454936110222489</v>
      </c>
      <c r="AB54" s="143">
        <f t="shared" si="54"/>
        <v>9.8546476690352733</v>
      </c>
      <c r="AC54" s="143">
        <f t="shared" si="54"/>
        <v>9.2908261700647827</v>
      </c>
      <c r="AD54" s="143">
        <f t="shared" si="54"/>
        <v>8.7659072360321968</v>
      </c>
      <c r="AE54" s="143">
        <f t="shared" si="54"/>
        <v>8.3241772915776071</v>
      </c>
      <c r="AF54" s="143">
        <f t="shared" si="54"/>
        <v>7.9291835768596792</v>
      </c>
      <c r="AG54" s="143">
        <f t="shared" si="54"/>
        <v>7.4831532930089999</v>
      </c>
      <c r="AH54" s="143">
        <f t="shared" si="54"/>
        <v>7.0680770818338532</v>
      </c>
      <c r="AI54" s="143">
        <f t="shared" si="54"/>
        <v>112.52789739278334</v>
      </c>
      <c r="AJ54" s="143">
        <f t="shared" ref="AJ54:AX54" si="55">-(AJ50 + AJ51)</f>
        <v>0</v>
      </c>
      <c r="AK54" s="143">
        <f t="shared" si="55"/>
        <v>0</v>
      </c>
      <c r="AL54" s="143">
        <f t="shared" si="55"/>
        <v>0</v>
      </c>
      <c r="AM54" s="143">
        <f t="shared" si="55"/>
        <v>0</v>
      </c>
      <c r="AN54" s="143">
        <f t="shared" si="55"/>
        <v>0</v>
      </c>
      <c r="AO54" s="143">
        <f t="shared" si="55"/>
        <v>0</v>
      </c>
      <c r="AP54" s="143">
        <f t="shared" si="55"/>
        <v>0</v>
      </c>
      <c r="AQ54" s="143">
        <f t="shared" si="55"/>
        <v>0</v>
      </c>
      <c r="AR54" s="143">
        <f t="shared" si="55"/>
        <v>0</v>
      </c>
      <c r="AS54" s="143">
        <f t="shared" si="55"/>
        <v>0</v>
      </c>
      <c r="AT54" s="143">
        <f t="shared" si="55"/>
        <v>0</v>
      </c>
      <c r="AU54" s="143">
        <f t="shared" si="55"/>
        <v>0</v>
      </c>
      <c r="AV54" s="143">
        <f t="shared" si="55"/>
        <v>0</v>
      </c>
      <c r="AW54" s="143">
        <f t="shared" si="55"/>
        <v>0</v>
      </c>
      <c r="AX54" s="143">
        <f t="shared" si="55"/>
        <v>0</v>
      </c>
    </row>
    <row r="55" spans="1:50" ht="15" customHeight="1">
      <c r="A55" s="11"/>
      <c r="B55" s="11"/>
      <c r="D55" s="11"/>
      <c r="I55" s="13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</row>
    <row r="56" spans="1:50" ht="15" customHeight="1">
      <c r="A56"/>
      <c r="B56" s="12" t="s">
        <v>463</v>
      </c>
      <c r="C56" s="13"/>
      <c r="D56" s="13"/>
      <c r="E56" s="13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</row>
    <row r="57" spans="1:50" ht="15" customHeight="1">
      <c r="A57" s="11"/>
      <c r="B57" s="11"/>
      <c r="D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</row>
    <row r="58" spans="1:50" ht="15" customHeight="1">
      <c r="A58"/>
      <c r="B58" s="11"/>
      <c r="C58" s="56" t="s">
        <v>464</v>
      </c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</row>
    <row r="59" spans="1:50" ht="15" customHeight="1">
      <c r="A59" s="1"/>
      <c r="B59" s="1"/>
      <c r="C59" s="1"/>
      <c r="D59" s="1"/>
      <c r="E59" s="1"/>
      <c r="F59" s="1"/>
      <c r="G59" s="1"/>
      <c r="H59" s="1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1"/>
      <c r="T59" s="1"/>
      <c r="U59" s="1"/>
      <c r="V59" s="1"/>
      <c r="W59" s="175"/>
      <c r="X59" s="175"/>
      <c r="Y59" s="175"/>
      <c r="Z59" s="175"/>
      <c r="AA59" s="175"/>
      <c r="AB59" s="175"/>
      <c r="AC59" s="175"/>
      <c r="AD59" s="175"/>
      <c r="AE59" s="175"/>
      <c r="AF59" s="175"/>
      <c r="AG59" s="175"/>
      <c r="AH59" s="175"/>
      <c r="AI59" s="175"/>
      <c r="AJ59" s="175"/>
      <c r="AK59" s="175"/>
      <c r="AL59" s="175"/>
      <c r="AM59" s="175"/>
      <c r="AN59" s="175"/>
      <c r="AO59" s="175"/>
      <c r="AP59" s="175"/>
      <c r="AQ59" s="175"/>
      <c r="AR59" s="175"/>
      <c r="AS59" s="175"/>
      <c r="AT59" s="175"/>
      <c r="AU59" s="175"/>
      <c r="AV59" s="175"/>
      <c r="AW59" s="175"/>
      <c r="AX59" s="175"/>
    </row>
    <row r="60" spans="1:50" ht="15" customHeight="1">
      <c r="A60" s="1"/>
      <c r="B60" s="1"/>
      <c r="C60" s="1"/>
      <c r="D60" s="1"/>
      <c r="E60" s="77" t="s">
        <v>139</v>
      </c>
      <c r="F60" s="1"/>
      <c r="G60" s="77" t="str">
        <f>Inputs!G45</f>
        <v>real annual %</v>
      </c>
      <c r="H60" s="1"/>
      <c r="I60" s="141">
        <f>Inputs!I46</f>
        <v>4.4699999999999997E-2</v>
      </c>
      <c r="J60" s="80"/>
      <c r="K60" s="80"/>
      <c r="L60" s="80"/>
      <c r="M60" s="80"/>
      <c r="N60" s="80"/>
      <c r="O60" s="80"/>
      <c r="P60" s="80"/>
      <c r="Q60" s="80"/>
      <c r="R60" s="80"/>
      <c r="S60" s="1"/>
      <c r="T60" s="1"/>
      <c r="U60" s="1"/>
      <c r="V60" s="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1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</row>
    <row r="61" spans="1:50" ht="15" customHeight="1">
      <c r="A61" s="1"/>
      <c r="B61" s="1"/>
      <c r="C61" s="1"/>
      <c r="D61" s="1"/>
      <c r="E61" s="11" t="s">
        <v>245</v>
      </c>
      <c r="F61" s="1"/>
      <c r="G61" s="77" t="str">
        <f>Inputs!G173</f>
        <v>%</v>
      </c>
      <c r="H61" s="1"/>
      <c r="I61" s="141">
        <f>Inputs!I173</f>
        <v>0.02</v>
      </c>
      <c r="J61" s="80"/>
      <c r="K61" s="225"/>
      <c r="L61" s="80"/>
      <c r="M61" s="80"/>
      <c r="N61" s="80"/>
      <c r="O61" s="80"/>
      <c r="P61" s="80"/>
      <c r="Q61" s="80"/>
      <c r="R61" s="80"/>
      <c r="S61" s="1"/>
      <c r="T61" s="1"/>
      <c r="U61" s="1"/>
      <c r="V61" s="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1"/>
      <c r="AN61" s="81"/>
      <c r="AO61" s="81"/>
      <c r="AP61" s="81"/>
      <c r="AQ61" s="81"/>
      <c r="AR61" s="81"/>
      <c r="AS61" s="81"/>
      <c r="AT61" s="81"/>
      <c r="AU61" s="81"/>
      <c r="AV61" s="81"/>
      <c r="AW61" s="81"/>
      <c r="AX61" s="81"/>
    </row>
    <row r="62" spans="1:50" ht="15" customHeight="1">
      <c r="A62" s="1"/>
      <c r="B62" s="1"/>
      <c r="C62" s="1"/>
      <c r="D62" s="1"/>
      <c r="E62" s="1" t="s">
        <v>139</v>
      </c>
      <c r="F62" s="1"/>
      <c r="G62" s="1" t="s">
        <v>465</v>
      </c>
      <c r="H62" s="1"/>
      <c r="I62" s="77">
        <f>(1 + I60) * (1 + I$61) - 1</f>
        <v>6.559399999999993E-2</v>
      </c>
      <c r="J62" s="80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</row>
    <row r="63" spans="1:50" ht="15" customHeight="1">
      <c r="A63" s="11"/>
      <c r="B63" s="11"/>
      <c r="D63" s="11"/>
      <c r="S63" s="1"/>
      <c r="T63" s="1"/>
      <c r="U63" s="1"/>
      <c r="V63" s="178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</row>
    <row r="64" spans="1:50" ht="15" customHeight="1">
      <c r="A64"/>
      <c r="B64" s="11"/>
      <c r="C64" s="56" t="s">
        <v>466</v>
      </c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</row>
    <row r="65" spans="2:50" ht="15" customHeight="1">
      <c r="B65" s="93"/>
      <c r="C65" s="93"/>
      <c r="D65" s="11"/>
      <c r="W65" s="77"/>
      <c r="X65" s="77"/>
      <c r="Y65" s="77"/>
      <c r="Z65" s="77"/>
      <c r="AA65" s="77"/>
      <c r="AB65" s="77"/>
      <c r="AC65" s="77"/>
      <c r="AD65" s="77"/>
      <c r="AE65" s="77"/>
      <c r="AF65" s="77"/>
      <c r="AG65" s="77"/>
      <c r="AH65" s="77"/>
      <c r="AI65" s="77"/>
      <c r="AJ65" s="77"/>
      <c r="AK65" s="77"/>
      <c r="AL65" s="77"/>
      <c r="AM65" s="77"/>
      <c r="AN65" s="77"/>
      <c r="AO65" s="77"/>
      <c r="AP65" s="77"/>
      <c r="AQ65" s="77"/>
      <c r="AR65" s="77"/>
      <c r="AS65" s="77"/>
      <c r="AT65" s="77"/>
      <c r="AU65" s="77"/>
      <c r="AV65" s="77"/>
      <c r="AW65" s="77"/>
      <c r="AX65" s="77"/>
    </row>
    <row r="66" spans="2:50" ht="15" customHeight="1">
      <c r="B66" s="93"/>
      <c r="C66" s="93"/>
      <c r="D66" s="11"/>
      <c r="E66" s="11" t="s">
        <v>368</v>
      </c>
      <c r="G66" s="11" t="str">
        <f>Inputs!G142</f>
        <v>full years</v>
      </c>
      <c r="I66" s="177">
        <f>Inputs!I142</f>
        <v>25</v>
      </c>
      <c r="S66" s="140"/>
      <c r="T66" s="140"/>
      <c r="U66" s="140"/>
      <c r="V66" s="140"/>
      <c r="W66" s="140"/>
      <c r="X66" s="140"/>
      <c r="Y66" s="140"/>
      <c r="Z66" s="140"/>
      <c r="AA66" s="140"/>
      <c r="AB66" s="140"/>
      <c r="AC66" s="140"/>
      <c r="AD66" s="140"/>
      <c r="AE66" s="140"/>
      <c r="AF66" s="140"/>
      <c r="AG66" s="140"/>
      <c r="AH66" s="140"/>
      <c r="AI66" s="140"/>
      <c r="AJ66" s="140"/>
      <c r="AK66" s="140"/>
      <c r="AL66" s="140"/>
      <c r="AM66" s="140"/>
      <c r="AN66" s="140"/>
      <c r="AO66" s="140"/>
      <c r="AP66" s="140"/>
      <c r="AQ66" s="140"/>
      <c r="AR66" s="140"/>
      <c r="AS66" s="140"/>
      <c r="AT66" s="140"/>
      <c r="AU66" s="140"/>
      <c r="AV66" s="140"/>
      <c r="AW66" s="140"/>
      <c r="AX66" s="140"/>
    </row>
    <row r="67" spans="2:50" ht="15" customHeight="1">
      <c r="B67" s="93"/>
      <c r="C67" s="93"/>
      <c r="D67" s="11"/>
      <c r="E67" s="77" t="s">
        <v>145</v>
      </c>
      <c r="G67" s="77" t="str">
        <f>Inputs!G53</f>
        <v>%</v>
      </c>
      <c r="I67" s="141">
        <f>Inputs!I53</f>
        <v>0.5</v>
      </c>
      <c r="S67" s="140"/>
      <c r="T67" s="140"/>
      <c r="U67" s="140"/>
      <c r="V67" s="140"/>
      <c r="W67" s="140"/>
      <c r="X67" s="140"/>
      <c r="Y67" s="140"/>
      <c r="Z67" s="140"/>
      <c r="AA67" s="140"/>
      <c r="AB67" s="140"/>
      <c r="AC67" s="140"/>
      <c r="AD67" s="140"/>
      <c r="AE67" s="140"/>
      <c r="AF67" s="140"/>
      <c r="AG67" s="140"/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0"/>
      <c r="AU67" s="140"/>
      <c r="AV67" s="140"/>
      <c r="AW67" s="140"/>
      <c r="AX67" s="140"/>
    </row>
    <row r="68" spans="2:50" ht="15" customHeight="1">
      <c r="B68" s="93"/>
      <c r="C68" s="93"/>
      <c r="D68" s="11"/>
      <c r="E68" s="77"/>
      <c r="G68" s="77"/>
      <c r="I68" s="141"/>
      <c r="S68" s="140"/>
      <c r="T68" s="140"/>
      <c r="U68" s="140"/>
      <c r="V68" s="140"/>
      <c r="W68" s="140"/>
      <c r="X68" s="140"/>
      <c r="Y68" s="140"/>
      <c r="Z68" s="140"/>
      <c r="AA68" s="140"/>
      <c r="AB68" s="140"/>
      <c r="AC68" s="140"/>
      <c r="AD68" s="140"/>
      <c r="AE68" s="140"/>
      <c r="AF68" s="140"/>
      <c r="AG68" s="140"/>
      <c r="AH68" s="140"/>
      <c r="AI68" s="140"/>
      <c r="AJ68" s="140"/>
      <c r="AK68" s="140"/>
      <c r="AL68" s="140"/>
      <c r="AM68" s="140"/>
      <c r="AN68" s="140"/>
      <c r="AO68" s="140"/>
      <c r="AP68" s="140"/>
      <c r="AQ68" s="140"/>
      <c r="AR68" s="140"/>
      <c r="AS68" s="140"/>
      <c r="AT68" s="140"/>
      <c r="AU68" s="140"/>
      <c r="AV68" s="140"/>
      <c r="AW68" s="140"/>
      <c r="AX68" s="140"/>
    </row>
    <row r="69" spans="2:50" ht="15" customHeight="1">
      <c r="B69" s="93"/>
      <c r="C69" s="93"/>
      <c r="D69" s="11"/>
      <c r="E69" s="1" t="s">
        <v>390</v>
      </c>
      <c r="F69" s="1"/>
      <c r="G69" s="1" t="s">
        <v>225</v>
      </c>
      <c r="I69" s="67"/>
      <c r="K69" s="158" t="b">
        <f>AND(K4 &gt; 0, K4&lt;= $I66)</f>
        <v>1</v>
      </c>
      <c r="L69" s="158" t="b">
        <f t="shared" ref="L69:AX69" si="56">AND(L4 &gt; 0, L4&lt;= $I66)</f>
        <v>1</v>
      </c>
      <c r="M69" s="158" t="b">
        <f t="shared" si="56"/>
        <v>1</v>
      </c>
      <c r="N69" s="158" t="b">
        <f t="shared" si="56"/>
        <v>1</v>
      </c>
      <c r="O69" s="158" t="b">
        <f t="shared" si="56"/>
        <v>1</v>
      </c>
      <c r="P69" s="158" t="b">
        <f t="shared" si="56"/>
        <v>1</v>
      </c>
      <c r="Q69" s="158" t="b">
        <f t="shared" si="56"/>
        <v>1</v>
      </c>
      <c r="R69" s="158" t="b">
        <f t="shared" si="56"/>
        <v>1</v>
      </c>
      <c r="S69" s="158" t="b">
        <f t="shared" si="56"/>
        <v>1</v>
      </c>
      <c r="T69" s="158" t="b">
        <f t="shared" si="56"/>
        <v>1</v>
      </c>
      <c r="U69" s="158" t="b">
        <f t="shared" si="56"/>
        <v>1</v>
      </c>
      <c r="V69" s="158" t="b">
        <f t="shared" si="56"/>
        <v>1</v>
      </c>
      <c r="W69" s="158" t="b">
        <f t="shared" si="56"/>
        <v>1</v>
      </c>
      <c r="X69" s="158" t="b">
        <f t="shared" si="56"/>
        <v>1</v>
      </c>
      <c r="Y69" s="158" t="b">
        <f t="shared" si="56"/>
        <v>1</v>
      </c>
      <c r="Z69" s="158" t="b">
        <f t="shared" si="56"/>
        <v>1</v>
      </c>
      <c r="AA69" s="158" t="b">
        <f t="shared" si="56"/>
        <v>1</v>
      </c>
      <c r="AB69" s="158" t="b">
        <f t="shared" si="56"/>
        <v>1</v>
      </c>
      <c r="AC69" s="158" t="b">
        <f t="shared" si="56"/>
        <v>1</v>
      </c>
      <c r="AD69" s="158" t="b">
        <f t="shared" si="56"/>
        <v>1</v>
      </c>
      <c r="AE69" s="158" t="b">
        <f t="shared" si="56"/>
        <v>1</v>
      </c>
      <c r="AF69" s="158" t="b">
        <f t="shared" si="56"/>
        <v>1</v>
      </c>
      <c r="AG69" s="158" t="b">
        <f t="shared" si="56"/>
        <v>1</v>
      </c>
      <c r="AH69" s="158" t="b">
        <f t="shared" si="56"/>
        <v>1</v>
      </c>
      <c r="AI69" s="158" t="b">
        <f t="shared" si="56"/>
        <v>1</v>
      </c>
      <c r="AJ69" s="158" t="b">
        <f t="shared" si="56"/>
        <v>0</v>
      </c>
      <c r="AK69" s="158" t="b">
        <f t="shared" si="56"/>
        <v>0</v>
      </c>
      <c r="AL69" s="158" t="b">
        <f t="shared" si="56"/>
        <v>0</v>
      </c>
      <c r="AM69" s="158" t="b">
        <f t="shared" si="56"/>
        <v>0</v>
      </c>
      <c r="AN69" s="158" t="b">
        <f t="shared" si="56"/>
        <v>0</v>
      </c>
      <c r="AO69" s="158" t="b">
        <f t="shared" si="56"/>
        <v>0</v>
      </c>
      <c r="AP69" s="158" t="b">
        <f t="shared" si="56"/>
        <v>0</v>
      </c>
      <c r="AQ69" s="158" t="b">
        <f t="shared" si="56"/>
        <v>0</v>
      </c>
      <c r="AR69" s="158" t="b">
        <f t="shared" si="56"/>
        <v>0</v>
      </c>
      <c r="AS69" s="158" t="b">
        <f t="shared" si="56"/>
        <v>0</v>
      </c>
      <c r="AT69" s="158" t="b">
        <f t="shared" si="56"/>
        <v>0</v>
      </c>
      <c r="AU69" s="158" t="b">
        <f t="shared" si="56"/>
        <v>0</v>
      </c>
      <c r="AV69" s="158" t="b">
        <f t="shared" si="56"/>
        <v>0</v>
      </c>
      <c r="AW69" s="158" t="b">
        <f t="shared" si="56"/>
        <v>0</v>
      </c>
      <c r="AX69" s="158" t="b">
        <f t="shared" si="56"/>
        <v>0</v>
      </c>
    </row>
    <row r="70" spans="2:50" ht="15" customHeight="1">
      <c r="B70" s="93"/>
      <c r="C70" s="93"/>
      <c r="D70" s="11"/>
      <c r="E70" s="11" t="s">
        <v>467</v>
      </c>
      <c r="G70" s="1" t="s">
        <v>449</v>
      </c>
      <c r="K70" s="1">
        <f>K72 - K71</f>
        <v>4.6712379631713077</v>
      </c>
      <c r="L70" s="1">
        <f t="shared" ref="L70:AI70" si="57">L72 - L71</f>
        <v>4.9776431461275656</v>
      </c>
      <c r="M70" s="1">
        <f t="shared" si="57"/>
        <v>5.3041466706546565</v>
      </c>
      <c r="N70" s="1">
        <f t="shared" si="57"/>
        <v>5.6520668673695731</v>
      </c>
      <c r="O70" s="1">
        <f t="shared" si="57"/>
        <v>6.0228085414678141</v>
      </c>
      <c r="P70" s="1">
        <f t="shared" si="57"/>
        <v>6.4178686449368527</v>
      </c>
      <c r="Q70" s="1">
        <f t="shared" si="57"/>
        <v>6.8388423208328391</v>
      </c>
      <c r="R70" s="1">
        <f t="shared" si="57"/>
        <v>7.2874293440255489</v>
      </c>
      <c r="S70" s="1">
        <f t="shared" si="57"/>
        <v>7.7654409844175607</v>
      </c>
      <c r="T70" s="1">
        <f t="shared" si="57"/>
        <v>8.2748073203494457</v>
      </c>
      <c r="U70" s="1">
        <f t="shared" si="57"/>
        <v>8.8175850317204461</v>
      </c>
      <c r="V70" s="1">
        <f t="shared" si="57"/>
        <v>9.3959657042911164</v>
      </c>
      <c r="W70" s="1">
        <f t="shared" si="57"/>
        <v>10.012284678698387</v>
      </c>
      <c r="X70" s="1">
        <f t="shared" si="57"/>
        <v>10.66903047991293</v>
      </c>
      <c r="Y70" s="1">
        <f t="shared" si="57"/>
        <v>11.368854865212336</v>
      </c>
      <c r="Z70" s="1">
        <f t="shared" si="57"/>
        <v>12.114583531241074</v>
      </c>
      <c r="AA70" s="1">
        <f t="shared" si="57"/>
        <v>12.909227523389299</v>
      </c>
      <c r="AB70" s="1">
        <f t="shared" si="57"/>
        <v>13.755995393558496</v>
      </c>
      <c r="AC70" s="1">
        <f t="shared" si="57"/>
        <v>14.658306155403571</v>
      </c>
      <c r="AD70" s="1">
        <f t="shared" si="57"/>
        <v>15.619803089361112</v>
      </c>
      <c r="AE70" s="1">
        <f t="shared" si="57"/>
        <v>16.644368453204663</v>
      </c>
      <c r="AF70" s="1">
        <f t="shared" si="57"/>
        <v>17.736139157524171</v>
      </c>
      <c r="AG70" s="1">
        <f t="shared" si="57"/>
        <v>18.899523469422807</v>
      </c>
      <c r="AH70" s="1">
        <f t="shared" si="57"/>
        <v>20.139218811876127</v>
      </c>
      <c r="AI70" s="1">
        <f t="shared" si="57"/>
        <v>21.460230730622328</v>
      </c>
      <c r="AJ70" s="1">
        <f t="shared" ref="AJ70:AX70" si="58">AJ72 - AJ71</f>
        <v>0</v>
      </c>
      <c r="AK70" s="1">
        <f t="shared" si="58"/>
        <v>0</v>
      </c>
      <c r="AL70" s="1">
        <f t="shared" si="58"/>
        <v>0</v>
      </c>
      <c r="AM70" s="1">
        <f t="shared" si="58"/>
        <v>0</v>
      </c>
      <c r="AN70" s="1">
        <f t="shared" si="58"/>
        <v>0</v>
      </c>
      <c r="AO70" s="1">
        <f t="shared" si="58"/>
        <v>0</v>
      </c>
      <c r="AP70" s="1">
        <f t="shared" si="58"/>
        <v>0</v>
      </c>
      <c r="AQ70" s="1">
        <f t="shared" si="58"/>
        <v>0</v>
      </c>
      <c r="AR70" s="1">
        <f t="shared" si="58"/>
        <v>0</v>
      </c>
      <c r="AS70" s="1">
        <f t="shared" si="58"/>
        <v>0</v>
      </c>
      <c r="AT70" s="1">
        <f t="shared" si="58"/>
        <v>0</v>
      </c>
      <c r="AU70" s="1">
        <f t="shared" si="58"/>
        <v>0</v>
      </c>
      <c r="AV70" s="1">
        <f t="shared" si="58"/>
        <v>0</v>
      </c>
      <c r="AW70" s="1">
        <f t="shared" si="58"/>
        <v>0</v>
      </c>
      <c r="AX70" s="1">
        <f t="shared" si="58"/>
        <v>0</v>
      </c>
    </row>
    <row r="71" spans="2:50" ht="15" customHeight="1">
      <c r="B71" s="93"/>
      <c r="C71" s="93"/>
      <c r="D71" s="11"/>
      <c r="E71" s="11" t="s">
        <v>468</v>
      </c>
      <c r="G71" s="1" t="s">
        <v>449</v>
      </c>
      <c r="K71" s="143">
        <f t="shared" ref="K71:AX71" si="59">$I62 * K74</f>
        <v>18.196655141995485</v>
      </c>
      <c r="L71" s="143">
        <f t="shared" si="59"/>
        <v>17.890249959039227</v>
      </c>
      <c r="M71" s="143">
        <f t="shared" si="59"/>
        <v>17.563746434512137</v>
      </c>
      <c r="N71" s="143">
        <f t="shared" si="59"/>
        <v>17.21582623779722</v>
      </c>
      <c r="O71" s="143">
        <f t="shared" si="59"/>
        <v>16.845084563698979</v>
      </c>
      <c r="P71" s="143">
        <f t="shared" si="59"/>
        <v>16.45002446022994</v>
      </c>
      <c r="Q71" s="143">
        <f t="shared" si="59"/>
        <v>16.029050784333954</v>
      </c>
      <c r="R71" s="143">
        <f t="shared" si="59"/>
        <v>15.580463761141244</v>
      </c>
      <c r="S71" s="143">
        <f t="shared" si="59"/>
        <v>15.102452120749232</v>
      </c>
      <c r="T71" s="143">
        <f t="shared" si="59"/>
        <v>14.593085784817347</v>
      </c>
      <c r="U71" s="143">
        <f t="shared" si="59"/>
        <v>14.050308073446347</v>
      </c>
      <c r="V71" s="143">
        <f t="shared" si="59"/>
        <v>13.471927400875677</v>
      </c>
      <c r="W71" s="143">
        <f t="shared" si="59"/>
        <v>12.855608426468406</v>
      </c>
      <c r="X71" s="143">
        <f t="shared" si="59"/>
        <v>12.198862625253863</v>
      </c>
      <c r="Y71" s="143">
        <f t="shared" si="59"/>
        <v>11.499038239954457</v>
      </c>
      <c r="Z71" s="143">
        <f t="shared" si="59"/>
        <v>10.753309573925719</v>
      </c>
      <c r="AA71" s="143">
        <f t="shared" si="59"/>
        <v>9.9586655817774936</v>
      </c>
      <c r="AB71" s="143">
        <f t="shared" si="59"/>
        <v>9.1118977116082966</v>
      </c>
      <c r="AC71" s="143">
        <f t="shared" si="59"/>
        <v>8.2095869497632226</v>
      </c>
      <c r="AD71" s="143">
        <f t="shared" si="59"/>
        <v>7.2480900158056816</v>
      </c>
      <c r="AE71" s="143">
        <f t="shared" si="59"/>
        <v>6.2235246519621299</v>
      </c>
      <c r="AF71" s="143">
        <f t="shared" si="59"/>
        <v>5.1317539476426237</v>
      </c>
      <c r="AG71" s="143">
        <f t="shared" si="59"/>
        <v>3.968369635743985</v>
      </c>
      <c r="AH71" s="143">
        <f t="shared" si="59"/>
        <v>2.7286742932906662</v>
      </c>
      <c r="AI71" s="143">
        <f t="shared" si="59"/>
        <v>1.4076623745444652</v>
      </c>
      <c r="AJ71" s="143">
        <f t="shared" si="59"/>
        <v>0</v>
      </c>
      <c r="AK71" s="143">
        <f t="shared" si="59"/>
        <v>0</v>
      </c>
      <c r="AL71" s="143">
        <f t="shared" si="59"/>
        <v>0</v>
      </c>
      <c r="AM71" s="143">
        <f t="shared" si="59"/>
        <v>0</v>
      </c>
      <c r="AN71" s="143">
        <f t="shared" si="59"/>
        <v>0</v>
      </c>
      <c r="AO71" s="143">
        <f t="shared" si="59"/>
        <v>0</v>
      </c>
      <c r="AP71" s="143">
        <f t="shared" si="59"/>
        <v>0</v>
      </c>
      <c r="AQ71" s="143">
        <f t="shared" si="59"/>
        <v>0</v>
      </c>
      <c r="AR71" s="143">
        <f t="shared" si="59"/>
        <v>0</v>
      </c>
      <c r="AS71" s="143">
        <f t="shared" si="59"/>
        <v>0</v>
      </c>
      <c r="AT71" s="143">
        <f t="shared" si="59"/>
        <v>0</v>
      </c>
      <c r="AU71" s="143">
        <f t="shared" si="59"/>
        <v>0</v>
      </c>
      <c r="AV71" s="143">
        <f t="shared" si="59"/>
        <v>0</v>
      </c>
      <c r="AW71" s="143">
        <f t="shared" si="59"/>
        <v>0</v>
      </c>
      <c r="AX71" s="143">
        <f t="shared" si="59"/>
        <v>0</v>
      </c>
    </row>
    <row r="72" spans="2:50" ht="15" customHeight="1">
      <c r="B72" s="93"/>
      <c r="C72" s="93"/>
      <c r="D72" s="11"/>
      <c r="E72" s="11" t="s">
        <v>469</v>
      </c>
      <c r="G72" s="1" t="s">
        <v>449</v>
      </c>
      <c r="K72" s="1">
        <f>$K$74*$I62/(1-(1+$I62)^(-$I66))*K69</f>
        <v>22.867893105166793</v>
      </c>
      <c r="L72" s="1">
        <f t="shared" ref="L72:AX72" si="60">$K$74*$I62/(1-(1+$I62)^(-$I66))*L69</f>
        <v>22.867893105166793</v>
      </c>
      <c r="M72" s="1">
        <f t="shared" si="60"/>
        <v>22.867893105166793</v>
      </c>
      <c r="N72" s="1">
        <f t="shared" si="60"/>
        <v>22.867893105166793</v>
      </c>
      <c r="O72" s="1">
        <f t="shared" si="60"/>
        <v>22.867893105166793</v>
      </c>
      <c r="P72" s="1">
        <f t="shared" si="60"/>
        <v>22.867893105166793</v>
      </c>
      <c r="Q72" s="1">
        <f t="shared" si="60"/>
        <v>22.867893105166793</v>
      </c>
      <c r="R72" s="1">
        <f t="shared" si="60"/>
        <v>22.867893105166793</v>
      </c>
      <c r="S72" s="1">
        <f t="shared" si="60"/>
        <v>22.867893105166793</v>
      </c>
      <c r="T72" s="1">
        <f t="shared" si="60"/>
        <v>22.867893105166793</v>
      </c>
      <c r="U72" s="1">
        <f t="shared" si="60"/>
        <v>22.867893105166793</v>
      </c>
      <c r="V72" s="1">
        <f t="shared" si="60"/>
        <v>22.867893105166793</v>
      </c>
      <c r="W72" s="1">
        <f t="shared" si="60"/>
        <v>22.867893105166793</v>
      </c>
      <c r="X72" s="1">
        <f t="shared" si="60"/>
        <v>22.867893105166793</v>
      </c>
      <c r="Y72" s="1">
        <f t="shared" si="60"/>
        <v>22.867893105166793</v>
      </c>
      <c r="Z72" s="1">
        <f t="shared" si="60"/>
        <v>22.867893105166793</v>
      </c>
      <c r="AA72" s="1">
        <f t="shared" si="60"/>
        <v>22.867893105166793</v>
      </c>
      <c r="AB72" s="1">
        <f t="shared" si="60"/>
        <v>22.867893105166793</v>
      </c>
      <c r="AC72" s="1">
        <f t="shared" si="60"/>
        <v>22.867893105166793</v>
      </c>
      <c r="AD72" s="1">
        <f t="shared" si="60"/>
        <v>22.867893105166793</v>
      </c>
      <c r="AE72" s="1">
        <f t="shared" si="60"/>
        <v>22.867893105166793</v>
      </c>
      <c r="AF72" s="1">
        <f t="shared" si="60"/>
        <v>22.867893105166793</v>
      </c>
      <c r="AG72" s="1">
        <f t="shared" si="60"/>
        <v>22.867893105166793</v>
      </c>
      <c r="AH72" s="1">
        <f t="shared" si="60"/>
        <v>22.867893105166793</v>
      </c>
      <c r="AI72" s="1">
        <f t="shared" si="60"/>
        <v>22.867893105166793</v>
      </c>
      <c r="AJ72" s="1">
        <f t="shared" si="60"/>
        <v>0</v>
      </c>
      <c r="AK72" s="1">
        <f t="shared" si="60"/>
        <v>0</v>
      </c>
      <c r="AL72" s="1">
        <f t="shared" si="60"/>
        <v>0</v>
      </c>
      <c r="AM72" s="1">
        <f t="shared" si="60"/>
        <v>0</v>
      </c>
      <c r="AN72" s="1">
        <f t="shared" si="60"/>
        <v>0</v>
      </c>
      <c r="AO72" s="1">
        <f t="shared" si="60"/>
        <v>0</v>
      </c>
      <c r="AP72" s="1">
        <f t="shared" si="60"/>
        <v>0</v>
      </c>
      <c r="AQ72" s="1">
        <f t="shared" si="60"/>
        <v>0</v>
      </c>
      <c r="AR72" s="1">
        <f t="shared" si="60"/>
        <v>0</v>
      </c>
      <c r="AS72" s="1">
        <f t="shared" si="60"/>
        <v>0</v>
      </c>
      <c r="AT72" s="1">
        <f t="shared" si="60"/>
        <v>0</v>
      </c>
      <c r="AU72" s="1">
        <f t="shared" si="60"/>
        <v>0</v>
      </c>
      <c r="AV72" s="1">
        <f t="shared" si="60"/>
        <v>0</v>
      </c>
      <c r="AW72" s="1">
        <f t="shared" si="60"/>
        <v>0</v>
      </c>
      <c r="AX72" s="1">
        <f t="shared" si="60"/>
        <v>0</v>
      </c>
    </row>
    <row r="73" spans="2:50" ht="15" customHeight="1">
      <c r="B73" s="93"/>
      <c r="C73" s="93"/>
      <c r="D73" s="11"/>
      <c r="I73" s="67"/>
      <c r="K73" s="140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0"/>
      <c r="AA73" s="140"/>
      <c r="AB73" s="140"/>
      <c r="AC73" s="140"/>
      <c r="AD73" s="140"/>
      <c r="AE73" s="140"/>
      <c r="AF73" s="140"/>
      <c r="AG73" s="140"/>
      <c r="AH73" s="140"/>
      <c r="AI73" s="140"/>
      <c r="AJ73" s="140"/>
      <c r="AK73" s="140"/>
      <c r="AL73" s="140"/>
      <c r="AM73" s="140"/>
      <c r="AN73" s="140"/>
      <c r="AO73" s="140"/>
      <c r="AP73" s="140"/>
      <c r="AQ73" s="140"/>
      <c r="AR73" s="140"/>
      <c r="AS73" s="140"/>
      <c r="AT73" s="140"/>
      <c r="AU73" s="140"/>
      <c r="AV73" s="140"/>
      <c r="AW73" s="140"/>
      <c r="AX73" s="140"/>
    </row>
    <row r="74" spans="2:50" ht="15" customHeight="1">
      <c r="B74" s="93"/>
      <c r="C74" s="93"/>
      <c r="D74" s="11"/>
      <c r="E74" s="11" t="s">
        <v>470</v>
      </c>
      <c r="G74" s="1" t="s">
        <v>449</v>
      </c>
      <c r="K74" s="179">
        <f>Op_Rav!K13*I10*I67</f>
        <v>277.41340887879232</v>
      </c>
      <c r="L74" s="1">
        <f t="shared" ref="L74:AI74" si="61">K76</f>
        <v>272.74217091562105</v>
      </c>
      <c r="M74" s="1">
        <f t="shared" si="61"/>
        <v>267.7645277694935</v>
      </c>
      <c r="N74" s="1">
        <f t="shared" si="61"/>
        <v>262.46038109883887</v>
      </c>
      <c r="O74" s="1">
        <f t="shared" si="61"/>
        <v>256.8083142314693</v>
      </c>
      <c r="P74" s="1">
        <f t="shared" si="61"/>
        <v>250.78550569000149</v>
      </c>
      <c r="Q74" s="1">
        <f t="shared" si="61"/>
        <v>244.36763704506464</v>
      </c>
      <c r="R74" s="1">
        <f t="shared" si="61"/>
        <v>237.5287947242318</v>
      </c>
      <c r="S74" s="1">
        <f t="shared" si="61"/>
        <v>230.24136538020625</v>
      </c>
      <c r="T74" s="1">
        <f t="shared" si="61"/>
        <v>222.4759243957887</v>
      </c>
      <c r="U74" s="1">
        <f t="shared" si="61"/>
        <v>214.20111707543924</v>
      </c>
      <c r="V74" s="1">
        <f t="shared" si="61"/>
        <v>205.38353204371879</v>
      </c>
      <c r="W74" s="1">
        <f t="shared" si="61"/>
        <v>195.98756633942767</v>
      </c>
      <c r="X74" s="1">
        <f t="shared" si="61"/>
        <v>185.97528166072928</v>
      </c>
      <c r="Y74" s="1">
        <f t="shared" si="61"/>
        <v>175.30625118081636</v>
      </c>
      <c r="Z74" s="1">
        <f t="shared" si="61"/>
        <v>163.93739631560402</v>
      </c>
      <c r="AA74" s="1">
        <f t="shared" si="61"/>
        <v>151.82281278436295</v>
      </c>
      <c r="AB74" s="1">
        <f t="shared" si="61"/>
        <v>138.91358526097366</v>
      </c>
      <c r="AC74" s="1">
        <f t="shared" si="61"/>
        <v>125.15758986741517</v>
      </c>
      <c r="AD74" s="1">
        <f t="shared" si="61"/>
        <v>110.4992837120116</v>
      </c>
      <c r="AE74" s="1">
        <f t="shared" si="61"/>
        <v>94.87948062265049</v>
      </c>
      <c r="AF74" s="1">
        <f t="shared" si="61"/>
        <v>78.235112169445827</v>
      </c>
      <c r="AG74" s="1">
        <f t="shared" si="61"/>
        <v>60.498973011921656</v>
      </c>
      <c r="AH74" s="1">
        <f t="shared" si="61"/>
        <v>41.599449542498846</v>
      </c>
      <c r="AI74" s="1">
        <f t="shared" si="61"/>
        <v>21.460230730622719</v>
      </c>
      <c r="AJ74" s="1">
        <f t="shared" ref="AJ74" si="62">AI76</f>
        <v>0</v>
      </c>
      <c r="AK74" s="1">
        <f t="shared" ref="AK74" si="63">AJ76</f>
        <v>0</v>
      </c>
      <c r="AL74" s="1">
        <f t="shared" ref="AL74" si="64">AK76</f>
        <v>0</v>
      </c>
      <c r="AM74" s="1">
        <f t="shared" ref="AM74" si="65">AL76</f>
        <v>0</v>
      </c>
      <c r="AN74" s="1">
        <f t="shared" ref="AN74" si="66">AM76</f>
        <v>0</v>
      </c>
      <c r="AO74" s="1">
        <f t="shared" ref="AO74" si="67">AN76</f>
        <v>0</v>
      </c>
      <c r="AP74" s="1">
        <f t="shared" ref="AP74" si="68">AO76</f>
        <v>0</v>
      </c>
      <c r="AQ74" s="1">
        <f t="shared" ref="AQ74" si="69">AP76</f>
        <v>0</v>
      </c>
      <c r="AR74" s="1">
        <f t="shared" ref="AR74" si="70">AQ76</f>
        <v>0</v>
      </c>
      <c r="AS74" s="1">
        <f t="shared" ref="AS74" si="71">AR76</f>
        <v>0</v>
      </c>
      <c r="AT74" s="1">
        <f t="shared" ref="AT74" si="72">AS76</f>
        <v>0</v>
      </c>
      <c r="AU74" s="1">
        <f t="shared" ref="AU74" si="73">AT76</f>
        <v>0</v>
      </c>
      <c r="AV74" s="1">
        <f t="shared" ref="AV74" si="74">AU76</f>
        <v>0</v>
      </c>
      <c r="AW74" s="1">
        <f t="shared" ref="AW74" si="75">AV76</f>
        <v>0</v>
      </c>
      <c r="AX74" s="1">
        <f t="shared" ref="AX74" si="76">AW76</f>
        <v>0</v>
      </c>
    </row>
    <row r="75" spans="2:50" ht="15" customHeight="1">
      <c r="B75" s="93"/>
      <c r="C75" s="93"/>
      <c r="D75" s="11"/>
      <c r="E75" s="11" t="s">
        <v>471</v>
      </c>
      <c r="G75" s="1" t="s">
        <v>449</v>
      </c>
      <c r="I75" s="67"/>
      <c r="K75" s="1">
        <f t="shared" ref="K75:AX75" si="77">IF(K4 = $I66, -K74, -K70)</f>
        <v>-4.6712379631713077</v>
      </c>
      <c r="L75" s="1">
        <f t="shared" si="77"/>
        <v>-4.9776431461275656</v>
      </c>
      <c r="M75" s="1">
        <f t="shared" si="77"/>
        <v>-5.3041466706546565</v>
      </c>
      <c r="N75" s="1">
        <f t="shared" si="77"/>
        <v>-5.6520668673695731</v>
      </c>
      <c r="O75" s="1">
        <f t="shared" si="77"/>
        <v>-6.0228085414678141</v>
      </c>
      <c r="P75" s="1">
        <f t="shared" si="77"/>
        <v>-6.4178686449368527</v>
      </c>
      <c r="Q75" s="1">
        <f t="shared" si="77"/>
        <v>-6.8388423208328391</v>
      </c>
      <c r="R75" s="1">
        <f t="shared" si="77"/>
        <v>-7.2874293440255489</v>
      </c>
      <c r="S75" s="1">
        <f t="shared" si="77"/>
        <v>-7.7654409844175607</v>
      </c>
      <c r="T75" s="1">
        <f t="shared" si="77"/>
        <v>-8.2748073203494457</v>
      </c>
      <c r="U75" s="1">
        <f t="shared" si="77"/>
        <v>-8.8175850317204461</v>
      </c>
      <c r="V75" s="1">
        <f t="shared" si="77"/>
        <v>-9.3959657042911164</v>
      </c>
      <c r="W75" s="1">
        <f t="shared" si="77"/>
        <v>-10.012284678698387</v>
      </c>
      <c r="X75" s="1">
        <f t="shared" si="77"/>
        <v>-10.66903047991293</v>
      </c>
      <c r="Y75" s="1">
        <f t="shared" si="77"/>
        <v>-11.368854865212336</v>
      </c>
      <c r="Z75" s="1">
        <f t="shared" si="77"/>
        <v>-12.114583531241074</v>
      </c>
      <c r="AA75" s="1">
        <f t="shared" si="77"/>
        <v>-12.909227523389299</v>
      </c>
      <c r="AB75" s="1">
        <f t="shared" si="77"/>
        <v>-13.755995393558496</v>
      </c>
      <c r="AC75" s="1">
        <f t="shared" si="77"/>
        <v>-14.658306155403571</v>
      </c>
      <c r="AD75" s="1">
        <f t="shared" si="77"/>
        <v>-15.619803089361112</v>
      </c>
      <c r="AE75" s="1">
        <f t="shared" si="77"/>
        <v>-16.644368453204663</v>
      </c>
      <c r="AF75" s="1">
        <f t="shared" si="77"/>
        <v>-17.736139157524171</v>
      </c>
      <c r="AG75" s="1">
        <f t="shared" si="77"/>
        <v>-18.899523469422807</v>
      </c>
      <c r="AH75" s="1">
        <f t="shared" si="77"/>
        <v>-20.139218811876127</v>
      </c>
      <c r="AI75" s="1">
        <f t="shared" si="77"/>
        <v>-21.460230730622719</v>
      </c>
      <c r="AJ75" s="1">
        <f t="shared" si="77"/>
        <v>0</v>
      </c>
      <c r="AK75" s="1">
        <f t="shared" si="77"/>
        <v>0</v>
      </c>
      <c r="AL75" s="1">
        <f t="shared" si="77"/>
        <v>0</v>
      </c>
      <c r="AM75" s="1">
        <f t="shared" si="77"/>
        <v>0</v>
      </c>
      <c r="AN75" s="1">
        <f t="shared" si="77"/>
        <v>0</v>
      </c>
      <c r="AO75" s="1">
        <f t="shared" si="77"/>
        <v>0</v>
      </c>
      <c r="AP75" s="1">
        <f t="shared" si="77"/>
        <v>0</v>
      </c>
      <c r="AQ75" s="1">
        <f t="shared" si="77"/>
        <v>0</v>
      </c>
      <c r="AR75" s="1">
        <f t="shared" si="77"/>
        <v>0</v>
      </c>
      <c r="AS75" s="1">
        <f t="shared" si="77"/>
        <v>0</v>
      </c>
      <c r="AT75" s="1">
        <f t="shared" si="77"/>
        <v>0</v>
      </c>
      <c r="AU75" s="1">
        <f t="shared" si="77"/>
        <v>0</v>
      </c>
      <c r="AV75" s="1">
        <f t="shared" si="77"/>
        <v>0</v>
      </c>
      <c r="AW75" s="1">
        <f t="shared" si="77"/>
        <v>0</v>
      </c>
      <c r="AX75" s="1">
        <f t="shared" si="77"/>
        <v>0</v>
      </c>
    </row>
    <row r="76" spans="2:50" ht="15" customHeight="1">
      <c r="B76" s="93"/>
      <c r="C76" s="93"/>
      <c r="D76" s="11"/>
      <c r="E76" s="11" t="s">
        <v>472</v>
      </c>
      <c r="G76" s="1" t="s">
        <v>449</v>
      </c>
      <c r="I76" s="67"/>
      <c r="K76" s="1">
        <f t="shared" ref="K76:AI76" si="78">SUM(K74:K75)</f>
        <v>272.74217091562105</v>
      </c>
      <c r="L76" s="1">
        <f t="shared" si="78"/>
        <v>267.7645277694935</v>
      </c>
      <c r="M76" s="1">
        <f t="shared" si="78"/>
        <v>262.46038109883887</v>
      </c>
      <c r="N76" s="1">
        <f t="shared" si="78"/>
        <v>256.8083142314693</v>
      </c>
      <c r="O76" s="1">
        <f t="shared" si="78"/>
        <v>250.78550569000149</v>
      </c>
      <c r="P76" s="1">
        <f t="shared" si="78"/>
        <v>244.36763704506464</v>
      </c>
      <c r="Q76" s="1">
        <f t="shared" si="78"/>
        <v>237.5287947242318</v>
      </c>
      <c r="R76" s="1">
        <f t="shared" si="78"/>
        <v>230.24136538020625</v>
      </c>
      <c r="S76" s="1">
        <f t="shared" si="78"/>
        <v>222.4759243957887</v>
      </c>
      <c r="T76" s="1">
        <f t="shared" si="78"/>
        <v>214.20111707543924</v>
      </c>
      <c r="U76" s="1">
        <f t="shared" si="78"/>
        <v>205.38353204371879</v>
      </c>
      <c r="V76" s="1">
        <f t="shared" si="78"/>
        <v>195.98756633942767</v>
      </c>
      <c r="W76" s="1">
        <f t="shared" si="78"/>
        <v>185.97528166072928</v>
      </c>
      <c r="X76" s="1">
        <f t="shared" si="78"/>
        <v>175.30625118081636</v>
      </c>
      <c r="Y76" s="1">
        <f t="shared" si="78"/>
        <v>163.93739631560402</v>
      </c>
      <c r="Z76" s="1">
        <f t="shared" si="78"/>
        <v>151.82281278436295</v>
      </c>
      <c r="AA76" s="1">
        <f t="shared" si="78"/>
        <v>138.91358526097366</v>
      </c>
      <c r="AB76" s="1">
        <f t="shared" si="78"/>
        <v>125.15758986741517</v>
      </c>
      <c r="AC76" s="1">
        <f t="shared" si="78"/>
        <v>110.4992837120116</v>
      </c>
      <c r="AD76" s="1">
        <f t="shared" si="78"/>
        <v>94.87948062265049</v>
      </c>
      <c r="AE76" s="1">
        <f t="shared" si="78"/>
        <v>78.235112169445827</v>
      </c>
      <c r="AF76" s="1">
        <f t="shared" si="78"/>
        <v>60.498973011921656</v>
      </c>
      <c r="AG76" s="1">
        <f t="shared" si="78"/>
        <v>41.599449542498846</v>
      </c>
      <c r="AH76" s="1">
        <f t="shared" si="78"/>
        <v>21.460230730622719</v>
      </c>
      <c r="AI76" s="1">
        <f t="shared" si="78"/>
        <v>0</v>
      </c>
      <c r="AJ76" s="1">
        <f t="shared" ref="AJ76:AX76" si="79">SUM(AJ74:AJ75)</f>
        <v>0</v>
      </c>
      <c r="AK76" s="1">
        <f t="shared" si="79"/>
        <v>0</v>
      </c>
      <c r="AL76" s="1">
        <f t="shared" si="79"/>
        <v>0</v>
      </c>
      <c r="AM76" s="1">
        <f t="shared" si="79"/>
        <v>0</v>
      </c>
      <c r="AN76" s="1">
        <f t="shared" si="79"/>
        <v>0</v>
      </c>
      <c r="AO76" s="1">
        <f t="shared" si="79"/>
        <v>0</v>
      </c>
      <c r="AP76" s="1">
        <f t="shared" si="79"/>
        <v>0</v>
      </c>
      <c r="AQ76" s="1">
        <f t="shared" si="79"/>
        <v>0</v>
      </c>
      <c r="AR76" s="1">
        <f t="shared" si="79"/>
        <v>0</v>
      </c>
      <c r="AS76" s="1">
        <f t="shared" si="79"/>
        <v>0</v>
      </c>
      <c r="AT76" s="1">
        <f t="shared" si="79"/>
        <v>0</v>
      </c>
      <c r="AU76" s="1">
        <f t="shared" si="79"/>
        <v>0</v>
      </c>
      <c r="AV76" s="1">
        <f t="shared" si="79"/>
        <v>0</v>
      </c>
      <c r="AW76" s="1">
        <f t="shared" si="79"/>
        <v>0</v>
      </c>
      <c r="AX76" s="1">
        <f t="shared" si="79"/>
        <v>0</v>
      </c>
    </row>
    <row r="77" spans="2:50" ht="15" customHeight="1">
      <c r="B77" s="93"/>
      <c r="C77" s="93"/>
      <c r="D77" s="11"/>
      <c r="I77" s="67"/>
      <c r="K77" s="140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0"/>
      <c r="AA77" s="140"/>
      <c r="AB77" s="140"/>
      <c r="AC77" s="140"/>
      <c r="AD77" s="140"/>
      <c r="AE77" s="140"/>
      <c r="AF77" s="140"/>
      <c r="AG77" s="140"/>
      <c r="AH77" s="140"/>
      <c r="AI77" s="140"/>
      <c r="AJ77" s="140"/>
      <c r="AK77" s="140"/>
      <c r="AL77" s="140"/>
      <c r="AM77" s="140"/>
      <c r="AN77" s="140"/>
      <c r="AO77" s="140"/>
      <c r="AP77" s="140"/>
      <c r="AQ77" s="140"/>
      <c r="AR77" s="140"/>
      <c r="AS77" s="140"/>
      <c r="AT77" s="140"/>
      <c r="AU77" s="140"/>
      <c r="AV77" s="140"/>
      <c r="AW77" s="140"/>
      <c r="AX77" s="140"/>
    </row>
    <row r="78" spans="2:50" ht="15" customHeight="1">
      <c r="B78" s="12" t="s">
        <v>49</v>
      </c>
      <c r="C78" s="13"/>
      <c r="D78" s="13"/>
      <c r="E78" s="13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  <c r="AU78" s="79"/>
      <c r="AV78" s="79"/>
      <c r="AW78" s="79"/>
      <c r="AX78" s="79"/>
    </row>
    <row r="79" spans="2:50" ht="15" customHeight="1"/>
  </sheetData>
  <phoneticPr fontId="65" type="noConversion"/>
  <conditionalFormatting sqref="K12:AX12">
    <cfRule type="cellIs" dxfId="4" priority="1" stopIfTrue="1" operator="equal">
      <formula>FALSE()</formula>
    </cfRule>
  </conditionalFormatting>
  <conditionalFormatting sqref="K69:AX69">
    <cfRule type="cellIs" dxfId="3" priority="2" stopIfTrue="1" operator="equal">
      <formula>FALSE()</formula>
    </cfRule>
  </conditionalFormatting>
  <pageMargins left="0.23622047244094502" right="0.23622047244094502" top="0.74803149606299213" bottom="0.74803149606299213" header="0.31496062992126012" footer="0.31496062992126012"/>
  <pageSetup paperSize="0" fitToHeight="0" orientation="landscape" horizontalDpi="0" verticalDpi="0" copie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CCC0DA"/>
    <pageSetUpPr fitToPage="1"/>
  </sheetPr>
  <dimension ref="A1:AX63"/>
  <sheetViews>
    <sheetView topLeftCell="A16" zoomScale="120" zoomScaleNormal="120" workbookViewId="0">
      <selection activeCell="K14" sqref="K14"/>
    </sheetView>
  </sheetViews>
  <sheetFormatPr defaultColWidth="9.140625" defaultRowHeight="0" customHeight="1" zeroHeight="1"/>
  <cols>
    <col min="1" max="4" width="2.5703125" style="11" customWidth="1"/>
    <col min="5" max="5" width="50.5703125" style="11" customWidth="1"/>
    <col min="6" max="6" width="1.5703125" style="11" customWidth="1"/>
    <col min="7" max="7" width="15.5703125" style="11" customWidth="1"/>
    <col min="8" max="8" width="10.7109375" style="11" customWidth="1"/>
    <col min="9" max="9" width="10.5703125" style="139" customWidth="1"/>
    <col min="10" max="10" width="1.5703125" style="11" customWidth="1"/>
    <col min="11" max="35" width="10.5703125" style="11" customWidth="1"/>
    <col min="36" max="49" width="10.5703125" customWidth="1"/>
    <col min="50" max="50" width="9.140625" customWidth="1"/>
  </cols>
  <sheetData>
    <row r="1" spans="1:50" ht="14.45">
      <c r="A1" s="45" t="s">
        <v>38</v>
      </c>
      <c r="B1" s="46"/>
      <c r="C1" s="46"/>
      <c r="D1" s="46"/>
      <c r="E1" s="46"/>
      <c r="F1" s="46"/>
      <c r="G1" s="46"/>
      <c r="H1" s="46" t="s">
        <v>64</v>
      </c>
      <c r="I1" s="131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</row>
    <row r="2" spans="1:50" ht="15" customHeight="1">
      <c r="A2" s="46"/>
      <c r="B2" s="46"/>
      <c r="C2" s="46"/>
      <c r="D2" s="46"/>
      <c r="E2" s="48" t="s">
        <v>65</v>
      </c>
      <c r="F2" s="48"/>
      <c r="G2" s="48" t="s">
        <v>66</v>
      </c>
      <c r="H2" s="48" t="s">
        <v>67</v>
      </c>
      <c r="I2" s="49" t="s">
        <v>68</v>
      </c>
      <c r="J2" s="46"/>
      <c r="K2" s="48" t="s">
        <v>69</v>
      </c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</row>
    <row r="3" spans="1:50" ht="15" customHeight="1">
      <c r="A3" s="46"/>
      <c r="B3" s="46"/>
      <c r="C3" s="46"/>
      <c r="D3" s="46"/>
      <c r="E3" s="46" t="s">
        <v>358</v>
      </c>
      <c r="F3" s="48"/>
      <c r="G3" s="48"/>
      <c r="H3" s="48"/>
      <c r="I3" s="49"/>
      <c r="J3" s="46"/>
      <c r="K3" s="76" t="s">
        <v>91</v>
      </c>
      <c r="L3" s="76" t="s">
        <v>92</v>
      </c>
      <c r="M3" s="76" t="s">
        <v>93</v>
      </c>
      <c r="N3" s="76" t="s">
        <v>94</v>
      </c>
      <c r="O3" s="76" t="s">
        <v>95</v>
      </c>
      <c r="P3" s="76" t="s">
        <v>96</v>
      </c>
      <c r="Q3" s="76" t="s">
        <v>97</v>
      </c>
      <c r="R3" s="76" t="s">
        <v>98</v>
      </c>
      <c r="S3" s="76" t="s">
        <v>99</v>
      </c>
      <c r="T3" s="76" t="s">
        <v>100</v>
      </c>
      <c r="U3" s="76" t="s">
        <v>101</v>
      </c>
      <c r="V3" s="76" t="s">
        <v>102</v>
      </c>
      <c r="W3" s="76" t="s">
        <v>103</v>
      </c>
      <c r="X3" s="76" t="s">
        <v>104</v>
      </c>
      <c r="Y3" s="76" t="s">
        <v>105</v>
      </c>
      <c r="Z3" s="76" t="s">
        <v>106</v>
      </c>
      <c r="AA3" s="76" t="s">
        <v>107</v>
      </c>
      <c r="AB3" s="76" t="s">
        <v>108</v>
      </c>
      <c r="AC3" s="76" t="s">
        <v>109</v>
      </c>
      <c r="AD3" s="76" t="s">
        <v>110</v>
      </c>
      <c r="AE3" s="76" t="s">
        <v>111</v>
      </c>
      <c r="AF3" s="76" t="s">
        <v>112</v>
      </c>
      <c r="AG3" s="76" t="s">
        <v>113</v>
      </c>
      <c r="AH3" s="76" t="s">
        <v>114</v>
      </c>
      <c r="AI3" s="76" t="s">
        <v>115</v>
      </c>
      <c r="AJ3" s="76" t="s">
        <v>116</v>
      </c>
      <c r="AK3" s="76" t="s">
        <v>117</v>
      </c>
      <c r="AL3" s="76" t="s">
        <v>118</v>
      </c>
      <c r="AM3" s="76" t="s">
        <v>119</v>
      </c>
      <c r="AN3" s="76" t="s">
        <v>120</v>
      </c>
      <c r="AO3" s="76" t="s">
        <v>121</v>
      </c>
      <c r="AP3" s="76" t="s">
        <v>122</v>
      </c>
      <c r="AQ3" s="76" t="s">
        <v>123</v>
      </c>
      <c r="AR3" s="76" t="s">
        <v>124</v>
      </c>
      <c r="AS3" s="76" t="s">
        <v>125</v>
      </c>
      <c r="AT3" s="76" t="s">
        <v>126</v>
      </c>
      <c r="AU3" s="76" t="s">
        <v>127</v>
      </c>
      <c r="AV3" s="76" t="s">
        <v>128</v>
      </c>
      <c r="AW3" s="76" t="s">
        <v>129</v>
      </c>
      <c r="AX3" s="76" t="s">
        <v>130</v>
      </c>
    </row>
    <row r="4" spans="1:50" ht="15" customHeight="1">
      <c r="A4" s="170"/>
      <c r="B4" s="46"/>
      <c r="C4" s="46"/>
      <c r="D4" s="46"/>
      <c r="E4" s="46" t="s">
        <v>168</v>
      </c>
      <c r="F4" s="48"/>
      <c r="G4" s="48"/>
      <c r="H4" s="48"/>
      <c r="I4" s="49"/>
      <c r="J4" s="46"/>
      <c r="K4" s="76">
        <v>1</v>
      </c>
      <c r="L4" s="76">
        <v>2</v>
      </c>
      <c r="M4" s="76">
        <v>3</v>
      </c>
      <c r="N4" s="76">
        <v>4</v>
      </c>
      <c r="O4" s="76">
        <v>5</v>
      </c>
      <c r="P4" s="76">
        <v>6</v>
      </c>
      <c r="Q4" s="76">
        <v>7</v>
      </c>
      <c r="R4" s="76">
        <v>8</v>
      </c>
      <c r="S4" s="76">
        <v>9</v>
      </c>
      <c r="T4" s="76">
        <v>10</v>
      </c>
      <c r="U4" s="76">
        <v>11</v>
      </c>
      <c r="V4" s="76">
        <v>12</v>
      </c>
      <c r="W4" s="76">
        <v>13</v>
      </c>
      <c r="X4" s="76">
        <v>14</v>
      </c>
      <c r="Y4" s="76">
        <v>15</v>
      </c>
      <c r="Z4" s="76">
        <v>16</v>
      </c>
      <c r="AA4" s="76">
        <v>17</v>
      </c>
      <c r="AB4" s="76">
        <v>18</v>
      </c>
      <c r="AC4" s="76">
        <v>19</v>
      </c>
      <c r="AD4" s="76">
        <v>20</v>
      </c>
      <c r="AE4" s="76">
        <v>21</v>
      </c>
      <c r="AF4" s="76">
        <v>22</v>
      </c>
      <c r="AG4" s="76">
        <v>23</v>
      </c>
      <c r="AH4" s="76">
        <v>24</v>
      </c>
      <c r="AI4" s="76">
        <v>25</v>
      </c>
      <c r="AJ4" s="76">
        <v>26</v>
      </c>
      <c r="AK4" s="76">
        <v>27</v>
      </c>
      <c r="AL4" s="76">
        <v>28</v>
      </c>
      <c r="AM4" s="76">
        <v>29</v>
      </c>
      <c r="AN4" s="76">
        <v>30</v>
      </c>
      <c r="AO4" s="76">
        <v>31</v>
      </c>
      <c r="AP4" s="76">
        <v>32</v>
      </c>
      <c r="AQ4" s="76">
        <v>33</v>
      </c>
      <c r="AR4" s="76">
        <v>34</v>
      </c>
      <c r="AS4" s="76">
        <v>35</v>
      </c>
      <c r="AT4" s="76">
        <v>36</v>
      </c>
      <c r="AU4" s="76">
        <v>37</v>
      </c>
      <c r="AV4" s="76">
        <v>38</v>
      </c>
      <c r="AW4" s="76">
        <v>39</v>
      </c>
      <c r="AX4" s="76">
        <v>40</v>
      </c>
    </row>
    <row r="5" spans="1:50" ht="15" customHeight="1">
      <c r="A5" s="1"/>
      <c r="B5" s="1"/>
      <c r="C5" s="1"/>
      <c r="D5" s="1"/>
      <c r="E5" s="1"/>
      <c r="F5" s="1"/>
      <c r="G5" s="1"/>
      <c r="H5" s="1"/>
      <c r="I5" s="55"/>
      <c r="J5" s="80"/>
      <c r="K5" s="80"/>
      <c r="L5" s="80"/>
      <c r="M5" s="80"/>
      <c r="N5" s="80"/>
      <c r="O5" s="80"/>
      <c r="P5" s="80"/>
      <c r="Q5" s="80"/>
      <c r="R5" s="80"/>
      <c r="S5" s="1"/>
      <c r="T5" s="1"/>
      <c r="U5" s="1"/>
      <c r="V5" s="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</row>
    <row r="6" spans="1:50" ht="15" customHeight="1">
      <c r="A6"/>
      <c r="B6" s="12" t="s">
        <v>473</v>
      </c>
      <c r="C6" s="13"/>
      <c r="D6" s="13"/>
      <c r="E6" s="13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</row>
    <row r="7" spans="1:50" ht="15" customHeight="1">
      <c r="A7"/>
      <c r="H7" s="1"/>
      <c r="I7" s="1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</row>
    <row r="8" spans="1:50" ht="15" customHeight="1">
      <c r="A8"/>
      <c r="B8" s="1"/>
      <c r="C8" s="180" t="s">
        <v>474</v>
      </c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80"/>
      <c r="AU8" s="180"/>
      <c r="AV8" s="180"/>
      <c r="AW8" s="180"/>
      <c r="AX8" s="180"/>
    </row>
    <row r="9" spans="1:50" ht="15" customHeight="1">
      <c r="A9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</row>
    <row r="10" spans="1:50" ht="15" customHeight="1">
      <c r="A10"/>
      <c r="E10" s="11" t="s">
        <v>368</v>
      </c>
      <c r="G10" s="11" t="str">
        <f>Inputs!G81</f>
        <v>£m nominal prices</v>
      </c>
      <c r="I10" s="165">
        <f>Inputs!I142</f>
        <v>25</v>
      </c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</row>
    <row r="11" spans="1:50" ht="15" customHeight="1">
      <c r="A11" s="93"/>
      <c r="B11" s="93"/>
      <c r="C11" s="93"/>
      <c r="E11" s="1" t="s">
        <v>390</v>
      </c>
      <c r="F11" s="1"/>
      <c r="G11" s="1" t="s">
        <v>225</v>
      </c>
      <c r="I11" s="67"/>
      <c r="K11" s="158" t="b">
        <f>AND(K4 &gt; 0, K4&lt;= $I10)</f>
        <v>1</v>
      </c>
      <c r="L11" s="158" t="b">
        <f t="shared" ref="L11:AX11" si="0">AND(L4 &gt; 0, L4&lt;= $I10)</f>
        <v>1</v>
      </c>
      <c r="M11" s="158" t="b">
        <f t="shared" si="0"/>
        <v>1</v>
      </c>
      <c r="N11" s="158" t="b">
        <f t="shared" si="0"/>
        <v>1</v>
      </c>
      <c r="O11" s="158" t="b">
        <f t="shared" si="0"/>
        <v>1</v>
      </c>
      <c r="P11" s="158" t="b">
        <f t="shared" si="0"/>
        <v>1</v>
      </c>
      <c r="Q11" s="158" t="b">
        <f t="shared" si="0"/>
        <v>1</v>
      </c>
      <c r="R11" s="158" t="b">
        <f t="shared" si="0"/>
        <v>1</v>
      </c>
      <c r="S11" s="158" t="b">
        <f t="shared" si="0"/>
        <v>1</v>
      </c>
      <c r="T11" s="158" t="b">
        <f t="shared" si="0"/>
        <v>1</v>
      </c>
      <c r="U11" s="158" t="b">
        <f t="shared" si="0"/>
        <v>1</v>
      </c>
      <c r="V11" s="158" t="b">
        <f t="shared" si="0"/>
        <v>1</v>
      </c>
      <c r="W11" s="158" t="b">
        <f t="shared" si="0"/>
        <v>1</v>
      </c>
      <c r="X11" s="158" t="b">
        <f t="shared" si="0"/>
        <v>1</v>
      </c>
      <c r="Y11" s="158" t="b">
        <f t="shared" si="0"/>
        <v>1</v>
      </c>
      <c r="Z11" s="158" t="b">
        <f t="shared" si="0"/>
        <v>1</v>
      </c>
      <c r="AA11" s="158" t="b">
        <f t="shared" si="0"/>
        <v>1</v>
      </c>
      <c r="AB11" s="158" t="b">
        <f t="shared" si="0"/>
        <v>1</v>
      </c>
      <c r="AC11" s="158" t="b">
        <f t="shared" si="0"/>
        <v>1</v>
      </c>
      <c r="AD11" s="158" t="b">
        <f t="shared" si="0"/>
        <v>1</v>
      </c>
      <c r="AE11" s="158" t="b">
        <f t="shared" si="0"/>
        <v>1</v>
      </c>
      <c r="AF11" s="158" t="b">
        <f t="shared" si="0"/>
        <v>1</v>
      </c>
      <c r="AG11" s="158" t="b">
        <f t="shared" si="0"/>
        <v>1</v>
      </c>
      <c r="AH11" s="158" t="b">
        <f t="shared" si="0"/>
        <v>1</v>
      </c>
      <c r="AI11" s="158" t="b">
        <f t="shared" si="0"/>
        <v>1</v>
      </c>
      <c r="AJ11" s="158" t="b">
        <f t="shared" si="0"/>
        <v>0</v>
      </c>
      <c r="AK11" s="158" t="b">
        <f t="shared" si="0"/>
        <v>0</v>
      </c>
      <c r="AL11" s="158" t="b">
        <f t="shared" si="0"/>
        <v>0</v>
      </c>
      <c r="AM11" s="158" t="b">
        <f t="shared" si="0"/>
        <v>0</v>
      </c>
      <c r="AN11" s="158" t="b">
        <f t="shared" si="0"/>
        <v>0</v>
      </c>
      <c r="AO11" s="158" t="b">
        <f t="shared" si="0"/>
        <v>0</v>
      </c>
      <c r="AP11" s="158" t="b">
        <f t="shared" si="0"/>
        <v>0</v>
      </c>
      <c r="AQ11" s="158" t="b">
        <f t="shared" si="0"/>
        <v>0</v>
      </c>
      <c r="AR11" s="158" t="b">
        <f t="shared" si="0"/>
        <v>0</v>
      </c>
      <c r="AS11" s="158" t="b">
        <f t="shared" si="0"/>
        <v>0</v>
      </c>
      <c r="AT11" s="158" t="b">
        <f t="shared" si="0"/>
        <v>0</v>
      </c>
      <c r="AU11" s="158" t="b">
        <f t="shared" si="0"/>
        <v>0</v>
      </c>
      <c r="AV11" s="158" t="b">
        <f t="shared" si="0"/>
        <v>0</v>
      </c>
      <c r="AW11" s="158" t="b">
        <f t="shared" si="0"/>
        <v>0</v>
      </c>
      <c r="AX11" s="158" t="b">
        <f t="shared" si="0"/>
        <v>0</v>
      </c>
    </row>
    <row r="12" spans="1:50" ht="15" customHeight="1">
      <c r="A12"/>
      <c r="E12" s="1" t="s">
        <v>475</v>
      </c>
      <c r="G12" s="11" t="s">
        <v>77</v>
      </c>
      <c r="I12" s="11"/>
      <c r="K12" s="16">
        <f>Allowances_Cap!K61* Tax_Deductions!K$13*K11</f>
        <v>57.613136428248694</v>
      </c>
      <c r="L12" s="16">
        <f>Allowances_Cap!L61* Tax_Deductions!L$13*L11</f>
        <v>58.765399156813672</v>
      </c>
      <c r="M12" s="16">
        <f>Allowances_Cap!M61* Tax_Deductions!M$13*M11</f>
        <v>59.940707139949943</v>
      </c>
      <c r="N12" s="16">
        <f>Allowances_Cap!N61* Tax_Deductions!N$13*N11</f>
        <v>61.139521282748944</v>
      </c>
      <c r="O12" s="16">
        <f>Allowances_Cap!O61* Tax_Deductions!O$13*O11</f>
        <v>62.362311708403929</v>
      </c>
      <c r="P12" s="16">
        <f>Allowances_Cap!P61* Tax_Deductions!P$13*P11</f>
        <v>63.60955794257201</v>
      </c>
      <c r="Q12" s="16">
        <f>Allowances_Cap!Q61* Tax_Deductions!Q$13*Q11</f>
        <v>64.881749101423452</v>
      </c>
      <c r="R12" s="16">
        <f>Allowances_Cap!R61* Tax_Deductions!R$13*R11</f>
        <v>66.179384083451907</v>
      </c>
      <c r="S12" s="16">
        <f>Allowances_Cap!S61* Tax_Deductions!S$13*S11</f>
        <v>67.502971765120961</v>
      </c>
      <c r="T12" s="16">
        <f>Allowances_Cap!T61* Tax_Deductions!T$13*T11</f>
        <v>68.853031200423388</v>
      </c>
      <c r="U12" s="16">
        <f>Allowances_Cap!U61* Tax_Deductions!U$13*U11</f>
        <v>70.230091824431852</v>
      </c>
      <c r="V12" s="16">
        <f>Allowances_Cap!V61* Tax_Deductions!V$13*V11</f>
        <v>71.63469366092049</v>
      </c>
      <c r="W12" s="16">
        <f>Allowances_Cap!W61* Tax_Deductions!W$13*W11</f>
        <v>73.067387534138902</v>
      </c>
      <c r="X12" s="16">
        <f>Allowances_Cap!X61* Tax_Deductions!X$13*X11</f>
        <v>74.528735284821693</v>
      </c>
      <c r="Y12" s="16">
        <f>Allowances_Cap!Y61* Tax_Deductions!Y$13*Y11</f>
        <v>76.019309990518124</v>
      </c>
      <c r="Z12" s="16">
        <f>Allowances_Cap!Z61* Tax_Deductions!Z$13*Z11</f>
        <v>77.539696190328485</v>
      </c>
      <c r="AA12" s="16">
        <f>Allowances_Cap!AA61* Tax_Deductions!AA$13*AA11</f>
        <v>79.090490114135065</v>
      </c>
      <c r="AB12" s="16">
        <f>Allowances_Cap!AB61* Tax_Deductions!AB$13*AB11</f>
        <v>80.672299916417771</v>
      </c>
      <c r="AC12" s="16">
        <f>Allowances_Cap!AC61* Tax_Deductions!AC$13*AC11</f>
        <v>82.28574591474613</v>
      </c>
      <c r="AD12" s="16">
        <f>Allowances_Cap!AD61* Tax_Deductions!AD$13*AD11</f>
        <v>83.931460833041058</v>
      </c>
      <c r="AE12" s="16">
        <f>Allowances_Cap!AE61* Tax_Deductions!AE$13*AE11</f>
        <v>85.610090049701867</v>
      </c>
      <c r="AF12" s="16">
        <f>Allowances_Cap!AF61* Tax_Deductions!AF$13*AF11</f>
        <v>87.322291850695905</v>
      </c>
      <c r="AG12" s="16">
        <f>Allowances_Cap!AG61* Tax_Deductions!AG$13*AG11</f>
        <v>89.068737687709827</v>
      </c>
      <c r="AH12" s="16">
        <f>Allowances_Cap!AH61* Tax_Deductions!AH$13*AH11</f>
        <v>90.850112441464034</v>
      </c>
      <c r="AI12" s="16">
        <f>Allowances_Cap!AI61* Tax_Deductions!AI$13*AI11</f>
        <v>92.667114690293317</v>
      </c>
      <c r="AJ12" s="16">
        <f>Allowances_Cap!AJ61* Tax_Deductions!AJ$13*AJ11</f>
        <v>0</v>
      </c>
      <c r="AK12" s="16">
        <f>Allowances_Cap!AK61* Tax_Deductions!AK$13*AK11</f>
        <v>0</v>
      </c>
      <c r="AL12" s="16">
        <f>Allowances_Cap!AL61* Tax_Deductions!AL$13*AL11</f>
        <v>0</v>
      </c>
      <c r="AM12" s="16">
        <f>Allowances_Cap!AM61* Tax_Deductions!AM$13*AM11</f>
        <v>0</v>
      </c>
      <c r="AN12" s="16">
        <f>Allowances_Cap!AN61* Tax_Deductions!AN$13*AN11</f>
        <v>0</v>
      </c>
      <c r="AO12" s="16">
        <f>Allowances_Cap!AO61* Tax_Deductions!AO$13*AO11</f>
        <v>0</v>
      </c>
      <c r="AP12" s="16">
        <f>Allowances_Cap!AP61* Tax_Deductions!AP$13*AP11</f>
        <v>0</v>
      </c>
      <c r="AQ12" s="16">
        <f>Allowances_Cap!AQ61* Tax_Deductions!AQ$13*AQ11</f>
        <v>0</v>
      </c>
      <c r="AR12" s="16">
        <f>Allowances_Cap!AR61* Tax_Deductions!AR$13*AR11</f>
        <v>0</v>
      </c>
      <c r="AS12" s="16">
        <f>Allowances_Cap!AS61* Tax_Deductions!AS$13*AS11</f>
        <v>0</v>
      </c>
      <c r="AT12" s="16">
        <f>Allowances_Cap!AT61* Tax_Deductions!AT$13*AT11</f>
        <v>0</v>
      </c>
      <c r="AU12" s="16">
        <f>Allowances_Cap!AU61* Tax_Deductions!AU$13*AU11</f>
        <v>0</v>
      </c>
      <c r="AV12" s="16">
        <f>Allowances_Cap!AV61* Tax_Deductions!AV$13*AV11</f>
        <v>0</v>
      </c>
      <c r="AW12" s="16">
        <f>Allowances_Cap!AW61* Tax_Deductions!AW$13*AW11</f>
        <v>0</v>
      </c>
      <c r="AX12" s="16">
        <f>Allowances_Cap!AX61* Tax_Deductions!AX$13*AX11</f>
        <v>0</v>
      </c>
    </row>
    <row r="13" spans="1:50" ht="15" customHeight="1">
      <c r="A13"/>
      <c r="E13" s="1" t="s">
        <v>476</v>
      </c>
      <c r="G13" s="11" t="s">
        <v>77</v>
      </c>
      <c r="K13" s="16">
        <f>-Tax_Deductions!K21</f>
        <v>-60.282968043316146</v>
      </c>
      <c r="L13" s="16">
        <f>-Tax_Deductions!L21</f>
        <v>-52.279549313151222</v>
      </c>
      <c r="M13" s="16">
        <f>-Tax_Deductions!M21</f>
        <v>-50.610431775706374</v>
      </c>
      <c r="N13" s="16">
        <f>-Tax_Deductions!N21</f>
        <v>-49.014869285815351</v>
      </c>
      <c r="O13" s="16">
        <f>-Tax_Deductions!O21</f>
        <v>-47.486047032677469</v>
      </c>
      <c r="P13" s="16">
        <f>-Tax_Deductions!P21</f>
        <v>-46.017388424987999</v>
      </c>
      <c r="Q13" s="16">
        <f>-Tax_Deductions!Q21</f>
        <v>-44.602529340003173</v>
      </c>
      <c r="R13" s="16">
        <f>-Tax_Deductions!R21</f>
        <v>-43.289043386230922</v>
      </c>
      <c r="S13" s="16">
        <f>-Tax_Deductions!S21</f>
        <v>-41.989579453594956</v>
      </c>
      <c r="T13" s="16">
        <f>-Tax_Deductions!T21</f>
        <v>-40.710344435209649</v>
      </c>
      <c r="U13" s="16">
        <f>-Tax_Deductions!U21</f>
        <v>-39.475877385983729</v>
      </c>
      <c r="V13" s="16">
        <f>-Tax_Deductions!V21</f>
        <v>-38.295755769354159</v>
      </c>
      <c r="W13" s="16">
        <f>-Tax_Deductions!W21</f>
        <v>-37.185807967192368</v>
      </c>
      <c r="X13" s="16">
        <f>-Tax_Deductions!X21</f>
        <v>-35.990355665419855</v>
      </c>
      <c r="Y13" s="16">
        <f>-Tax_Deductions!Y21</f>
        <v>-34.802485653688464</v>
      </c>
      <c r="Z13" s="16">
        <f>-Tax_Deductions!Z21</f>
        <v>-33.735085499038888</v>
      </c>
      <c r="AA13" s="16">
        <f>-Tax_Deductions!AA21</f>
        <v>-32.538932443183363</v>
      </c>
      <c r="AB13" s="16">
        <f>-Tax_Deductions!AB21</f>
        <v>-31.334382746850618</v>
      </c>
      <c r="AC13" s="16">
        <f>-Tax_Deductions!AC21</f>
        <v>-30.115607233359192</v>
      </c>
      <c r="AD13" s="16">
        <f>-Tax_Deductions!AD21</f>
        <v>-28.881495247639691</v>
      </c>
      <c r="AE13" s="16">
        <f>-Tax_Deductions!AE21</f>
        <v>-27.672549899257589</v>
      </c>
      <c r="AF13" s="16">
        <f>-Tax_Deductions!AF21</f>
        <v>-26.448282439334513</v>
      </c>
      <c r="AG13" s="16">
        <f>-Tax_Deductions!AG21</f>
        <v>-25.106614741881838</v>
      </c>
      <c r="AH13" s="16">
        <f>-Tax_Deductions!AH21</f>
        <v>-23.72494502451595</v>
      </c>
      <c r="AI13" s="16">
        <f>-Tax_Deductions!AI21</f>
        <v>-128.14231728970708</v>
      </c>
      <c r="AJ13" s="16">
        <f>-Tax_Deductions!AJ21</f>
        <v>0</v>
      </c>
      <c r="AK13" s="16">
        <f>-Tax_Deductions!AK21</f>
        <v>0</v>
      </c>
      <c r="AL13" s="16">
        <f>-Tax_Deductions!AL21</f>
        <v>0</v>
      </c>
      <c r="AM13" s="16">
        <f>-Tax_Deductions!AM21</f>
        <v>0</v>
      </c>
      <c r="AN13" s="16">
        <f>-Tax_Deductions!AN21</f>
        <v>0</v>
      </c>
      <c r="AO13" s="16">
        <f>-Tax_Deductions!AO21</f>
        <v>0</v>
      </c>
      <c r="AP13" s="16">
        <f>-Tax_Deductions!AP21</f>
        <v>0</v>
      </c>
      <c r="AQ13" s="16">
        <f>-Tax_Deductions!AQ21</f>
        <v>0</v>
      </c>
      <c r="AR13" s="16">
        <f>-Tax_Deductions!AR21</f>
        <v>0</v>
      </c>
      <c r="AS13" s="16">
        <f>-Tax_Deductions!AS21</f>
        <v>0</v>
      </c>
      <c r="AT13" s="16">
        <f>-Tax_Deductions!AT21</f>
        <v>0</v>
      </c>
      <c r="AU13" s="16">
        <f>-Tax_Deductions!AU21</f>
        <v>0</v>
      </c>
      <c r="AV13" s="16">
        <f>-Tax_Deductions!AV21</f>
        <v>0</v>
      </c>
      <c r="AW13" s="16">
        <f>-Tax_Deductions!AW21</f>
        <v>0</v>
      </c>
      <c r="AX13" s="16">
        <f>-Tax_Deductions!AX21</f>
        <v>0</v>
      </c>
    </row>
    <row r="14" spans="1:50" ht="15" customHeight="1">
      <c r="A14"/>
      <c r="E14" s="11" t="s">
        <v>474</v>
      </c>
      <c r="G14" s="11" t="s">
        <v>77</v>
      </c>
      <c r="K14" s="136">
        <f t="shared" ref="K14:AI14" si="1">SUM(K12:K13)</f>
        <v>-2.6698316150674515</v>
      </c>
      <c r="L14" s="136">
        <f t="shared" si="1"/>
        <v>6.4858498436624501</v>
      </c>
      <c r="M14" s="136">
        <f t="shared" si="1"/>
        <v>9.330275364243569</v>
      </c>
      <c r="N14" s="136">
        <f t="shared" si="1"/>
        <v>12.124651996933594</v>
      </c>
      <c r="O14" s="136">
        <f t="shared" si="1"/>
        <v>14.87626467572646</v>
      </c>
      <c r="P14" s="136">
        <f t="shared" si="1"/>
        <v>17.592169517584011</v>
      </c>
      <c r="Q14" s="136">
        <f t="shared" si="1"/>
        <v>20.279219761420279</v>
      </c>
      <c r="R14" s="136">
        <f t="shared" si="1"/>
        <v>22.890340697220985</v>
      </c>
      <c r="S14" s="136">
        <f t="shared" si="1"/>
        <v>25.513392311526005</v>
      </c>
      <c r="T14" s="136">
        <f t="shared" si="1"/>
        <v>28.142686765213739</v>
      </c>
      <c r="U14" s="136">
        <f t="shared" si="1"/>
        <v>30.754214438448123</v>
      </c>
      <c r="V14" s="136">
        <f t="shared" si="1"/>
        <v>33.338937891566331</v>
      </c>
      <c r="W14" s="136">
        <f t="shared" si="1"/>
        <v>35.881579566946534</v>
      </c>
      <c r="X14" s="136">
        <f t="shared" si="1"/>
        <v>38.538379619401837</v>
      </c>
      <c r="Y14" s="136">
        <f t="shared" si="1"/>
        <v>41.21682433682966</v>
      </c>
      <c r="Z14" s="136">
        <f t="shared" si="1"/>
        <v>43.804610691289597</v>
      </c>
      <c r="AA14" s="136">
        <f t="shared" si="1"/>
        <v>46.551557670951702</v>
      </c>
      <c r="AB14" s="136">
        <f t="shared" si="1"/>
        <v>49.337917169567149</v>
      </c>
      <c r="AC14" s="136">
        <f t="shared" si="1"/>
        <v>52.170138681386938</v>
      </c>
      <c r="AD14" s="136">
        <f t="shared" si="1"/>
        <v>55.049965585401367</v>
      </c>
      <c r="AE14" s="136">
        <f t="shared" si="1"/>
        <v>57.937540150444278</v>
      </c>
      <c r="AF14" s="136">
        <f t="shared" si="1"/>
        <v>60.874009411361392</v>
      </c>
      <c r="AG14" s="136">
        <f t="shared" si="1"/>
        <v>63.962122945827986</v>
      </c>
      <c r="AH14" s="136">
        <f t="shared" si="1"/>
        <v>67.125167416948088</v>
      </c>
      <c r="AI14" s="136">
        <f t="shared" si="1"/>
        <v>-35.475202599413763</v>
      </c>
      <c r="AJ14" s="136">
        <f t="shared" ref="AJ14:AX14" si="2">SUM(AJ12:AJ13)</f>
        <v>0</v>
      </c>
      <c r="AK14" s="136">
        <f t="shared" si="2"/>
        <v>0</v>
      </c>
      <c r="AL14" s="136">
        <f t="shared" si="2"/>
        <v>0</v>
      </c>
      <c r="AM14" s="136">
        <f t="shared" si="2"/>
        <v>0</v>
      </c>
      <c r="AN14" s="136">
        <f t="shared" si="2"/>
        <v>0</v>
      </c>
      <c r="AO14" s="136">
        <f t="shared" si="2"/>
        <v>0</v>
      </c>
      <c r="AP14" s="136">
        <f t="shared" si="2"/>
        <v>0</v>
      </c>
      <c r="AQ14" s="136">
        <f t="shared" si="2"/>
        <v>0</v>
      </c>
      <c r="AR14" s="136">
        <f t="shared" si="2"/>
        <v>0</v>
      </c>
      <c r="AS14" s="136">
        <f t="shared" si="2"/>
        <v>0</v>
      </c>
      <c r="AT14" s="136">
        <f t="shared" si="2"/>
        <v>0</v>
      </c>
      <c r="AU14" s="136">
        <f t="shared" si="2"/>
        <v>0</v>
      </c>
      <c r="AV14" s="136">
        <f t="shared" si="2"/>
        <v>0</v>
      </c>
      <c r="AW14" s="136">
        <f t="shared" si="2"/>
        <v>0</v>
      </c>
      <c r="AX14" s="136">
        <f t="shared" si="2"/>
        <v>0</v>
      </c>
    </row>
    <row r="15" spans="1:50" ht="15" customHeight="1">
      <c r="A1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175"/>
      <c r="AS15" s="175"/>
      <c r="AT15" s="175"/>
      <c r="AU15" s="175"/>
      <c r="AV15" s="175"/>
      <c r="AW15" s="175"/>
      <c r="AX15" s="175"/>
    </row>
    <row r="16" spans="1:50" ht="15" customHeight="1">
      <c r="A16"/>
      <c r="C16" s="180" t="s">
        <v>477</v>
      </c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</row>
    <row r="17" spans="1:50" ht="15" customHeight="1">
      <c r="A17"/>
      <c r="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</row>
    <row r="18" spans="1:50" ht="15" customHeight="1">
      <c r="A18"/>
      <c r="E18" s="1" t="s">
        <v>478</v>
      </c>
      <c r="G18" s="11" t="s">
        <v>77</v>
      </c>
      <c r="I18" s="11"/>
      <c r="K18" s="1">
        <f>J21*K11</f>
        <v>0</v>
      </c>
      <c r="L18" s="1">
        <f t="shared" ref="L18:AX18" si="3">K21*L11</f>
        <v>-2.6698316150674515</v>
      </c>
      <c r="M18" s="1">
        <f t="shared" si="3"/>
        <v>0</v>
      </c>
      <c r="N18" s="1">
        <f t="shared" si="3"/>
        <v>0</v>
      </c>
      <c r="O18" s="1">
        <f t="shared" si="3"/>
        <v>0</v>
      </c>
      <c r="P18" s="1">
        <f t="shared" si="3"/>
        <v>0</v>
      </c>
      <c r="Q18" s="1">
        <f t="shared" si="3"/>
        <v>0</v>
      </c>
      <c r="R18" s="1">
        <f t="shared" si="3"/>
        <v>0</v>
      </c>
      <c r="S18" s="1">
        <f t="shared" si="3"/>
        <v>0</v>
      </c>
      <c r="T18" s="1">
        <f t="shared" si="3"/>
        <v>0</v>
      </c>
      <c r="U18" s="1">
        <f t="shared" si="3"/>
        <v>0</v>
      </c>
      <c r="V18" s="1">
        <f t="shared" si="3"/>
        <v>0</v>
      </c>
      <c r="W18" s="1">
        <f t="shared" si="3"/>
        <v>0</v>
      </c>
      <c r="X18" s="1">
        <f t="shared" si="3"/>
        <v>0</v>
      </c>
      <c r="Y18" s="1">
        <f t="shared" si="3"/>
        <v>0</v>
      </c>
      <c r="Z18" s="1">
        <f t="shared" si="3"/>
        <v>0</v>
      </c>
      <c r="AA18" s="1">
        <f t="shared" si="3"/>
        <v>0</v>
      </c>
      <c r="AB18" s="1">
        <f t="shared" si="3"/>
        <v>0</v>
      </c>
      <c r="AC18" s="1">
        <f t="shared" si="3"/>
        <v>0</v>
      </c>
      <c r="AD18" s="1">
        <f t="shared" si="3"/>
        <v>0</v>
      </c>
      <c r="AE18" s="1">
        <f t="shared" si="3"/>
        <v>0</v>
      </c>
      <c r="AF18" s="1">
        <f t="shared" si="3"/>
        <v>0</v>
      </c>
      <c r="AG18" s="1">
        <f t="shared" si="3"/>
        <v>0</v>
      </c>
      <c r="AH18" s="1">
        <f t="shared" si="3"/>
        <v>0</v>
      </c>
      <c r="AI18" s="1">
        <f t="shared" si="3"/>
        <v>0</v>
      </c>
      <c r="AJ18" s="1">
        <f>AI21*AJ11</f>
        <v>0</v>
      </c>
      <c r="AK18" s="1">
        <f t="shared" si="3"/>
        <v>0</v>
      </c>
      <c r="AL18" s="1">
        <f t="shared" si="3"/>
        <v>0</v>
      </c>
      <c r="AM18" s="1">
        <f t="shared" si="3"/>
        <v>0</v>
      </c>
      <c r="AN18" s="1">
        <f t="shared" si="3"/>
        <v>0</v>
      </c>
      <c r="AO18" s="1">
        <f t="shared" si="3"/>
        <v>0</v>
      </c>
      <c r="AP18" s="1">
        <f t="shared" si="3"/>
        <v>0</v>
      </c>
      <c r="AQ18" s="1">
        <f t="shared" si="3"/>
        <v>0</v>
      </c>
      <c r="AR18" s="1">
        <f t="shared" si="3"/>
        <v>0</v>
      </c>
      <c r="AS18" s="1">
        <f t="shared" si="3"/>
        <v>0</v>
      </c>
      <c r="AT18" s="1">
        <f t="shared" si="3"/>
        <v>0</v>
      </c>
      <c r="AU18" s="1">
        <f t="shared" si="3"/>
        <v>0</v>
      </c>
      <c r="AV18" s="1">
        <f t="shared" si="3"/>
        <v>0</v>
      </c>
      <c r="AW18" s="1">
        <f t="shared" si="3"/>
        <v>0</v>
      </c>
      <c r="AX18" s="1">
        <f t="shared" si="3"/>
        <v>0</v>
      </c>
    </row>
    <row r="19" spans="1:50" ht="15" customHeight="1">
      <c r="A19"/>
      <c r="E19" s="1" t="s">
        <v>479</v>
      </c>
      <c r="G19" s="11" t="s">
        <v>77</v>
      </c>
      <c r="I19" s="11"/>
      <c r="K19" s="1">
        <f t="shared" ref="K19:AI19" si="4">MIN(K14, 0)</f>
        <v>-2.6698316150674515</v>
      </c>
      <c r="L19" s="1">
        <f t="shared" si="4"/>
        <v>0</v>
      </c>
      <c r="M19" s="1">
        <f t="shared" si="4"/>
        <v>0</v>
      </c>
      <c r="N19" s="1">
        <f t="shared" si="4"/>
        <v>0</v>
      </c>
      <c r="O19" s="1">
        <f t="shared" si="4"/>
        <v>0</v>
      </c>
      <c r="P19" s="1">
        <f t="shared" si="4"/>
        <v>0</v>
      </c>
      <c r="Q19" s="1">
        <f t="shared" si="4"/>
        <v>0</v>
      </c>
      <c r="R19" s="1">
        <f t="shared" si="4"/>
        <v>0</v>
      </c>
      <c r="S19" s="1">
        <f t="shared" si="4"/>
        <v>0</v>
      </c>
      <c r="T19" s="1">
        <f t="shared" si="4"/>
        <v>0</v>
      </c>
      <c r="U19" s="1">
        <f t="shared" si="4"/>
        <v>0</v>
      </c>
      <c r="V19" s="1">
        <f t="shared" si="4"/>
        <v>0</v>
      </c>
      <c r="W19" s="1">
        <f t="shared" si="4"/>
        <v>0</v>
      </c>
      <c r="X19" s="1">
        <f t="shared" si="4"/>
        <v>0</v>
      </c>
      <c r="Y19" s="1">
        <f t="shared" si="4"/>
        <v>0</v>
      </c>
      <c r="Z19" s="1">
        <f t="shared" si="4"/>
        <v>0</v>
      </c>
      <c r="AA19" s="1">
        <f t="shared" si="4"/>
        <v>0</v>
      </c>
      <c r="AB19" s="1">
        <f t="shared" si="4"/>
        <v>0</v>
      </c>
      <c r="AC19" s="1">
        <f t="shared" si="4"/>
        <v>0</v>
      </c>
      <c r="AD19" s="1">
        <f t="shared" si="4"/>
        <v>0</v>
      </c>
      <c r="AE19" s="1">
        <f t="shared" si="4"/>
        <v>0</v>
      </c>
      <c r="AF19" s="1">
        <f t="shared" si="4"/>
        <v>0</v>
      </c>
      <c r="AG19" s="1">
        <f t="shared" si="4"/>
        <v>0</v>
      </c>
      <c r="AH19" s="1">
        <f t="shared" si="4"/>
        <v>0</v>
      </c>
      <c r="AI19" s="1">
        <f t="shared" si="4"/>
        <v>-35.475202599413763</v>
      </c>
      <c r="AJ19" s="1">
        <f t="shared" ref="AJ19:AX19" si="5">MIN(AJ14, 0)</f>
        <v>0</v>
      </c>
      <c r="AK19" s="1">
        <f t="shared" si="5"/>
        <v>0</v>
      </c>
      <c r="AL19" s="1">
        <f t="shared" si="5"/>
        <v>0</v>
      </c>
      <c r="AM19" s="1">
        <f t="shared" si="5"/>
        <v>0</v>
      </c>
      <c r="AN19" s="1">
        <f t="shared" si="5"/>
        <v>0</v>
      </c>
      <c r="AO19" s="1">
        <f t="shared" si="5"/>
        <v>0</v>
      </c>
      <c r="AP19" s="1">
        <f t="shared" si="5"/>
        <v>0</v>
      </c>
      <c r="AQ19" s="1">
        <f t="shared" si="5"/>
        <v>0</v>
      </c>
      <c r="AR19" s="1">
        <f t="shared" si="5"/>
        <v>0</v>
      </c>
      <c r="AS19" s="1">
        <f t="shared" si="5"/>
        <v>0</v>
      </c>
      <c r="AT19" s="1">
        <f t="shared" si="5"/>
        <v>0</v>
      </c>
      <c r="AU19" s="1">
        <f t="shared" si="5"/>
        <v>0</v>
      </c>
      <c r="AV19" s="1">
        <f t="shared" si="5"/>
        <v>0</v>
      </c>
      <c r="AW19" s="1">
        <f t="shared" si="5"/>
        <v>0</v>
      </c>
      <c r="AX19" s="1">
        <f t="shared" si="5"/>
        <v>0</v>
      </c>
    </row>
    <row r="20" spans="1:50" ht="15" customHeight="1">
      <c r="A20"/>
      <c r="E20" s="11" t="s">
        <v>480</v>
      </c>
      <c r="G20" s="11" t="s">
        <v>77</v>
      </c>
      <c r="I20" s="11"/>
      <c r="K20" s="1">
        <f t="shared" ref="K20:AI20" si="6">IF(K14 &gt;= 0, MIN(K14, -K18), 0)</f>
        <v>0</v>
      </c>
      <c r="L20" s="1">
        <f t="shared" si="6"/>
        <v>2.6698316150674515</v>
      </c>
      <c r="M20" s="1">
        <f t="shared" si="6"/>
        <v>0</v>
      </c>
      <c r="N20" s="1">
        <f t="shared" si="6"/>
        <v>0</v>
      </c>
      <c r="O20" s="1">
        <f t="shared" si="6"/>
        <v>0</v>
      </c>
      <c r="P20" s="1">
        <f t="shared" si="6"/>
        <v>0</v>
      </c>
      <c r="Q20" s="1">
        <f t="shared" si="6"/>
        <v>0</v>
      </c>
      <c r="R20" s="1">
        <f t="shared" si="6"/>
        <v>0</v>
      </c>
      <c r="S20" s="1">
        <f t="shared" si="6"/>
        <v>0</v>
      </c>
      <c r="T20" s="1">
        <f t="shared" si="6"/>
        <v>0</v>
      </c>
      <c r="U20" s="1">
        <f t="shared" si="6"/>
        <v>0</v>
      </c>
      <c r="V20" s="1">
        <f t="shared" si="6"/>
        <v>0</v>
      </c>
      <c r="W20" s="1">
        <f t="shared" si="6"/>
        <v>0</v>
      </c>
      <c r="X20" s="1">
        <f t="shared" si="6"/>
        <v>0</v>
      </c>
      <c r="Y20" s="1">
        <f t="shared" si="6"/>
        <v>0</v>
      </c>
      <c r="Z20" s="1">
        <f t="shared" si="6"/>
        <v>0</v>
      </c>
      <c r="AA20" s="1">
        <f t="shared" si="6"/>
        <v>0</v>
      </c>
      <c r="AB20" s="1">
        <f t="shared" si="6"/>
        <v>0</v>
      </c>
      <c r="AC20" s="1">
        <f t="shared" si="6"/>
        <v>0</v>
      </c>
      <c r="AD20" s="1">
        <f t="shared" si="6"/>
        <v>0</v>
      </c>
      <c r="AE20" s="1">
        <f t="shared" si="6"/>
        <v>0</v>
      </c>
      <c r="AF20" s="1">
        <f t="shared" si="6"/>
        <v>0</v>
      </c>
      <c r="AG20" s="1">
        <f t="shared" si="6"/>
        <v>0</v>
      </c>
      <c r="AH20" s="1">
        <f t="shared" si="6"/>
        <v>0</v>
      </c>
      <c r="AI20" s="1">
        <f t="shared" si="6"/>
        <v>0</v>
      </c>
      <c r="AJ20" s="1">
        <f t="shared" ref="AJ20:AX20" si="7">IF(AJ14 &gt;= 0, MIN(AJ14, -AJ18), 0)</f>
        <v>0</v>
      </c>
      <c r="AK20" s="1">
        <f t="shared" si="7"/>
        <v>0</v>
      </c>
      <c r="AL20" s="1">
        <f t="shared" si="7"/>
        <v>0</v>
      </c>
      <c r="AM20" s="1">
        <f t="shared" si="7"/>
        <v>0</v>
      </c>
      <c r="AN20" s="1">
        <f t="shared" si="7"/>
        <v>0</v>
      </c>
      <c r="AO20" s="1">
        <f t="shared" si="7"/>
        <v>0</v>
      </c>
      <c r="AP20" s="1">
        <f t="shared" si="7"/>
        <v>0</v>
      </c>
      <c r="AQ20" s="1">
        <f t="shared" si="7"/>
        <v>0</v>
      </c>
      <c r="AR20" s="1">
        <f t="shared" si="7"/>
        <v>0</v>
      </c>
      <c r="AS20" s="1">
        <f t="shared" si="7"/>
        <v>0</v>
      </c>
      <c r="AT20" s="1">
        <f t="shared" si="7"/>
        <v>0</v>
      </c>
      <c r="AU20" s="1">
        <f t="shared" si="7"/>
        <v>0</v>
      </c>
      <c r="AV20" s="1">
        <f t="shared" si="7"/>
        <v>0</v>
      </c>
      <c r="AW20" s="1">
        <f t="shared" si="7"/>
        <v>0</v>
      </c>
      <c r="AX20" s="1">
        <f t="shared" si="7"/>
        <v>0</v>
      </c>
    </row>
    <row r="21" spans="1:50" ht="15" customHeight="1">
      <c r="A21"/>
      <c r="E21" s="1" t="s">
        <v>481</v>
      </c>
      <c r="G21" s="11" t="s">
        <v>77</v>
      </c>
      <c r="I21" s="11"/>
      <c r="K21" s="136">
        <f t="shared" ref="K21:AI21" si="8">SUM(K18:K20)</f>
        <v>-2.6698316150674515</v>
      </c>
      <c r="L21" s="136">
        <f t="shared" si="8"/>
        <v>0</v>
      </c>
      <c r="M21" s="136">
        <f t="shared" si="8"/>
        <v>0</v>
      </c>
      <c r="N21" s="136">
        <f t="shared" si="8"/>
        <v>0</v>
      </c>
      <c r="O21" s="136">
        <f t="shared" si="8"/>
        <v>0</v>
      </c>
      <c r="P21" s="136">
        <f t="shared" si="8"/>
        <v>0</v>
      </c>
      <c r="Q21" s="136">
        <f t="shared" si="8"/>
        <v>0</v>
      </c>
      <c r="R21" s="136">
        <f t="shared" si="8"/>
        <v>0</v>
      </c>
      <c r="S21" s="136">
        <f t="shared" si="8"/>
        <v>0</v>
      </c>
      <c r="T21" s="136">
        <f t="shared" si="8"/>
        <v>0</v>
      </c>
      <c r="U21" s="136">
        <f t="shared" si="8"/>
        <v>0</v>
      </c>
      <c r="V21" s="136">
        <f t="shared" si="8"/>
        <v>0</v>
      </c>
      <c r="W21" s="136">
        <f t="shared" si="8"/>
        <v>0</v>
      </c>
      <c r="X21" s="136">
        <f t="shared" si="8"/>
        <v>0</v>
      </c>
      <c r="Y21" s="136">
        <f t="shared" si="8"/>
        <v>0</v>
      </c>
      <c r="Z21" s="136">
        <f t="shared" si="8"/>
        <v>0</v>
      </c>
      <c r="AA21" s="136">
        <f t="shared" si="8"/>
        <v>0</v>
      </c>
      <c r="AB21" s="136">
        <f t="shared" si="8"/>
        <v>0</v>
      </c>
      <c r="AC21" s="136">
        <f t="shared" si="8"/>
        <v>0</v>
      </c>
      <c r="AD21" s="136">
        <f t="shared" si="8"/>
        <v>0</v>
      </c>
      <c r="AE21" s="136">
        <f t="shared" si="8"/>
        <v>0</v>
      </c>
      <c r="AF21" s="136">
        <f t="shared" si="8"/>
        <v>0</v>
      </c>
      <c r="AG21" s="136">
        <f t="shared" si="8"/>
        <v>0</v>
      </c>
      <c r="AH21" s="136">
        <f t="shared" si="8"/>
        <v>0</v>
      </c>
      <c r="AI21" s="136">
        <f t="shared" si="8"/>
        <v>-35.475202599413763</v>
      </c>
      <c r="AJ21" s="136">
        <f t="shared" ref="AJ21:AX21" si="9">SUM(AJ18:AJ20)</f>
        <v>0</v>
      </c>
      <c r="AK21" s="136">
        <f t="shared" si="9"/>
        <v>0</v>
      </c>
      <c r="AL21" s="136">
        <f t="shared" si="9"/>
        <v>0</v>
      </c>
      <c r="AM21" s="136">
        <f t="shared" si="9"/>
        <v>0</v>
      </c>
      <c r="AN21" s="136">
        <f t="shared" si="9"/>
        <v>0</v>
      </c>
      <c r="AO21" s="136">
        <f t="shared" si="9"/>
        <v>0</v>
      </c>
      <c r="AP21" s="136">
        <f t="shared" si="9"/>
        <v>0</v>
      </c>
      <c r="AQ21" s="136">
        <f t="shared" si="9"/>
        <v>0</v>
      </c>
      <c r="AR21" s="136">
        <f t="shared" si="9"/>
        <v>0</v>
      </c>
      <c r="AS21" s="136">
        <f t="shared" si="9"/>
        <v>0</v>
      </c>
      <c r="AT21" s="136">
        <f t="shared" si="9"/>
        <v>0</v>
      </c>
      <c r="AU21" s="136">
        <f t="shared" si="9"/>
        <v>0</v>
      </c>
      <c r="AV21" s="136">
        <f t="shared" si="9"/>
        <v>0</v>
      </c>
      <c r="AW21" s="136">
        <f t="shared" si="9"/>
        <v>0</v>
      </c>
      <c r="AX21" s="136">
        <f t="shared" si="9"/>
        <v>0</v>
      </c>
    </row>
    <row r="22" spans="1:50" ht="15" customHeight="1">
      <c r="I22" s="1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</row>
    <row r="23" spans="1:50" ht="15" customHeight="1">
      <c r="C23" s="180" t="s">
        <v>482</v>
      </c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  <c r="O23" s="180"/>
      <c r="P23" s="180"/>
      <c r="Q23" s="180"/>
      <c r="R23" s="180"/>
      <c r="S23" s="180"/>
      <c r="T23" s="180"/>
      <c r="U23" s="180"/>
      <c r="V23" s="180"/>
      <c r="W23" s="180"/>
      <c r="X23" s="180"/>
      <c r="Y23" s="180"/>
      <c r="Z23" s="180"/>
      <c r="AA23" s="180"/>
      <c r="AB23" s="180"/>
      <c r="AC23" s="180"/>
      <c r="AD23" s="180"/>
      <c r="AE23" s="180"/>
      <c r="AF23" s="180"/>
      <c r="AG23" s="180"/>
      <c r="AH23" s="180"/>
      <c r="AI23" s="180"/>
      <c r="AJ23" s="180"/>
      <c r="AK23" s="180"/>
      <c r="AL23" s="180"/>
      <c r="AM23" s="180"/>
      <c r="AN23" s="180"/>
      <c r="AO23" s="180"/>
      <c r="AP23" s="180"/>
      <c r="AQ23" s="180"/>
      <c r="AR23" s="180"/>
      <c r="AS23" s="180"/>
      <c r="AT23" s="180"/>
      <c r="AU23" s="180"/>
      <c r="AV23" s="180"/>
      <c r="AW23" s="180"/>
      <c r="AX23" s="180"/>
    </row>
    <row r="24" spans="1:50" ht="15" customHeight="1">
      <c r="B24" s="1"/>
      <c r="C24" s="1"/>
      <c r="D24" s="1"/>
      <c r="E24" s="1"/>
      <c r="F24" s="1"/>
      <c r="G24" s="1"/>
      <c r="H24" s="1"/>
      <c r="I24" s="1"/>
      <c r="J24" s="8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</row>
    <row r="25" spans="1:50" ht="15" customHeight="1">
      <c r="A25"/>
      <c r="B25" s="1"/>
      <c r="C25" s="1"/>
      <c r="D25" s="1"/>
      <c r="E25" s="11" t="s">
        <v>483</v>
      </c>
      <c r="G25" s="11" t="s">
        <v>77</v>
      </c>
      <c r="H25" s="1"/>
      <c r="I25" s="1"/>
      <c r="J25" s="81"/>
      <c r="K25" s="1">
        <f>MAX(K14 - K20,0)</f>
        <v>0</v>
      </c>
      <c r="L25" s="1">
        <f t="shared" ref="L25:AI25" si="10">MAX(L14 - L20,0)</f>
        <v>3.8160182285949986</v>
      </c>
      <c r="M25" s="1">
        <f t="shared" si="10"/>
        <v>9.330275364243569</v>
      </c>
      <c r="N25" s="1">
        <f t="shared" si="10"/>
        <v>12.124651996933594</v>
      </c>
      <c r="O25" s="1">
        <f t="shared" si="10"/>
        <v>14.87626467572646</v>
      </c>
      <c r="P25" s="1">
        <f t="shared" si="10"/>
        <v>17.592169517584011</v>
      </c>
      <c r="Q25" s="1">
        <f t="shared" si="10"/>
        <v>20.279219761420279</v>
      </c>
      <c r="R25" s="1">
        <f t="shared" si="10"/>
        <v>22.890340697220985</v>
      </c>
      <c r="S25" s="1">
        <f t="shared" si="10"/>
        <v>25.513392311526005</v>
      </c>
      <c r="T25" s="1">
        <f t="shared" si="10"/>
        <v>28.142686765213739</v>
      </c>
      <c r="U25" s="1">
        <f t="shared" si="10"/>
        <v>30.754214438448123</v>
      </c>
      <c r="V25" s="1">
        <f t="shared" si="10"/>
        <v>33.338937891566331</v>
      </c>
      <c r="W25" s="1">
        <f t="shared" si="10"/>
        <v>35.881579566946534</v>
      </c>
      <c r="X25" s="1">
        <f t="shared" si="10"/>
        <v>38.538379619401837</v>
      </c>
      <c r="Y25" s="1">
        <f t="shared" si="10"/>
        <v>41.21682433682966</v>
      </c>
      <c r="Z25" s="1">
        <f t="shared" si="10"/>
        <v>43.804610691289597</v>
      </c>
      <c r="AA25" s="1">
        <f t="shared" si="10"/>
        <v>46.551557670951702</v>
      </c>
      <c r="AB25" s="1">
        <f t="shared" si="10"/>
        <v>49.337917169567149</v>
      </c>
      <c r="AC25" s="1">
        <f t="shared" si="10"/>
        <v>52.170138681386938</v>
      </c>
      <c r="AD25" s="1">
        <f t="shared" si="10"/>
        <v>55.049965585401367</v>
      </c>
      <c r="AE25" s="1">
        <f t="shared" si="10"/>
        <v>57.937540150444278</v>
      </c>
      <c r="AF25" s="1">
        <f t="shared" si="10"/>
        <v>60.874009411361392</v>
      </c>
      <c r="AG25" s="1">
        <f t="shared" si="10"/>
        <v>63.962122945827986</v>
      </c>
      <c r="AH25" s="1">
        <f t="shared" si="10"/>
        <v>67.125167416948088</v>
      </c>
      <c r="AI25" s="1">
        <f t="shared" si="10"/>
        <v>0</v>
      </c>
      <c r="AJ25" s="1">
        <f t="shared" ref="AJ25:AX25" si="11">MAX(AJ14 - AJ20,0)</f>
        <v>0</v>
      </c>
      <c r="AK25" s="1">
        <f t="shared" si="11"/>
        <v>0</v>
      </c>
      <c r="AL25" s="1">
        <f t="shared" si="11"/>
        <v>0</v>
      </c>
      <c r="AM25" s="1">
        <f t="shared" si="11"/>
        <v>0</v>
      </c>
      <c r="AN25" s="1">
        <f t="shared" si="11"/>
        <v>0</v>
      </c>
      <c r="AO25" s="1">
        <f t="shared" si="11"/>
        <v>0</v>
      </c>
      <c r="AP25" s="1">
        <f t="shared" si="11"/>
        <v>0</v>
      </c>
      <c r="AQ25" s="1">
        <f t="shared" si="11"/>
        <v>0</v>
      </c>
      <c r="AR25" s="1">
        <f t="shared" si="11"/>
        <v>0</v>
      </c>
      <c r="AS25" s="1">
        <f t="shared" si="11"/>
        <v>0</v>
      </c>
      <c r="AT25" s="1">
        <f t="shared" si="11"/>
        <v>0</v>
      </c>
      <c r="AU25" s="1">
        <f t="shared" si="11"/>
        <v>0</v>
      </c>
      <c r="AV25" s="1">
        <f t="shared" si="11"/>
        <v>0</v>
      </c>
      <c r="AW25" s="1">
        <f t="shared" si="11"/>
        <v>0</v>
      </c>
      <c r="AX25" s="1">
        <f t="shared" si="11"/>
        <v>0</v>
      </c>
    </row>
    <row r="26" spans="1:50" ht="15" customHeight="1">
      <c r="A26"/>
      <c r="B26" s="1"/>
      <c r="C26" s="1"/>
      <c r="D26" s="1"/>
      <c r="E26" s="174" t="s">
        <v>241</v>
      </c>
      <c r="G26" s="174" t="str">
        <f>Inputs!G173</f>
        <v>%</v>
      </c>
      <c r="H26" s="1"/>
      <c r="I26" s="1"/>
      <c r="J26" s="81"/>
      <c r="K26" s="181">
        <f>Inputs!K165</f>
        <v>0.25</v>
      </c>
      <c r="L26" s="181">
        <f>Inputs!L165</f>
        <v>0.25</v>
      </c>
      <c r="M26" s="181">
        <f>Inputs!M165</f>
        <v>0.25</v>
      </c>
      <c r="N26" s="181">
        <f>Inputs!N165</f>
        <v>0.25</v>
      </c>
      <c r="O26" s="181">
        <f>Inputs!O165</f>
        <v>0.25</v>
      </c>
      <c r="P26" s="181">
        <f>Inputs!P165</f>
        <v>0.25</v>
      </c>
      <c r="Q26" s="181">
        <f>Inputs!Q165</f>
        <v>0.25</v>
      </c>
      <c r="R26" s="181">
        <f>Inputs!R165</f>
        <v>0.25</v>
      </c>
      <c r="S26" s="181">
        <f>Inputs!S165</f>
        <v>0.25</v>
      </c>
      <c r="T26" s="181">
        <f>Inputs!T165</f>
        <v>0.25</v>
      </c>
      <c r="U26" s="181">
        <f>Inputs!U165</f>
        <v>0.25</v>
      </c>
      <c r="V26" s="181">
        <f>Inputs!V165</f>
        <v>0.25</v>
      </c>
      <c r="W26" s="181">
        <f>Inputs!W165</f>
        <v>0.25</v>
      </c>
      <c r="X26" s="181">
        <f>Inputs!X165</f>
        <v>0.25</v>
      </c>
      <c r="Y26" s="181">
        <f>Inputs!Y165</f>
        <v>0.25</v>
      </c>
      <c r="Z26" s="181">
        <f>Inputs!Z165</f>
        <v>0.25</v>
      </c>
      <c r="AA26" s="181">
        <f>Inputs!AA165</f>
        <v>0.25</v>
      </c>
      <c r="AB26" s="181">
        <f>Inputs!AB165</f>
        <v>0.25</v>
      </c>
      <c r="AC26" s="181">
        <f>Inputs!AC165</f>
        <v>0.25</v>
      </c>
      <c r="AD26" s="181">
        <f>Inputs!AD165</f>
        <v>0.25</v>
      </c>
      <c r="AE26" s="181">
        <f>Inputs!AE165</f>
        <v>0.25</v>
      </c>
      <c r="AF26" s="181">
        <f>Inputs!AF165</f>
        <v>0.25</v>
      </c>
      <c r="AG26" s="181">
        <f>Inputs!AG165</f>
        <v>0.25</v>
      </c>
      <c r="AH26" s="181">
        <f>Inputs!AH165</f>
        <v>0.25</v>
      </c>
      <c r="AI26" s="181">
        <f>Inputs!AI165</f>
        <v>0.25</v>
      </c>
      <c r="AJ26" s="181">
        <f>Inputs!AJ165</f>
        <v>0.25</v>
      </c>
      <c r="AK26" s="181">
        <f>Inputs!AK165</f>
        <v>0.25</v>
      </c>
      <c r="AL26" s="181">
        <f>Inputs!AL165</f>
        <v>0.25</v>
      </c>
      <c r="AM26" s="181">
        <f>Inputs!AM165</f>
        <v>0.25</v>
      </c>
      <c r="AN26" s="181">
        <f>Inputs!AN165</f>
        <v>0.25</v>
      </c>
      <c r="AO26" s="181">
        <f>Inputs!AO165</f>
        <v>0.25</v>
      </c>
      <c r="AP26" s="181">
        <f>Inputs!AP165</f>
        <v>0.25</v>
      </c>
      <c r="AQ26" s="181">
        <f>Inputs!AQ165</f>
        <v>0.25</v>
      </c>
      <c r="AR26" s="181">
        <f>Inputs!AR165</f>
        <v>0.25</v>
      </c>
      <c r="AS26" s="181">
        <f>Inputs!AS165</f>
        <v>0.25</v>
      </c>
      <c r="AT26" s="181">
        <f>Inputs!AT165</f>
        <v>0.25</v>
      </c>
      <c r="AU26" s="181">
        <f>Inputs!AU165</f>
        <v>0.25</v>
      </c>
      <c r="AV26" s="181">
        <f>Inputs!AV165</f>
        <v>0.25</v>
      </c>
      <c r="AW26" s="181">
        <f>Inputs!AW165</f>
        <v>0.25</v>
      </c>
      <c r="AX26" s="181">
        <f>Inputs!AX165</f>
        <v>0.25</v>
      </c>
    </row>
    <row r="27" spans="1:50" ht="15" customHeight="1">
      <c r="A27"/>
      <c r="E27" s="11" t="s">
        <v>484</v>
      </c>
      <c r="G27" s="11" t="s">
        <v>77</v>
      </c>
      <c r="I27" s="11"/>
      <c r="K27" s="138">
        <f t="shared" ref="K27:AI27" si="12">K25 * K26</f>
        <v>0</v>
      </c>
      <c r="L27" s="138">
        <f t="shared" si="12"/>
        <v>0.95400455714874965</v>
      </c>
      <c r="M27" s="138">
        <f t="shared" si="12"/>
        <v>2.3325688410608922</v>
      </c>
      <c r="N27" s="138">
        <f t="shared" si="12"/>
        <v>3.0311629992333984</v>
      </c>
      <c r="O27" s="138">
        <f t="shared" si="12"/>
        <v>3.7190661689316151</v>
      </c>
      <c r="P27" s="138">
        <f t="shared" si="12"/>
        <v>4.3980423793960028</v>
      </c>
      <c r="Q27" s="138">
        <f t="shared" si="12"/>
        <v>5.0698049403550698</v>
      </c>
      <c r="R27" s="138">
        <f t="shared" si="12"/>
        <v>5.7225851743052463</v>
      </c>
      <c r="S27" s="138">
        <f t="shared" si="12"/>
        <v>6.3783480778815012</v>
      </c>
      <c r="T27" s="138">
        <f t="shared" si="12"/>
        <v>7.0356716913034347</v>
      </c>
      <c r="U27" s="138">
        <f t="shared" si="12"/>
        <v>7.6885536096120308</v>
      </c>
      <c r="V27" s="138">
        <f t="shared" si="12"/>
        <v>8.3347344728915829</v>
      </c>
      <c r="W27" s="138">
        <f t="shared" si="12"/>
        <v>8.9703948917366336</v>
      </c>
      <c r="X27" s="138">
        <f t="shared" si="12"/>
        <v>9.6345949048504593</v>
      </c>
      <c r="Y27" s="138">
        <f t="shared" si="12"/>
        <v>10.304206084207415</v>
      </c>
      <c r="Z27" s="138">
        <f t="shared" si="12"/>
        <v>10.951152672822399</v>
      </c>
      <c r="AA27" s="138">
        <f t="shared" si="12"/>
        <v>11.637889417737926</v>
      </c>
      <c r="AB27" s="138">
        <f t="shared" si="12"/>
        <v>12.334479292391787</v>
      </c>
      <c r="AC27" s="138">
        <f t="shared" si="12"/>
        <v>13.042534670346734</v>
      </c>
      <c r="AD27" s="138">
        <f t="shared" si="12"/>
        <v>13.762491396350342</v>
      </c>
      <c r="AE27" s="138">
        <f t="shared" si="12"/>
        <v>14.484385037611069</v>
      </c>
      <c r="AF27" s="138">
        <f t="shared" si="12"/>
        <v>15.218502352840348</v>
      </c>
      <c r="AG27" s="138">
        <f t="shared" si="12"/>
        <v>15.990530736456996</v>
      </c>
      <c r="AH27" s="138">
        <f t="shared" si="12"/>
        <v>16.781291854237022</v>
      </c>
      <c r="AI27" s="138">
        <f t="shared" si="12"/>
        <v>0</v>
      </c>
      <c r="AJ27" s="138">
        <f t="shared" ref="AJ27:AX27" si="13">AJ25 * AJ26</f>
        <v>0</v>
      </c>
      <c r="AK27" s="138">
        <f t="shared" si="13"/>
        <v>0</v>
      </c>
      <c r="AL27" s="138">
        <f t="shared" si="13"/>
        <v>0</v>
      </c>
      <c r="AM27" s="138">
        <f t="shared" si="13"/>
        <v>0</v>
      </c>
      <c r="AN27" s="138">
        <f t="shared" si="13"/>
        <v>0</v>
      </c>
      <c r="AO27" s="138">
        <f t="shared" si="13"/>
        <v>0</v>
      </c>
      <c r="AP27" s="138">
        <f t="shared" si="13"/>
        <v>0</v>
      </c>
      <c r="AQ27" s="138">
        <f t="shared" si="13"/>
        <v>0</v>
      </c>
      <c r="AR27" s="138">
        <f t="shared" si="13"/>
        <v>0</v>
      </c>
      <c r="AS27" s="138">
        <f t="shared" si="13"/>
        <v>0</v>
      </c>
      <c r="AT27" s="138">
        <f t="shared" si="13"/>
        <v>0</v>
      </c>
      <c r="AU27" s="138">
        <f t="shared" si="13"/>
        <v>0</v>
      </c>
      <c r="AV27" s="138">
        <f t="shared" si="13"/>
        <v>0</v>
      </c>
      <c r="AW27" s="138">
        <f t="shared" si="13"/>
        <v>0</v>
      </c>
      <c r="AX27" s="138">
        <f t="shared" si="13"/>
        <v>0</v>
      </c>
    </row>
    <row r="28" spans="1:50" ht="15" customHeight="1">
      <c r="I28" s="1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</row>
    <row r="29" spans="1:50" ht="15" customHeight="1">
      <c r="A29"/>
      <c r="E29" s="1" t="s">
        <v>485</v>
      </c>
      <c r="G29" s="1" t="s">
        <v>249</v>
      </c>
      <c r="I29" s="11"/>
      <c r="K29" s="182">
        <f t="shared" ref="K29:AI29" si="14">1 / (1 - K26)</f>
        <v>1.3333333333333333</v>
      </c>
      <c r="L29" s="182">
        <f t="shared" si="14"/>
        <v>1.3333333333333333</v>
      </c>
      <c r="M29" s="182">
        <f t="shared" si="14"/>
        <v>1.3333333333333333</v>
      </c>
      <c r="N29" s="182">
        <f t="shared" si="14"/>
        <v>1.3333333333333333</v>
      </c>
      <c r="O29" s="182">
        <f t="shared" si="14"/>
        <v>1.3333333333333333</v>
      </c>
      <c r="P29" s="182">
        <f t="shared" si="14"/>
        <v>1.3333333333333333</v>
      </c>
      <c r="Q29" s="182">
        <f t="shared" si="14"/>
        <v>1.3333333333333333</v>
      </c>
      <c r="R29" s="182">
        <f t="shared" si="14"/>
        <v>1.3333333333333333</v>
      </c>
      <c r="S29" s="182">
        <f t="shared" si="14"/>
        <v>1.3333333333333333</v>
      </c>
      <c r="T29" s="182">
        <f t="shared" si="14"/>
        <v>1.3333333333333333</v>
      </c>
      <c r="U29" s="182">
        <f t="shared" si="14"/>
        <v>1.3333333333333333</v>
      </c>
      <c r="V29" s="182">
        <f t="shared" si="14"/>
        <v>1.3333333333333333</v>
      </c>
      <c r="W29" s="182">
        <f t="shared" si="14"/>
        <v>1.3333333333333333</v>
      </c>
      <c r="X29" s="182">
        <f t="shared" si="14"/>
        <v>1.3333333333333333</v>
      </c>
      <c r="Y29" s="182">
        <f t="shared" si="14"/>
        <v>1.3333333333333333</v>
      </c>
      <c r="Z29" s="182">
        <f t="shared" si="14"/>
        <v>1.3333333333333333</v>
      </c>
      <c r="AA29" s="182">
        <f t="shared" si="14"/>
        <v>1.3333333333333333</v>
      </c>
      <c r="AB29" s="182">
        <f t="shared" si="14"/>
        <v>1.3333333333333333</v>
      </c>
      <c r="AC29" s="182">
        <f t="shared" si="14"/>
        <v>1.3333333333333333</v>
      </c>
      <c r="AD29" s="182">
        <f t="shared" si="14"/>
        <v>1.3333333333333333</v>
      </c>
      <c r="AE29" s="182">
        <f t="shared" si="14"/>
        <v>1.3333333333333333</v>
      </c>
      <c r="AF29" s="182">
        <f t="shared" si="14"/>
        <v>1.3333333333333333</v>
      </c>
      <c r="AG29" s="182">
        <f t="shared" si="14"/>
        <v>1.3333333333333333</v>
      </c>
      <c r="AH29" s="182">
        <f t="shared" si="14"/>
        <v>1.3333333333333333</v>
      </c>
      <c r="AI29" s="182">
        <f t="shared" si="14"/>
        <v>1.3333333333333333</v>
      </c>
      <c r="AJ29" s="182">
        <f t="shared" ref="AJ29:AX29" si="15">1 / (1 - AJ26)</f>
        <v>1.3333333333333333</v>
      </c>
      <c r="AK29" s="182">
        <f t="shared" si="15"/>
        <v>1.3333333333333333</v>
      </c>
      <c r="AL29" s="182">
        <f t="shared" si="15"/>
        <v>1.3333333333333333</v>
      </c>
      <c r="AM29" s="182">
        <f t="shared" si="15"/>
        <v>1.3333333333333333</v>
      </c>
      <c r="AN29" s="182">
        <f t="shared" si="15"/>
        <v>1.3333333333333333</v>
      </c>
      <c r="AO29" s="182">
        <f t="shared" si="15"/>
        <v>1.3333333333333333</v>
      </c>
      <c r="AP29" s="182">
        <f t="shared" si="15"/>
        <v>1.3333333333333333</v>
      </c>
      <c r="AQ29" s="182">
        <f t="shared" si="15"/>
        <v>1.3333333333333333</v>
      </c>
      <c r="AR29" s="182">
        <f t="shared" si="15"/>
        <v>1.3333333333333333</v>
      </c>
      <c r="AS29" s="182">
        <f t="shared" si="15"/>
        <v>1.3333333333333333</v>
      </c>
      <c r="AT29" s="182">
        <f t="shared" si="15"/>
        <v>1.3333333333333333</v>
      </c>
      <c r="AU29" s="182">
        <f t="shared" si="15"/>
        <v>1.3333333333333333</v>
      </c>
      <c r="AV29" s="182">
        <f t="shared" si="15"/>
        <v>1.3333333333333333</v>
      </c>
      <c r="AW29" s="182">
        <f t="shared" si="15"/>
        <v>1.3333333333333333</v>
      </c>
      <c r="AX29" s="182">
        <f t="shared" si="15"/>
        <v>1.3333333333333333</v>
      </c>
    </row>
    <row r="30" spans="1:50" ht="15" customHeight="1">
      <c r="I30" s="1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</row>
    <row r="31" spans="1:50" ht="15" customHeight="1">
      <c r="A31"/>
      <c r="E31" s="1" t="s">
        <v>473</v>
      </c>
      <c r="G31" s="11" t="s">
        <v>77</v>
      </c>
      <c r="I31" s="11"/>
      <c r="K31" s="143">
        <f t="shared" ref="K31:AI31" si="16">K27 * K29</f>
        <v>0</v>
      </c>
      <c r="L31" s="143">
        <f t="shared" si="16"/>
        <v>1.2720060761983327</v>
      </c>
      <c r="M31" s="143">
        <f t="shared" si="16"/>
        <v>3.1100917880811894</v>
      </c>
      <c r="N31" s="143">
        <f t="shared" si="16"/>
        <v>4.0415506656445306</v>
      </c>
      <c r="O31" s="143">
        <f t="shared" si="16"/>
        <v>4.9587548919088196</v>
      </c>
      <c r="P31" s="143">
        <f t="shared" si="16"/>
        <v>5.8640565058613365</v>
      </c>
      <c r="Q31" s="143">
        <f t="shared" si="16"/>
        <v>6.7597399204734261</v>
      </c>
      <c r="R31" s="143">
        <f t="shared" si="16"/>
        <v>7.6301135657403281</v>
      </c>
      <c r="S31" s="143">
        <f t="shared" si="16"/>
        <v>8.5044641038420004</v>
      </c>
      <c r="T31" s="143">
        <f t="shared" si="16"/>
        <v>9.380895588404579</v>
      </c>
      <c r="U31" s="143">
        <f t="shared" si="16"/>
        <v>10.251404812816041</v>
      </c>
      <c r="V31" s="143">
        <f t="shared" si="16"/>
        <v>11.112979297188776</v>
      </c>
      <c r="W31" s="143">
        <f t="shared" si="16"/>
        <v>11.960526522315511</v>
      </c>
      <c r="X31" s="143">
        <f t="shared" si="16"/>
        <v>12.846126539800611</v>
      </c>
      <c r="Y31" s="143">
        <f t="shared" si="16"/>
        <v>13.738941445609886</v>
      </c>
      <c r="Z31" s="143">
        <f t="shared" si="16"/>
        <v>14.601536897096532</v>
      </c>
      <c r="AA31" s="143">
        <f t="shared" si="16"/>
        <v>15.517185890317233</v>
      </c>
      <c r="AB31" s="143">
        <f t="shared" si="16"/>
        <v>16.445972389855715</v>
      </c>
      <c r="AC31" s="143">
        <f t="shared" si="16"/>
        <v>17.390046227128977</v>
      </c>
      <c r="AD31" s="143">
        <f t="shared" si="16"/>
        <v>18.349988528467122</v>
      </c>
      <c r="AE31" s="143">
        <f t="shared" si="16"/>
        <v>19.312513383481424</v>
      </c>
      <c r="AF31" s="143">
        <f t="shared" si="16"/>
        <v>20.291336470453796</v>
      </c>
      <c r="AG31" s="143">
        <f t="shared" si="16"/>
        <v>21.320707648609329</v>
      </c>
      <c r="AH31" s="143">
        <f t="shared" si="16"/>
        <v>22.37505580564936</v>
      </c>
      <c r="AI31" s="143">
        <f t="shared" si="16"/>
        <v>0</v>
      </c>
      <c r="AJ31" s="143">
        <f t="shared" ref="AJ31:AX31" si="17">AJ27 * AJ29</f>
        <v>0</v>
      </c>
      <c r="AK31" s="143">
        <f t="shared" si="17"/>
        <v>0</v>
      </c>
      <c r="AL31" s="143">
        <f t="shared" si="17"/>
        <v>0</v>
      </c>
      <c r="AM31" s="143">
        <f t="shared" si="17"/>
        <v>0</v>
      </c>
      <c r="AN31" s="143">
        <f t="shared" si="17"/>
        <v>0</v>
      </c>
      <c r="AO31" s="143">
        <f t="shared" si="17"/>
        <v>0</v>
      </c>
      <c r="AP31" s="143">
        <f t="shared" si="17"/>
        <v>0</v>
      </c>
      <c r="AQ31" s="143">
        <f t="shared" si="17"/>
        <v>0</v>
      </c>
      <c r="AR31" s="143">
        <f t="shared" si="17"/>
        <v>0</v>
      </c>
      <c r="AS31" s="143">
        <f t="shared" si="17"/>
        <v>0</v>
      </c>
      <c r="AT31" s="143">
        <f t="shared" si="17"/>
        <v>0</v>
      </c>
      <c r="AU31" s="143">
        <f t="shared" si="17"/>
        <v>0</v>
      </c>
      <c r="AV31" s="143">
        <f t="shared" si="17"/>
        <v>0</v>
      </c>
      <c r="AW31" s="143">
        <f t="shared" si="17"/>
        <v>0</v>
      </c>
      <c r="AX31" s="143">
        <f t="shared" si="17"/>
        <v>0</v>
      </c>
    </row>
    <row r="32" spans="1:50" ht="15" customHeight="1">
      <c r="B32" s="1"/>
      <c r="C32" s="1"/>
      <c r="D32" s="1"/>
      <c r="E32" s="1"/>
      <c r="F32" s="1"/>
      <c r="G32" s="1"/>
      <c r="H32" s="1"/>
      <c r="I32" s="55"/>
      <c r="J32" s="80"/>
      <c r="K32" s="80"/>
      <c r="L32" s="80"/>
      <c r="M32" s="80"/>
      <c r="N32" s="80"/>
      <c r="O32" s="80"/>
      <c r="P32" s="80"/>
      <c r="Q32" s="80"/>
      <c r="R32" s="80"/>
      <c r="S32" s="1"/>
      <c r="T32" s="1"/>
      <c r="U32" s="1"/>
      <c r="V32" s="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</row>
    <row r="33" spans="1:50" ht="15" customHeight="1">
      <c r="B33" s="13" t="s">
        <v>486</v>
      </c>
      <c r="C33" s="13"/>
      <c r="D33" s="13"/>
      <c r="E33" s="13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</row>
    <row r="34" spans="1:50" ht="15" customHeight="1">
      <c r="B34" s="1"/>
      <c r="C34" s="1"/>
      <c r="D34" s="1"/>
      <c r="I34" s="11"/>
      <c r="J34" s="140"/>
      <c r="K34" s="140"/>
      <c r="L34" s="140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  <c r="AA34" s="140"/>
      <c r="AB34" s="140"/>
      <c r="AC34" s="140"/>
      <c r="AD34" s="140"/>
      <c r="AE34" s="140"/>
      <c r="AF34" s="140"/>
      <c r="AG34" s="140"/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</row>
    <row r="35" spans="1:50" ht="15" customHeight="1">
      <c r="A35"/>
      <c r="B35" s="1"/>
      <c r="C35" s="1"/>
      <c r="D35" s="1"/>
      <c r="E35" s="140" t="s">
        <v>473</v>
      </c>
      <c r="G35" s="1" t="str">
        <f>Inputs!$I$6</f>
        <v>£m 2024 prices</v>
      </c>
      <c r="I35" s="11"/>
      <c r="J35" s="140"/>
      <c r="K35" s="1">
        <f>IFERROR((Tax_Cap!K31 / Tax_Deductions!K13)*K11,0)</f>
        <v>0</v>
      </c>
      <c r="L35" s="1">
        <f>IFERROR((Tax_Cap!L31 / Tax_Deductions!L13)*L11,0)</f>
        <v>1.1295049936310679</v>
      </c>
      <c r="M35" s="1">
        <f>IFERROR((Tax_Cap!M31 / Tax_Deductions!M13)*M11,0)</f>
        <v>2.7075220625376262</v>
      </c>
      <c r="N35" s="1">
        <f>IFERROR((Tax_Cap!N31 / Tax_Deductions!N13)*N11,0)</f>
        <v>3.4494245778045918</v>
      </c>
      <c r="O35" s="1">
        <f>IFERROR((Tax_Cap!O31 / Tax_Deductions!O13)*O11,0)</f>
        <v>4.1492642679765082</v>
      </c>
      <c r="P35" s="1">
        <f>IFERROR((Tax_Cap!P31 / Tax_Deductions!P13)*P11,0)</f>
        <v>4.8105687849551897</v>
      </c>
      <c r="Q35" s="1">
        <f>IFERROR((Tax_Cap!Q31 / Tax_Deductions!Q13)*Q11,0)</f>
        <v>5.4366089719201867</v>
      </c>
      <c r="R35" s="1">
        <f>IFERROR((Tax_Cap!R31 / Tax_Deductions!R13)*R11,0)</f>
        <v>6.0162924754992648</v>
      </c>
      <c r="S35" s="1">
        <f>IFERROR((Tax_Cap!S31 / Tax_Deductions!S13)*S11,0)</f>
        <v>6.5742273606456685</v>
      </c>
      <c r="T35" s="1">
        <f>IFERROR((Tax_Cap!T31 / Tax_Deductions!T13)*T11,0)</f>
        <v>7.1095464747222925</v>
      </c>
      <c r="U35" s="1">
        <f>IFERROR((Tax_Cap!U31 / Tax_Deductions!U13)*U11,0)</f>
        <v>7.616944778997512</v>
      </c>
      <c r="V35" s="1">
        <f>IFERROR((Tax_Cap!V31 / Tax_Deductions!V13)*V11,0)</f>
        <v>8.0952032469301134</v>
      </c>
      <c r="W35" s="1">
        <f>IFERROR((Tax_Cap!W31 / Tax_Deductions!W13)*W11,0)</f>
        <v>8.5417602696066659</v>
      </c>
      <c r="X35" s="1">
        <f>IFERROR((Tax_Cap!X31 / Tax_Deductions!X13)*X11,0)</f>
        <v>8.9943359288360938</v>
      </c>
      <c r="Y35" s="1">
        <f>IFERROR((Tax_Cap!Y31 / Tax_Deductions!Y13)*Y11,0)</f>
        <v>9.4308320149485372</v>
      </c>
      <c r="Z35" s="1">
        <f>IFERROR((Tax_Cap!Z31 / Tax_Deductions!Z13)*Z11,0)</f>
        <v>9.8264157510655377</v>
      </c>
      <c r="AA35" s="1">
        <f>IFERROR((Tax_Cap!AA31 / Tax_Deductions!AA13)*AA11,0)</f>
        <v>10.237863994796395</v>
      </c>
      <c r="AB35" s="1">
        <f>IFERROR((Tax_Cap!AB31 / Tax_Deductions!AB13)*AB11,0)</f>
        <v>10.637896927585064</v>
      </c>
      <c r="AC35" s="1">
        <f>IFERROR((Tax_Cap!AC31 / Tax_Deductions!AC13)*AC11,0)</f>
        <v>11.028000723969029</v>
      </c>
      <c r="AD35" s="1">
        <f>IFERROR((Tax_Cap!AD31 / Tax_Deductions!AD13)*AD11,0)</f>
        <v>11.408582171579301</v>
      </c>
      <c r="AE35" s="1">
        <f>IFERROR((Tax_Cap!AE31 / Tax_Deductions!AE13)*AE11,0)</f>
        <v>11.771573094722465</v>
      </c>
      <c r="AF35" s="1">
        <f>IFERROR((Tax_Cap!AF31 / Tax_Deductions!AF13)*AF11,0)</f>
        <v>12.125682336292071</v>
      </c>
      <c r="AG35" s="1">
        <f>IFERROR((Tax_Cap!AG31 / Tax_Deductions!AG13)*AG11,0)</f>
        <v>12.490993361529963</v>
      </c>
      <c r="AH35" s="1">
        <f>IFERROR((Tax_Cap!AH31 / Tax_Deductions!AH13)*AH11,0)</f>
        <v>12.851662674363808</v>
      </c>
      <c r="AI35" s="1">
        <f>IFERROR((Tax_Cap!AI31 / Tax_Deductions!AI13)*AI11,0)</f>
        <v>0</v>
      </c>
      <c r="AJ35" s="1">
        <f>IFERROR((Tax_Cap!AJ31 / Tax_Deductions!AJ13)*AJ11,0)</f>
        <v>0</v>
      </c>
      <c r="AK35" s="1">
        <f>IFERROR((Tax_Cap!AK31 / Tax_Deductions!AK13)*AK11,0)</f>
        <v>0</v>
      </c>
      <c r="AL35" s="1">
        <f>IFERROR((Tax_Cap!AL31 / Tax_Deductions!AL13)*AL11,0)</f>
        <v>0</v>
      </c>
      <c r="AM35" s="1">
        <f>IFERROR((Tax_Cap!AM31 / Tax_Deductions!AM13)*AM11,0)</f>
        <v>0</v>
      </c>
      <c r="AN35" s="1">
        <f>IFERROR((Tax_Cap!AN31 / Tax_Deductions!AN13)*AN11,0)</f>
        <v>0</v>
      </c>
      <c r="AO35" s="1">
        <f>IFERROR((Tax_Cap!AO31 / Tax_Deductions!AO13)*AO11,0)</f>
        <v>0</v>
      </c>
      <c r="AP35" s="1">
        <f>IFERROR((Tax_Cap!AP31 / Tax_Deductions!AP13)*AP11,0)</f>
        <v>0</v>
      </c>
      <c r="AQ35" s="1">
        <f>IFERROR((Tax_Cap!AQ31 / Tax_Deductions!AQ13)*AQ11,0)</f>
        <v>0</v>
      </c>
      <c r="AR35" s="1">
        <f>IFERROR((Tax_Cap!AR31 / Tax_Deductions!AR13)*AR11,0)</f>
        <v>0</v>
      </c>
      <c r="AS35" s="1">
        <f>IFERROR((Tax_Cap!AS31 / Tax_Deductions!AS13)*AS11,0)</f>
        <v>0</v>
      </c>
      <c r="AT35" s="1">
        <f>IFERROR((Tax_Cap!AT31 / Tax_Deductions!AT13)*AT11,0)</f>
        <v>0</v>
      </c>
      <c r="AU35" s="1">
        <f>IFERROR((Tax_Cap!AU31 / Tax_Deductions!AU13)*AU11,0)</f>
        <v>0</v>
      </c>
      <c r="AV35" s="1">
        <f>IFERROR((Tax_Cap!AV31 / Tax_Deductions!AV13)*AV11,0)</f>
        <v>0</v>
      </c>
      <c r="AW35" s="1">
        <f>IFERROR((Tax_Cap!AW31 / Tax_Deductions!AW13)*AW11,0)</f>
        <v>0</v>
      </c>
      <c r="AX35" s="1">
        <f>IFERROR((Tax_Cap!AX31 / Tax_Deductions!AX13)*AX11,0)</f>
        <v>0</v>
      </c>
    </row>
    <row r="36" spans="1:50" ht="15" customHeight="1">
      <c r="A36"/>
      <c r="B36" s="1"/>
      <c r="C36" s="1"/>
      <c r="D36" s="1"/>
      <c r="E36" s="1" t="s">
        <v>391</v>
      </c>
      <c r="G36" s="1" t="str">
        <f>Allowances_Cap!G36</f>
        <v>scalar</v>
      </c>
      <c r="I36" s="11"/>
      <c r="J36" s="140"/>
      <c r="K36" s="183">
        <f>Allowances_Cap!K36</f>
        <v>0.9318796011555307</v>
      </c>
      <c r="L36" s="183">
        <f>Allowances_Cap!L36</f>
        <v>0.86839959104979114</v>
      </c>
      <c r="M36" s="183">
        <f>Allowances_Cap!M36</f>
        <v>0.80924386455110542</v>
      </c>
      <c r="N36" s="183">
        <f>Allowances_Cap!N36</f>
        <v>0.75411784973544438</v>
      </c>
      <c r="O36" s="183">
        <f>Allowances_Cap!O36</f>
        <v>0.70274704103573249</v>
      </c>
      <c r="P36" s="183">
        <f>Allowances_Cap!P36</f>
        <v>0.65487563231360768</v>
      </c>
      <c r="Q36" s="183">
        <f>Allowances_Cap!Q36</f>
        <v>0.61026524304688079</v>
      </c>
      <c r="R36" s="183">
        <f>Allowances_Cap!R36</f>
        <v>0.56869373128961032</v>
      </c>
      <c r="S36" s="183">
        <f>Allowances_Cap!S36</f>
        <v>0.52995408749381268</v>
      </c>
      <c r="T36" s="183">
        <f>Allowances_Cap!T36</f>
        <v>0.49385340368447739</v>
      </c>
      <c r="U36" s="183">
        <f>Allowances_Cap!U36</f>
        <v>0.46021191285479218</v>
      </c>
      <c r="V36" s="183">
        <f>Allowances_Cap!V36</f>
        <v>0.42886209379814755</v>
      </c>
      <c r="W36" s="183">
        <f>Allowances_Cap!W36</f>
        <v>0.39964783691934358</v>
      </c>
      <c r="X36" s="183">
        <f>Allowances_Cap!X36</f>
        <v>0.37242366687106848</v>
      </c>
      <c r="Y36" s="183">
        <f>Allowances_Cap!Y36</f>
        <v>0.34705401814469156</v>
      </c>
      <c r="Z36" s="183">
        <f>Allowances_Cap!Z36</f>
        <v>0.32341256000809948</v>
      </c>
      <c r="AA36" s="183">
        <f>Allowances_Cap!AA36</f>
        <v>0.30138156742903693</v>
      </c>
      <c r="AB36" s="183">
        <f>Allowances_Cap!AB36</f>
        <v>0.28085133485139963</v>
      </c>
      <c r="AC36" s="183">
        <f>Allowances_Cap!AC36</f>
        <v>0.26171962990532072</v>
      </c>
      <c r="AD36" s="183">
        <f>Allowances_Cap!AD36</f>
        <v>0.24389118433074339</v>
      </c>
      <c r="AE36" s="183">
        <f>Allowances_Cap!AE36</f>
        <v>0.22727721957948319</v>
      </c>
      <c r="AF36" s="183">
        <f>Allowances_Cap!AF36</f>
        <v>0.21179500473346674</v>
      </c>
      <c r="AG36" s="183">
        <f>Allowances_Cap!AG36</f>
        <v>0.19736744453775676</v>
      </c>
      <c r="AH36" s="183">
        <f>Allowances_Cap!AH36</f>
        <v>0.1839226954969311</v>
      </c>
      <c r="AI36" s="183">
        <f>Allowances_Cap!AI36</f>
        <v>0.17139380812313029</v>
      </c>
      <c r="AJ36" s="183">
        <f>Allowances_Cap!AJ36</f>
        <v>0.15971839355431022</v>
      </c>
      <c r="AK36" s="183">
        <f>Allowances_Cap!AK36</f>
        <v>0.14883831288259272</v>
      </c>
      <c r="AL36" s="183">
        <f>Allowances_Cap!AL36</f>
        <v>0.13869938764569259</v>
      </c>
      <c r="AM36" s="183">
        <f>Allowances_Cap!AM36</f>
        <v>0.12925113003978436</v>
      </c>
      <c r="AN36" s="183">
        <f>Allowances_Cap!AN36</f>
        <v>0.12044649151037587</v>
      </c>
      <c r="AO36" s="183">
        <f>Allowances_Cap!AO36</f>
        <v>0.11224162846927212</v>
      </c>
      <c r="AP36" s="183">
        <f>Allowances_Cap!AP36</f>
        <v>0.10459568397099255</v>
      </c>
      <c r="AQ36" s="183">
        <f>Allowances_Cap!AQ36</f>
        <v>9.7470584261478477E-2</v>
      </c>
      <c r="AR36" s="183">
        <f>Allowances_Cap!AR36</f>
        <v>9.0830849185983123E-2</v>
      </c>
      <c r="AS36" s="183">
        <f>Allowances_Cap!AS36</f>
        <v>8.4643415512052109E-2</v>
      </c>
      <c r="AT36" s="183">
        <f>Allowances_Cap!AT36</f>
        <v>7.8877472287813E-2</v>
      </c>
      <c r="AU36" s="183">
        <f>Allowances_Cap!AU36</f>
        <v>7.3504307415723599E-2</v>
      </c>
      <c r="AV36" s="183">
        <f>Allowances_Cap!AV36</f>
        <v>6.8497164677778027E-2</v>
      </c>
      <c r="AW36" s="183">
        <f>Allowances_Cap!AW36</f>
        <v>6.3831110500212507E-2</v>
      </c>
      <c r="AX36" s="183">
        <f>Allowances_Cap!AX36</f>
        <v>5.9482909794252636E-2</v>
      </c>
    </row>
    <row r="37" spans="1:50" ht="15" customHeight="1">
      <c r="A37"/>
      <c r="B37" s="175"/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</row>
    <row r="38" spans="1:50" ht="15" customHeight="1">
      <c r="A38"/>
      <c r="B38" s="1"/>
      <c r="C38" s="1"/>
      <c r="D38" s="1"/>
      <c r="E38" s="11" t="s">
        <v>487</v>
      </c>
      <c r="G38" s="1" t="str">
        <f>Inputs!$I$6</f>
        <v>£m 2024 prices</v>
      </c>
      <c r="I38" s="11"/>
      <c r="J38" s="140"/>
      <c r="K38" s="143">
        <f t="shared" ref="K38:AI38" si="18">K35 * K36</f>
        <v>0</v>
      </c>
      <c r="L38" s="143">
        <f t="shared" si="18"/>
        <v>0.9808616745579164</v>
      </c>
      <c r="M38" s="143">
        <f t="shared" si="18"/>
        <v>2.1910456172453285</v>
      </c>
      <c r="N38" s="143">
        <f t="shared" si="18"/>
        <v>2.6012726454385917</v>
      </c>
      <c r="O38" s="143">
        <f t="shared" si="18"/>
        <v>2.9158831867957855</v>
      </c>
      <c r="P38" s="143">
        <f t="shared" si="18"/>
        <v>3.1503242748356333</v>
      </c>
      <c r="Q38" s="143">
        <f t="shared" si="18"/>
        <v>3.3177734955997256</v>
      </c>
      <c r="R38" s="143">
        <f t="shared" si="18"/>
        <v>3.4214278164212835</v>
      </c>
      <c r="S38" s="143">
        <f t="shared" si="18"/>
        <v>3.4840386618878316</v>
      </c>
      <c r="T38" s="143">
        <f t="shared" si="18"/>
        <v>3.5110737251945814</v>
      </c>
      <c r="U38" s="143">
        <f t="shared" si="18"/>
        <v>3.5054087268517673</v>
      </c>
      <c r="V38" s="143">
        <f t="shared" si="18"/>
        <v>3.4717258142000107</v>
      </c>
      <c r="W38" s="143">
        <f t="shared" si="18"/>
        <v>3.4136960152318929</v>
      </c>
      <c r="X38" s="143">
        <f t="shared" si="18"/>
        <v>3.3497035676873357</v>
      </c>
      <c r="Y38" s="143">
        <f t="shared" si="18"/>
        <v>3.2730081452354876</v>
      </c>
      <c r="Z38" s="143">
        <f t="shared" si="18"/>
        <v>3.1779862737560172</v>
      </c>
      <c r="AA38" s="143">
        <f t="shared" si="18"/>
        <v>3.0855034978770393</v>
      </c>
      <c r="AB38" s="143">
        <f t="shared" si="18"/>
        <v>2.987667552123868</v>
      </c>
      <c r="AC38" s="143">
        <f t="shared" si="18"/>
        <v>2.8862442680727831</v>
      </c>
      <c r="AD38" s="143">
        <f t="shared" si="18"/>
        <v>2.7824526173610802</v>
      </c>
      <c r="AE38" s="143">
        <f t="shared" si="18"/>
        <v>2.675410403045174</v>
      </c>
      <c r="AF38" s="143">
        <f t="shared" si="18"/>
        <v>2.5681589478114932</v>
      </c>
      <c r="AG38" s="143">
        <f t="shared" si="18"/>
        <v>2.4653154395032528</v>
      </c>
      <c r="AH38" s="143">
        <f t="shared" si="18"/>
        <v>2.3637124406862902</v>
      </c>
      <c r="AI38" s="143">
        <f t="shared" si="18"/>
        <v>0</v>
      </c>
      <c r="AJ38" s="143">
        <f t="shared" ref="AJ38:AX38" si="19">AJ35 * AJ36</f>
        <v>0</v>
      </c>
      <c r="AK38" s="143">
        <f t="shared" si="19"/>
        <v>0</v>
      </c>
      <c r="AL38" s="143">
        <f t="shared" si="19"/>
        <v>0</v>
      </c>
      <c r="AM38" s="143">
        <f t="shared" si="19"/>
        <v>0</v>
      </c>
      <c r="AN38" s="143">
        <f t="shared" si="19"/>
        <v>0</v>
      </c>
      <c r="AO38" s="143">
        <f t="shared" si="19"/>
        <v>0</v>
      </c>
      <c r="AP38" s="143">
        <f t="shared" si="19"/>
        <v>0</v>
      </c>
      <c r="AQ38" s="143">
        <f t="shared" si="19"/>
        <v>0</v>
      </c>
      <c r="AR38" s="143">
        <f t="shared" si="19"/>
        <v>0</v>
      </c>
      <c r="AS38" s="143">
        <f t="shared" si="19"/>
        <v>0</v>
      </c>
      <c r="AT38" s="143">
        <f t="shared" si="19"/>
        <v>0</v>
      </c>
      <c r="AU38" s="143">
        <f t="shared" si="19"/>
        <v>0</v>
      </c>
      <c r="AV38" s="143">
        <f t="shared" si="19"/>
        <v>0</v>
      </c>
      <c r="AW38" s="143">
        <f t="shared" si="19"/>
        <v>0</v>
      </c>
      <c r="AX38" s="143">
        <f t="shared" si="19"/>
        <v>0</v>
      </c>
    </row>
    <row r="39" spans="1:50" ht="15" customHeight="1">
      <c r="A39"/>
      <c r="B39" s="1"/>
      <c r="C39" s="1"/>
      <c r="D39" s="1"/>
      <c r="E39" s="11" t="s">
        <v>488</v>
      </c>
      <c r="G39" s="1" t="str">
        <f>Inputs!$I$6</f>
        <v>£m 2024 prices</v>
      </c>
      <c r="I39" s="167">
        <f>SUM(K38:AX38)</f>
        <v>67.579694807420168</v>
      </c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</row>
    <row r="40" spans="1:50" ht="15" customHeight="1">
      <c r="A40"/>
      <c r="B40" s="1"/>
      <c r="C40" s="1"/>
      <c r="D40" s="1"/>
      <c r="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</row>
    <row r="41" spans="1:50" ht="15" customHeight="1">
      <c r="A41"/>
      <c r="B41" s="1"/>
      <c r="C41" s="1"/>
      <c r="D41" s="1"/>
      <c r="E41" s="64" t="s">
        <v>389</v>
      </c>
      <c r="G41" s="1" t="s">
        <v>249</v>
      </c>
      <c r="I41" s="184">
        <f>Allowances_Cap!I33</f>
        <v>8.8220436579675723E-2</v>
      </c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</row>
    <row r="42" spans="1:50" ht="15" customHeight="1">
      <c r="A42"/>
      <c r="B42" s="1"/>
      <c r="C42" s="1"/>
      <c r="D42" s="1"/>
      <c r="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</row>
    <row r="43" spans="1:50" ht="15" customHeight="1">
      <c r="A43"/>
      <c r="B43" s="1"/>
      <c r="C43" s="1"/>
      <c r="D43" s="1"/>
      <c r="E43" s="11" t="s">
        <v>489</v>
      </c>
      <c r="G43" s="1" t="str">
        <f>Inputs!$I$6</f>
        <v>£m 2024 prices</v>
      </c>
      <c r="I43" s="168">
        <f>I39 * I41</f>
        <v>5.9619101798318521</v>
      </c>
      <c r="J43" s="140"/>
      <c r="K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0"/>
      <c r="AB43" s="140"/>
      <c r="AC43" s="140"/>
      <c r="AD43" s="140"/>
      <c r="AE43" s="140"/>
      <c r="AF43" s="140"/>
      <c r="AG43" s="140"/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</row>
    <row r="44" spans="1:50" ht="15" customHeight="1">
      <c r="A4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</row>
    <row r="45" spans="1:50" ht="15" customHeight="1">
      <c r="A45"/>
      <c r="B45" s="12" t="s">
        <v>49</v>
      </c>
      <c r="C45" s="13"/>
      <c r="D45" s="13"/>
      <c r="E45" s="13"/>
      <c r="F45" s="79"/>
      <c r="G45" s="79"/>
      <c r="H45" s="79"/>
      <c r="I45" s="154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  <c r="AX45" s="79"/>
    </row>
    <row r="46" spans="1:50" ht="1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</row>
    <row r="47" spans="1:50" ht="15" hidden="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</row>
    <row r="48" spans="1:50" ht="15" hidden="1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</row>
    <row r="49" spans="1:35" ht="15" hidden="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</row>
    <row r="50" spans="1:35" ht="15" hidden="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</row>
    <row r="51" spans="1:35" ht="15" hidden="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</row>
    <row r="52" spans="1:35" ht="15" hidden="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</row>
    <row r="53" spans="1:35" ht="15" hidden="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</row>
    <row r="54" spans="1:35" ht="15" hidden="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</row>
    <row r="55" spans="1:35" ht="15" hidden="1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</row>
    <row r="56" spans="1:35" ht="15" hidden="1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</row>
    <row r="57" spans="1:35" ht="15" hidden="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</row>
    <row r="58" spans="1:35" ht="15" hidden="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</row>
    <row r="59" spans="1:35" ht="15" hidden="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</row>
    <row r="60" spans="1:35" ht="15" hidden="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</row>
    <row r="61" spans="1:35" ht="15" hidden="1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</row>
    <row r="62" spans="1:35" ht="15" hidden="1" customHeight="1">
      <c r="G62" s="1"/>
      <c r="I62" s="185"/>
    </row>
    <row r="63" spans="1:35" ht="15" hidden="1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</row>
  </sheetData>
  <phoneticPr fontId="65" type="noConversion"/>
  <conditionalFormatting sqref="K11:AX11">
    <cfRule type="cellIs" dxfId="2" priority="1" stopIfTrue="1" operator="equal">
      <formula>FALSE()</formula>
    </cfRule>
  </conditionalFormatting>
  <pageMargins left="0.23622047244094502" right="0.23622047244094502" top="0.74803149606299213" bottom="0.74803149606299213" header="0.31496062992126012" footer="0.31496062992126012"/>
  <pageSetup paperSize="0" fitToHeight="0" orientation="landscape" horizontalDpi="0" verticalDpi="0" copie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CCC0DA"/>
    <pageSetUpPr fitToPage="1"/>
  </sheetPr>
  <dimension ref="A1:AX102"/>
  <sheetViews>
    <sheetView topLeftCell="A62" zoomScale="130" zoomScaleNormal="130" workbookViewId="0">
      <selection activeCell="A83" sqref="A83:XFD83"/>
    </sheetView>
  </sheetViews>
  <sheetFormatPr defaultColWidth="9.140625" defaultRowHeight="0" customHeight="1" zeroHeight="1"/>
  <cols>
    <col min="1" max="4" width="2.5703125" style="11" customWidth="1"/>
    <col min="5" max="5" width="50.5703125" style="11" customWidth="1"/>
    <col min="6" max="6" width="1.5703125" style="11" customWidth="1"/>
    <col min="7" max="7" width="15.5703125" style="11" customWidth="1"/>
    <col min="8" max="8" width="10.7109375" style="11" customWidth="1"/>
    <col min="9" max="9" width="10.5703125" style="139" customWidth="1"/>
    <col min="10" max="10" width="1.5703125" style="11" customWidth="1"/>
    <col min="11" max="35" width="10.5703125" style="11" customWidth="1"/>
    <col min="36" max="49" width="10.5703125" customWidth="1"/>
    <col min="50" max="50" width="9.140625" customWidth="1"/>
  </cols>
  <sheetData>
    <row r="1" spans="1:50" ht="14.45">
      <c r="A1" s="45" t="s">
        <v>40</v>
      </c>
      <c r="B1" s="46"/>
      <c r="C1" s="46"/>
      <c r="D1" s="46"/>
      <c r="E1" s="46"/>
      <c r="F1" s="46"/>
      <c r="G1" s="46"/>
      <c r="H1" s="46" t="s">
        <v>64</v>
      </c>
      <c r="I1" s="131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</row>
    <row r="2" spans="1:50" ht="15" customHeight="1">
      <c r="A2" s="46"/>
      <c r="B2" s="46"/>
      <c r="C2" s="46"/>
      <c r="D2" s="46"/>
      <c r="E2" s="48" t="s">
        <v>65</v>
      </c>
      <c r="F2" s="48"/>
      <c r="G2" s="48" t="s">
        <v>66</v>
      </c>
      <c r="H2" s="48" t="s">
        <v>67</v>
      </c>
      <c r="I2" s="49" t="s">
        <v>68</v>
      </c>
      <c r="J2" s="46"/>
      <c r="K2" s="48" t="s">
        <v>69</v>
      </c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</row>
    <row r="3" spans="1:50" ht="15" customHeight="1">
      <c r="A3" s="46"/>
      <c r="B3" s="46"/>
      <c r="C3" s="46"/>
      <c r="D3" s="46"/>
      <c r="E3" s="46" t="s">
        <v>358</v>
      </c>
      <c r="F3" s="48"/>
      <c r="G3" s="48"/>
      <c r="H3" s="48"/>
      <c r="I3" s="49"/>
      <c r="J3" s="46"/>
      <c r="K3" s="76" t="s">
        <v>91</v>
      </c>
      <c r="L3" s="76" t="s">
        <v>92</v>
      </c>
      <c r="M3" s="76" t="s">
        <v>93</v>
      </c>
      <c r="N3" s="76" t="s">
        <v>94</v>
      </c>
      <c r="O3" s="76" t="s">
        <v>95</v>
      </c>
      <c r="P3" s="76" t="s">
        <v>96</v>
      </c>
      <c r="Q3" s="76" t="s">
        <v>97</v>
      </c>
      <c r="R3" s="76" t="s">
        <v>98</v>
      </c>
      <c r="S3" s="76" t="s">
        <v>99</v>
      </c>
      <c r="T3" s="76" t="s">
        <v>100</v>
      </c>
      <c r="U3" s="76" t="s">
        <v>101</v>
      </c>
      <c r="V3" s="76" t="s">
        <v>102</v>
      </c>
      <c r="W3" s="76" t="s">
        <v>103</v>
      </c>
      <c r="X3" s="76" t="s">
        <v>104</v>
      </c>
      <c r="Y3" s="76" t="s">
        <v>105</v>
      </c>
      <c r="Z3" s="76" t="s">
        <v>106</v>
      </c>
      <c r="AA3" s="76" t="s">
        <v>107</v>
      </c>
      <c r="AB3" s="76" t="s">
        <v>108</v>
      </c>
      <c r="AC3" s="76" t="s">
        <v>109</v>
      </c>
      <c r="AD3" s="76" t="s">
        <v>110</v>
      </c>
      <c r="AE3" s="76" t="s">
        <v>111</v>
      </c>
      <c r="AF3" s="76" t="s">
        <v>112</v>
      </c>
      <c r="AG3" s="76" t="s">
        <v>113</v>
      </c>
      <c r="AH3" s="76" t="s">
        <v>114</v>
      </c>
      <c r="AI3" s="76" t="s">
        <v>115</v>
      </c>
      <c r="AJ3" s="76" t="s">
        <v>116</v>
      </c>
      <c r="AK3" s="76" t="s">
        <v>117</v>
      </c>
      <c r="AL3" s="76" t="s">
        <v>118</v>
      </c>
      <c r="AM3" s="76" t="s">
        <v>119</v>
      </c>
      <c r="AN3" s="76" t="s">
        <v>120</v>
      </c>
      <c r="AO3" s="76" t="s">
        <v>121</v>
      </c>
      <c r="AP3" s="76" t="s">
        <v>122</v>
      </c>
      <c r="AQ3" s="76" t="s">
        <v>123</v>
      </c>
      <c r="AR3" s="76" t="s">
        <v>124</v>
      </c>
      <c r="AS3" s="76" t="s">
        <v>125</v>
      </c>
      <c r="AT3" s="76" t="s">
        <v>126</v>
      </c>
      <c r="AU3" s="76" t="s">
        <v>127</v>
      </c>
      <c r="AV3" s="76" t="s">
        <v>128</v>
      </c>
      <c r="AW3" s="76" t="s">
        <v>129</v>
      </c>
      <c r="AX3" s="76" t="s">
        <v>130</v>
      </c>
    </row>
    <row r="4" spans="1:50" ht="15" customHeight="1">
      <c r="A4" s="170"/>
      <c r="B4" s="46"/>
      <c r="C4" s="46"/>
      <c r="D4" s="46"/>
      <c r="E4" s="46" t="s">
        <v>168</v>
      </c>
      <c r="F4" s="48"/>
      <c r="G4" s="48"/>
      <c r="H4" s="48"/>
      <c r="I4" s="49"/>
      <c r="J4" s="46"/>
      <c r="K4" s="76">
        <v>1</v>
      </c>
      <c r="L4" s="76">
        <v>2</v>
      </c>
      <c r="M4" s="76">
        <v>3</v>
      </c>
      <c r="N4" s="76">
        <v>4</v>
      </c>
      <c r="O4" s="76">
        <v>5</v>
      </c>
      <c r="P4" s="76">
        <v>6</v>
      </c>
      <c r="Q4" s="76">
        <v>7</v>
      </c>
      <c r="R4" s="76">
        <v>8</v>
      </c>
      <c r="S4" s="76">
        <v>9</v>
      </c>
      <c r="T4" s="76">
        <v>10</v>
      </c>
      <c r="U4" s="76">
        <v>11</v>
      </c>
      <c r="V4" s="76">
        <v>12</v>
      </c>
      <c r="W4" s="76">
        <v>13</v>
      </c>
      <c r="X4" s="76">
        <v>14</v>
      </c>
      <c r="Y4" s="76">
        <v>15</v>
      </c>
      <c r="Z4" s="76">
        <v>16</v>
      </c>
      <c r="AA4" s="76">
        <v>17</v>
      </c>
      <c r="AB4" s="76">
        <v>18</v>
      </c>
      <c r="AC4" s="76">
        <v>19</v>
      </c>
      <c r="AD4" s="76">
        <v>20</v>
      </c>
      <c r="AE4" s="76">
        <v>21</v>
      </c>
      <c r="AF4" s="76">
        <v>22</v>
      </c>
      <c r="AG4" s="76">
        <v>23</v>
      </c>
      <c r="AH4" s="76">
        <v>24</v>
      </c>
      <c r="AI4" s="76">
        <v>25</v>
      </c>
      <c r="AJ4" s="76">
        <v>26</v>
      </c>
      <c r="AK4" s="76">
        <v>27</v>
      </c>
      <c r="AL4" s="76">
        <v>28</v>
      </c>
      <c r="AM4" s="76">
        <v>29</v>
      </c>
      <c r="AN4" s="76">
        <v>30</v>
      </c>
      <c r="AO4" s="76">
        <v>31</v>
      </c>
      <c r="AP4" s="76">
        <v>32</v>
      </c>
      <c r="AQ4" s="76">
        <v>33</v>
      </c>
      <c r="AR4" s="76">
        <v>34</v>
      </c>
      <c r="AS4" s="76">
        <v>35</v>
      </c>
      <c r="AT4" s="76">
        <v>36</v>
      </c>
      <c r="AU4" s="76">
        <v>37</v>
      </c>
      <c r="AV4" s="76">
        <v>38</v>
      </c>
      <c r="AW4" s="76">
        <v>39</v>
      </c>
      <c r="AX4" s="76">
        <v>40</v>
      </c>
    </row>
    <row r="5" spans="1:50" ht="15" customHeight="1">
      <c r="A5" s="1"/>
      <c r="B5" s="1"/>
      <c r="C5" s="1"/>
      <c r="D5" s="1"/>
      <c r="E5" s="1"/>
      <c r="F5" s="1"/>
      <c r="G5" s="1"/>
      <c r="H5" s="1"/>
      <c r="I5" s="55"/>
      <c r="J5" s="80"/>
      <c r="K5" s="80"/>
      <c r="L5" s="80"/>
      <c r="M5" s="80"/>
      <c r="N5" s="80"/>
      <c r="O5" s="80"/>
      <c r="P5" s="80"/>
      <c r="Q5" s="80"/>
      <c r="R5" s="80"/>
      <c r="S5" s="1"/>
      <c r="T5" s="1"/>
      <c r="U5" s="1"/>
      <c r="V5" s="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</row>
    <row r="6" spans="1:50" ht="15" customHeight="1">
      <c r="A6"/>
      <c r="B6" s="12" t="s">
        <v>490</v>
      </c>
      <c r="C6" s="13"/>
      <c r="D6" s="13"/>
      <c r="E6" s="13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</row>
    <row r="7" spans="1:50" ht="15" customHeight="1">
      <c r="A7"/>
      <c r="H7" s="1"/>
      <c r="I7" s="1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</row>
    <row r="8" spans="1:50" ht="15" customHeight="1">
      <c r="A8"/>
      <c r="B8" s="1"/>
      <c r="C8" s="180" t="s">
        <v>474</v>
      </c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80"/>
      <c r="AU8" s="180"/>
      <c r="AV8" s="180"/>
      <c r="AW8" s="180"/>
      <c r="AX8" s="180"/>
    </row>
    <row r="9" spans="1:50" ht="15" customHeight="1">
      <c r="A9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</row>
    <row r="10" spans="1:50" ht="15" customHeight="1">
      <c r="A10"/>
      <c r="E10" s="11" t="s">
        <v>368</v>
      </c>
      <c r="G10" s="11" t="s">
        <v>155</v>
      </c>
      <c r="I10" s="165">
        <f>Inputs!I142</f>
        <v>25</v>
      </c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</row>
    <row r="11" spans="1:50" ht="15" customHeight="1">
      <c r="A11"/>
      <c r="E11" s="1" t="s">
        <v>390</v>
      </c>
      <c r="F11" s="1"/>
      <c r="G11" s="1" t="s">
        <v>225</v>
      </c>
      <c r="I11" s="67"/>
      <c r="K11" s="158" t="b">
        <f>AND(K4 &gt; 0, K4&lt;= $I10)</f>
        <v>1</v>
      </c>
      <c r="L11" s="158" t="b">
        <f t="shared" ref="L11:AX11" si="0">AND(L4 &gt; 0, L4&lt;= $I10)</f>
        <v>1</v>
      </c>
      <c r="M11" s="158" t="b">
        <f t="shared" si="0"/>
        <v>1</v>
      </c>
      <c r="N11" s="158" t="b">
        <f t="shared" si="0"/>
        <v>1</v>
      </c>
      <c r="O11" s="158" t="b">
        <f t="shared" si="0"/>
        <v>1</v>
      </c>
      <c r="P11" s="158" t="b">
        <f t="shared" si="0"/>
        <v>1</v>
      </c>
      <c r="Q11" s="158" t="b">
        <f t="shared" si="0"/>
        <v>1</v>
      </c>
      <c r="R11" s="158" t="b">
        <f t="shared" si="0"/>
        <v>1</v>
      </c>
      <c r="S11" s="158" t="b">
        <f t="shared" si="0"/>
        <v>1</v>
      </c>
      <c r="T11" s="158" t="b">
        <f t="shared" si="0"/>
        <v>1</v>
      </c>
      <c r="U11" s="158" t="b">
        <f t="shared" si="0"/>
        <v>1</v>
      </c>
      <c r="V11" s="158" t="b">
        <f t="shared" si="0"/>
        <v>1</v>
      </c>
      <c r="W11" s="158" t="b">
        <f t="shared" si="0"/>
        <v>1</v>
      </c>
      <c r="X11" s="158" t="b">
        <f t="shared" si="0"/>
        <v>1</v>
      </c>
      <c r="Y11" s="158" t="b">
        <f t="shared" si="0"/>
        <v>1</v>
      </c>
      <c r="Z11" s="158" t="b">
        <f t="shared" si="0"/>
        <v>1</v>
      </c>
      <c r="AA11" s="158" t="b">
        <f t="shared" si="0"/>
        <v>1</v>
      </c>
      <c r="AB11" s="158" t="b">
        <f t="shared" si="0"/>
        <v>1</v>
      </c>
      <c r="AC11" s="158" t="b">
        <f t="shared" si="0"/>
        <v>1</v>
      </c>
      <c r="AD11" s="158" t="b">
        <f t="shared" si="0"/>
        <v>1</v>
      </c>
      <c r="AE11" s="158" t="b">
        <f t="shared" si="0"/>
        <v>1</v>
      </c>
      <c r="AF11" s="158" t="b">
        <f t="shared" si="0"/>
        <v>1</v>
      </c>
      <c r="AG11" s="158" t="b">
        <f t="shared" si="0"/>
        <v>1</v>
      </c>
      <c r="AH11" s="158" t="b">
        <f t="shared" si="0"/>
        <v>1</v>
      </c>
      <c r="AI11" s="158" t="b">
        <f t="shared" si="0"/>
        <v>1</v>
      </c>
      <c r="AJ11" s="158" t="b">
        <f t="shared" si="0"/>
        <v>0</v>
      </c>
      <c r="AK11" s="158" t="b">
        <f t="shared" si="0"/>
        <v>0</v>
      </c>
      <c r="AL11" s="158" t="b">
        <f t="shared" si="0"/>
        <v>0</v>
      </c>
      <c r="AM11" s="158" t="b">
        <f t="shared" si="0"/>
        <v>0</v>
      </c>
      <c r="AN11" s="158" t="b">
        <f t="shared" si="0"/>
        <v>0</v>
      </c>
      <c r="AO11" s="158" t="b">
        <f t="shared" si="0"/>
        <v>0</v>
      </c>
      <c r="AP11" s="158" t="b">
        <f t="shared" si="0"/>
        <v>0</v>
      </c>
      <c r="AQ11" s="158" t="b">
        <f t="shared" si="0"/>
        <v>0</v>
      </c>
      <c r="AR11" s="158" t="b">
        <f t="shared" si="0"/>
        <v>0</v>
      </c>
      <c r="AS11" s="158" t="b">
        <f t="shared" si="0"/>
        <v>0</v>
      </c>
      <c r="AT11" s="158" t="b">
        <f t="shared" si="0"/>
        <v>0</v>
      </c>
      <c r="AU11" s="158" t="b">
        <f t="shared" si="0"/>
        <v>0</v>
      </c>
      <c r="AV11" s="158" t="b">
        <f t="shared" si="0"/>
        <v>0</v>
      </c>
      <c r="AW11" s="158" t="b">
        <f t="shared" si="0"/>
        <v>0</v>
      </c>
      <c r="AX11" s="158" t="b">
        <f t="shared" si="0"/>
        <v>0</v>
      </c>
    </row>
    <row r="12" spans="1:50" ht="15" customHeight="1">
      <c r="A12"/>
      <c r="E12" s="1" t="s">
        <v>491</v>
      </c>
      <c r="G12" s="11" t="s">
        <v>77</v>
      </c>
      <c r="I12" s="11"/>
      <c r="K12" s="16">
        <f>Allowances_Floor!L63* Tax_Deductions!K$13</f>
        <v>47.454489220192492</v>
      </c>
      <c r="L12" s="16">
        <f>Allowances_Floor!M63* Tax_Deductions!L$13</f>
        <v>48.403579004596345</v>
      </c>
      <c r="M12" s="16">
        <f>Allowances_Floor!N63* Tax_Deductions!M$13</f>
        <v>49.371650584688268</v>
      </c>
      <c r="N12" s="16">
        <f>Allowances_Floor!O63* Tax_Deductions!N$13</f>
        <v>50.359083596382035</v>
      </c>
      <c r="O12" s="16">
        <f>Allowances_Floor!P63* Tax_Deductions!O$13</f>
        <v>51.366265268309682</v>
      </c>
      <c r="P12" s="16">
        <f>Allowances_Floor!Q63* Tax_Deductions!P$13</f>
        <v>52.393590573675873</v>
      </c>
      <c r="Q12" s="16">
        <f>Allowances_Floor!R63* Tax_Deductions!Q$13</f>
        <v>53.441462385149393</v>
      </c>
      <c r="R12" s="16">
        <f>Allowances_Floor!S63* Tax_Deductions!R$13</f>
        <v>54.510291632852379</v>
      </c>
      <c r="S12" s="16">
        <f>Allowances_Floor!T63* Tax_Deductions!S$13</f>
        <v>55.600497465509434</v>
      </c>
      <c r="T12" s="16">
        <f>Allowances_Floor!U63* Tax_Deductions!T$13</f>
        <v>56.712507414819626</v>
      </c>
      <c r="U12" s="16">
        <f>Allowances_Floor!V63* Tax_Deductions!U$13</f>
        <v>57.846757563116022</v>
      </c>
      <c r="V12" s="16">
        <f>Allowances_Floor!W63* Tax_Deductions!V$13</f>
        <v>59.003692714378339</v>
      </c>
      <c r="W12" s="16">
        <f>Allowances_Floor!X63* Tax_Deductions!W$13</f>
        <v>60.183766568665909</v>
      </c>
      <c r="X12" s="16">
        <f>Allowances_Floor!Y63* Tax_Deductions!X$13</f>
        <v>61.387441900039228</v>
      </c>
      <c r="Y12" s="16">
        <f>Allowances_Floor!Z63* Tax_Deductions!Y$13</f>
        <v>62.615190738040013</v>
      </c>
      <c r="Z12" s="16">
        <f>Allowances_Floor!AA63* Tax_Deductions!Z$13</f>
        <v>63.867494552800821</v>
      </c>
      <c r="AA12" s="16">
        <f>Allowances_Floor!AB63* Tax_Deductions!AA$13</f>
        <v>65.14484444385684</v>
      </c>
      <c r="AB12" s="16">
        <f>Allowances_Floor!AC63* Tax_Deductions!AB$13</f>
        <v>66.447741332733983</v>
      </c>
      <c r="AC12" s="16">
        <f>Allowances_Floor!AD63* Tax_Deductions!AC$13</f>
        <v>67.776696159388663</v>
      </c>
      <c r="AD12" s="16">
        <f>Allowances_Floor!AE63* Tax_Deductions!AD$13</f>
        <v>69.132230082576442</v>
      </c>
      <c r="AE12" s="16">
        <f>Allowances_Floor!AF63* Tax_Deductions!AE$13</f>
        <v>70.514874684227962</v>
      </c>
      <c r="AF12" s="16">
        <f>Allowances_Floor!AG63* Tax_Deductions!AF$13</f>
        <v>71.925172177912515</v>
      </c>
      <c r="AG12" s="16">
        <f>Allowances_Floor!AH63* Tax_Deductions!AG$13</f>
        <v>73.363675621470776</v>
      </c>
      <c r="AH12" s="16">
        <f>Allowances_Floor!AI63* Tax_Deductions!AH$13</f>
        <v>74.830949133900191</v>
      </c>
      <c r="AI12" s="16">
        <f>Allowances_Floor!AJ63* Tax_Deductions!AI$13</f>
        <v>76.327568116578206</v>
      </c>
      <c r="AJ12" s="16">
        <f>Allowances_Floor!AK63* Tax_Deductions!AJ$13</f>
        <v>0</v>
      </c>
      <c r="AK12" s="16">
        <f>Allowances_Floor!AL63* Tax_Deductions!AK$13</f>
        <v>0</v>
      </c>
      <c r="AL12" s="16">
        <f>Allowances_Floor!AM63* Tax_Deductions!AL$13</f>
        <v>0</v>
      </c>
      <c r="AM12" s="16">
        <f>Allowances_Floor!AN63* Tax_Deductions!AM$13</f>
        <v>0</v>
      </c>
      <c r="AN12" s="16">
        <f>Allowances_Floor!AO63* Tax_Deductions!AN$13</f>
        <v>0</v>
      </c>
      <c r="AO12" s="16">
        <f>Allowances_Floor!AP63* Tax_Deductions!AO$13</f>
        <v>0</v>
      </c>
      <c r="AP12" s="16">
        <f>Allowances_Floor!AQ63* Tax_Deductions!AP$13</f>
        <v>0</v>
      </c>
      <c r="AQ12" s="16">
        <f>Allowances_Floor!AR63* Tax_Deductions!AQ$13</f>
        <v>0</v>
      </c>
      <c r="AR12" s="16">
        <f>Allowances_Floor!AS63* Tax_Deductions!AR$13</f>
        <v>0</v>
      </c>
      <c r="AS12" s="16">
        <f>Allowances_Floor!AT63* Tax_Deductions!AS$13</f>
        <v>0</v>
      </c>
      <c r="AT12" s="16">
        <f>Allowances_Floor!AU63* Tax_Deductions!AT$13</f>
        <v>0</v>
      </c>
      <c r="AU12" s="16">
        <f>Allowances_Floor!AV63* Tax_Deductions!AU$13</f>
        <v>0</v>
      </c>
      <c r="AV12" s="16">
        <f>Allowances_Floor!AW63* Tax_Deductions!AV$13</f>
        <v>0</v>
      </c>
      <c r="AW12" s="16">
        <f>Allowances_Floor!AX63* Tax_Deductions!AW$13</f>
        <v>0</v>
      </c>
      <c r="AX12" s="16">
        <f>Allowances_Floor!AY63* Tax_Deductions!AX$13</f>
        <v>0</v>
      </c>
    </row>
    <row r="13" spans="1:50" ht="15" customHeight="1">
      <c r="A13"/>
      <c r="E13" s="1" t="s">
        <v>476</v>
      </c>
      <c r="G13" s="11" t="s">
        <v>77</v>
      </c>
      <c r="K13" s="16">
        <f>-Tax_Deductions!K21</f>
        <v>-60.282968043316146</v>
      </c>
      <c r="L13" s="16">
        <f>-Tax_Deductions!L21</f>
        <v>-52.279549313151222</v>
      </c>
      <c r="M13" s="16">
        <f>-Tax_Deductions!M21</f>
        <v>-50.610431775706374</v>
      </c>
      <c r="N13" s="16">
        <f>-Tax_Deductions!N21</f>
        <v>-49.014869285815351</v>
      </c>
      <c r="O13" s="16">
        <f>-Tax_Deductions!O21</f>
        <v>-47.486047032677469</v>
      </c>
      <c r="P13" s="16">
        <f>-Tax_Deductions!P21</f>
        <v>-46.017388424987999</v>
      </c>
      <c r="Q13" s="16">
        <f>-Tax_Deductions!Q21</f>
        <v>-44.602529340003173</v>
      </c>
      <c r="R13" s="16">
        <f>-Tax_Deductions!R21</f>
        <v>-43.289043386230922</v>
      </c>
      <c r="S13" s="16">
        <f>-Tax_Deductions!S21</f>
        <v>-41.989579453594956</v>
      </c>
      <c r="T13" s="16">
        <f>-Tax_Deductions!T21</f>
        <v>-40.710344435209649</v>
      </c>
      <c r="U13" s="16">
        <f>-Tax_Deductions!U21</f>
        <v>-39.475877385983729</v>
      </c>
      <c r="V13" s="16">
        <f>-Tax_Deductions!V21</f>
        <v>-38.295755769354159</v>
      </c>
      <c r="W13" s="16">
        <f>-Tax_Deductions!W21</f>
        <v>-37.185807967192368</v>
      </c>
      <c r="X13" s="16">
        <f>-Tax_Deductions!X21</f>
        <v>-35.990355665419855</v>
      </c>
      <c r="Y13" s="16">
        <f>-Tax_Deductions!Y21</f>
        <v>-34.802485653688464</v>
      </c>
      <c r="Z13" s="16">
        <f>-Tax_Deductions!Z21</f>
        <v>-33.735085499038888</v>
      </c>
      <c r="AA13" s="16">
        <f>-Tax_Deductions!AA21</f>
        <v>-32.538932443183363</v>
      </c>
      <c r="AB13" s="16">
        <f>-Tax_Deductions!AB21</f>
        <v>-31.334382746850618</v>
      </c>
      <c r="AC13" s="16">
        <f>-Tax_Deductions!AC21</f>
        <v>-30.115607233359192</v>
      </c>
      <c r="AD13" s="16">
        <f>-Tax_Deductions!AD21</f>
        <v>-28.881495247639691</v>
      </c>
      <c r="AE13" s="16">
        <f>-Tax_Deductions!AE21</f>
        <v>-27.672549899257589</v>
      </c>
      <c r="AF13" s="16">
        <f>-Tax_Deductions!AF21</f>
        <v>-26.448282439334513</v>
      </c>
      <c r="AG13" s="16">
        <f>-Tax_Deductions!AG21</f>
        <v>-25.106614741881838</v>
      </c>
      <c r="AH13" s="16">
        <f>-Tax_Deductions!AH21</f>
        <v>-23.72494502451595</v>
      </c>
      <c r="AI13" s="16">
        <f>-Tax_Deductions!AI21</f>
        <v>-128.14231728970708</v>
      </c>
      <c r="AJ13" s="16">
        <f>-Tax_Deductions!AJ21</f>
        <v>0</v>
      </c>
      <c r="AK13" s="16">
        <f>-Tax_Deductions!AK21</f>
        <v>0</v>
      </c>
      <c r="AL13" s="16">
        <f>-Tax_Deductions!AL21</f>
        <v>0</v>
      </c>
      <c r="AM13" s="16">
        <f>-Tax_Deductions!AM21</f>
        <v>0</v>
      </c>
      <c r="AN13" s="16">
        <f>-Tax_Deductions!AN21</f>
        <v>0</v>
      </c>
      <c r="AO13" s="16">
        <f>-Tax_Deductions!AO21</f>
        <v>0</v>
      </c>
      <c r="AP13" s="16">
        <f>-Tax_Deductions!AP21</f>
        <v>0</v>
      </c>
      <c r="AQ13" s="16">
        <f>-Tax_Deductions!AQ21</f>
        <v>0</v>
      </c>
      <c r="AR13" s="16">
        <f>-Tax_Deductions!AR21</f>
        <v>0</v>
      </c>
      <c r="AS13" s="16">
        <f>-Tax_Deductions!AS21</f>
        <v>0</v>
      </c>
      <c r="AT13" s="16">
        <f>-Tax_Deductions!AT21</f>
        <v>0</v>
      </c>
      <c r="AU13" s="16">
        <f>-Tax_Deductions!AU21</f>
        <v>0</v>
      </c>
      <c r="AV13" s="16">
        <f>-Tax_Deductions!AV21</f>
        <v>0</v>
      </c>
      <c r="AW13" s="16">
        <f>-Tax_Deductions!AW21</f>
        <v>0</v>
      </c>
      <c r="AX13" s="16">
        <f>-Tax_Deductions!AX21</f>
        <v>0</v>
      </c>
    </row>
    <row r="14" spans="1:50" ht="15" customHeight="1">
      <c r="A14"/>
      <c r="E14" s="11" t="s">
        <v>474</v>
      </c>
      <c r="G14" s="11" t="s">
        <v>77</v>
      </c>
      <c r="K14" s="136">
        <f t="shared" ref="K14:AI14" si="1">SUM(K12:K13)</f>
        <v>-12.828478823123653</v>
      </c>
      <c r="L14" s="136">
        <f t="shared" si="1"/>
        <v>-3.8759703085548765</v>
      </c>
      <c r="M14" s="136">
        <f t="shared" si="1"/>
        <v>-1.2387811910181057</v>
      </c>
      <c r="N14" s="136">
        <f t="shared" si="1"/>
        <v>1.3442143105666844</v>
      </c>
      <c r="O14" s="136">
        <f t="shared" si="1"/>
        <v>3.8802182356322135</v>
      </c>
      <c r="P14" s="136">
        <f t="shared" si="1"/>
        <v>6.3762021486878737</v>
      </c>
      <c r="Q14" s="136">
        <f t="shared" si="1"/>
        <v>8.83893304514622</v>
      </c>
      <c r="R14" s="136">
        <f t="shared" si="1"/>
        <v>11.221248246621457</v>
      </c>
      <c r="S14" s="136">
        <f t="shared" si="1"/>
        <v>13.610918011914478</v>
      </c>
      <c r="T14" s="136">
        <f t="shared" si="1"/>
        <v>16.002162979609977</v>
      </c>
      <c r="U14" s="136">
        <f t="shared" si="1"/>
        <v>18.370880177132292</v>
      </c>
      <c r="V14" s="136">
        <f t="shared" si="1"/>
        <v>20.70793694502418</v>
      </c>
      <c r="W14" s="136">
        <f t="shared" si="1"/>
        <v>22.997958601473542</v>
      </c>
      <c r="X14" s="136">
        <f t="shared" si="1"/>
        <v>25.397086234619373</v>
      </c>
      <c r="Y14" s="136">
        <f t="shared" si="1"/>
        <v>27.812705084351549</v>
      </c>
      <c r="Z14" s="136">
        <f t="shared" si="1"/>
        <v>30.132409053761933</v>
      </c>
      <c r="AA14" s="136">
        <f t="shared" si="1"/>
        <v>32.605912000673477</v>
      </c>
      <c r="AB14" s="136">
        <f t="shared" si="1"/>
        <v>35.113358585883361</v>
      </c>
      <c r="AC14" s="136">
        <f t="shared" si="1"/>
        <v>37.661088926029471</v>
      </c>
      <c r="AD14" s="136">
        <f t="shared" si="1"/>
        <v>40.25073483493675</v>
      </c>
      <c r="AE14" s="136">
        <f t="shared" si="1"/>
        <v>42.842324784970373</v>
      </c>
      <c r="AF14" s="136">
        <f t="shared" si="1"/>
        <v>45.476889738578002</v>
      </c>
      <c r="AG14" s="136">
        <f t="shared" si="1"/>
        <v>48.257060879588934</v>
      </c>
      <c r="AH14" s="136">
        <f t="shared" si="1"/>
        <v>51.106004109384244</v>
      </c>
      <c r="AI14" s="136">
        <f t="shared" si="1"/>
        <v>-51.814749173128874</v>
      </c>
      <c r="AJ14" s="136">
        <f t="shared" ref="AJ14:AX14" si="2">SUM(AJ12:AJ13)</f>
        <v>0</v>
      </c>
      <c r="AK14" s="136">
        <f t="shared" si="2"/>
        <v>0</v>
      </c>
      <c r="AL14" s="136">
        <f t="shared" si="2"/>
        <v>0</v>
      </c>
      <c r="AM14" s="136">
        <f t="shared" si="2"/>
        <v>0</v>
      </c>
      <c r="AN14" s="136">
        <f t="shared" si="2"/>
        <v>0</v>
      </c>
      <c r="AO14" s="136">
        <f t="shared" si="2"/>
        <v>0</v>
      </c>
      <c r="AP14" s="136">
        <f t="shared" si="2"/>
        <v>0</v>
      </c>
      <c r="AQ14" s="136">
        <f t="shared" si="2"/>
        <v>0</v>
      </c>
      <c r="AR14" s="136">
        <f t="shared" si="2"/>
        <v>0</v>
      </c>
      <c r="AS14" s="136">
        <f t="shared" si="2"/>
        <v>0</v>
      </c>
      <c r="AT14" s="136">
        <f t="shared" si="2"/>
        <v>0</v>
      </c>
      <c r="AU14" s="136">
        <f t="shared" si="2"/>
        <v>0</v>
      </c>
      <c r="AV14" s="136">
        <f t="shared" si="2"/>
        <v>0</v>
      </c>
      <c r="AW14" s="136">
        <f t="shared" si="2"/>
        <v>0</v>
      </c>
      <c r="AX14" s="136">
        <f t="shared" si="2"/>
        <v>0</v>
      </c>
    </row>
    <row r="15" spans="1:50" ht="15" customHeight="1">
      <c r="A15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</row>
    <row r="16" spans="1:50" ht="15" customHeight="1">
      <c r="A16"/>
      <c r="C16" s="180" t="s">
        <v>477</v>
      </c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</row>
    <row r="17" spans="1:50" ht="15" customHeight="1">
      <c r="A17"/>
      <c r="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</row>
    <row r="18" spans="1:50" ht="15" customHeight="1">
      <c r="A18"/>
      <c r="E18" s="1" t="s">
        <v>478</v>
      </c>
      <c r="G18" s="11" t="s">
        <v>77</v>
      </c>
      <c r="I18" s="11"/>
      <c r="K18" s="1">
        <f>J21*K11</f>
        <v>0</v>
      </c>
      <c r="L18" s="1">
        <f t="shared" ref="L18:AX18" si="3">K21*L11</f>
        <v>-12.828478823123653</v>
      </c>
      <c r="M18" s="1">
        <f t="shared" si="3"/>
        <v>-16.70444913167853</v>
      </c>
      <c r="N18" s="1">
        <f t="shared" si="3"/>
        <v>-17.943230322696635</v>
      </c>
      <c r="O18" s="1">
        <f t="shared" si="3"/>
        <v>-16.599016012129951</v>
      </c>
      <c r="P18" s="1">
        <f t="shared" si="3"/>
        <v>-12.718797776497738</v>
      </c>
      <c r="Q18" s="1">
        <f t="shared" si="3"/>
        <v>-6.3425956278098639</v>
      </c>
      <c r="R18" s="1">
        <f t="shared" si="3"/>
        <v>0</v>
      </c>
      <c r="S18" s="1">
        <f t="shared" si="3"/>
        <v>0</v>
      </c>
      <c r="T18" s="1">
        <f t="shared" si="3"/>
        <v>0</v>
      </c>
      <c r="U18" s="1">
        <f t="shared" si="3"/>
        <v>0</v>
      </c>
      <c r="V18" s="1">
        <f t="shared" si="3"/>
        <v>0</v>
      </c>
      <c r="W18" s="1">
        <f t="shared" si="3"/>
        <v>0</v>
      </c>
      <c r="X18" s="1">
        <f>W21*X11</f>
        <v>0</v>
      </c>
      <c r="Y18" s="1">
        <f t="shared" si="3"/>
        <v>0</v>
      </c>
      <c r="Z18" s="1">
        <f t="shared" si="3"/>
        <v>0</v>
      </c>
      <c r="AA18" s="1">
        <f t="shared" si="3"/>
        <v>0</v>
      </c>
      <c r="AB18" s="1">
        <f t="shared" si="3"/>
        <v>0</v>
      </c>
      <c r="AC18" s="1">
        <f t="shared" si="3"/>
        <v>0</v>
      </c>
      <c r="AD18" s="1">
        <f t="shared" si="3"/>
        <v>0</v>
      </c>
      <c r="AE18" s="1">
        <f t="shared" si="3"/>
        <v>0</v>
      </c>
      <c r="AF18" s="1">
        <f t="shared" si="3"/>
        <v>0</v>
      </c>
      <c r="AG18" s="1">
        <f t="shared" si="3"/>
        <v>0</v>
      </c>
      <c r="AH18" s="1">
        <f t="shared" si="3"/>
        <v>0</v>
      </c>
      <c r="AI18" s="1">
        <f t="shared" si="3"/>
        <v>0</v>
      </c>
      <c r="AJ18" s="1">
        <f>AI21*AJ11</f>
        <v>0</v>
      </c>
      <c r="AK18" s="1">
        <f t="shared" si="3"/>
        <v>0</v>
      </c>
      <c r="AL18" s="1">
        <f t="shared" si="3"/>
        <v>0</v>
      </c>
      <c r="AM18" s="1">
        <f t="shared" si="3"/>
        <v>0</v>
      </c>
      <c r="AN18" s="1">
        <f t="shared" si="3"/>
        <v>0</v>
      </c>
      <c r="AO18" s="1">
        <f t="shared" si="3"/>
        <v>0</v>
      </c>
      <c r="AP18" s="1">
        <f t="shared" si="3"/>
        <v>0</v>
      </c>
      <c r="AQ18" s="1">
        <f t="shared" si="3"/>
        <v>0</v>
      </c>
      <c r="AR18" s="1">
        <f t="shared" si="3"/>
        <v>0</v>
      </c>
      <c r="AS18" s="1">
        <f t="shared" si="3"/>
        <v>0</v>
      </c>
      <c r="AT18" s="1">
        <f t="shared" si="3"/>
        <v>0</v>
      </c>
      <c r="AU18" s="1">
        <f t="shared" si="3"/>
        <v>0</v>
      </c>
      <c r="AV18" s="1">
        <f t="shared" si="3"/>
        <v>0</v>
      </c>
      <c r="AW18" s="1">
        <f>AV21*AW11</f>
        <v>0</v>
      </c>
      <c r="AX18" s="1">
        <f t="shared" si="3"/>
        <v>0</v>
      </c>
    </row>
    <row r="19" spans="1:50" ht="15" customHeight="1">
      <c r="A19"/>
      <c r="E19" s="1" t="s">
        <v>479</v>
      </c>
      <c r="G19" s="11" t="s">
        <v>77</v>
      </c>
      <c r="I19" s="11"/>
      <c r="K19" s="1">
        <f t="shared" ref="K19:AI19" si="4">MIN(K14, 0)</f>
        <v>-12.828478823123653</v>
      </c>
      <c r="L19" s="1">
        <f t="shared" si="4"/>
        <v>-3.8759703085548765</v>
      </c>
      <c r="M19" s="1">
        <f t="shared" si="4"/>
        <v>-1.2387811910181057</v>
      </c>
      <c r="N19" s="1">
        <f t="shared" si="4"/>
        <v>0</v>
      </c>
      <c r="O19" s="1">
        <f t="shared" si="4"/>
        <v>0</v>
      </c>
      <c r="P19" s="1">
        <f t="shared" si="4"/>
        <v>0</v>
      </c>
      <c r="Q19" s="1">
        <f t="shared" si="4"/>
        <v>0</v>
      </c>
      <c r="R19" s="1">
        <f t="shared" si="4"/>
        <v>0</v>
      </c>
      <c r="S19" s="1">
        <f t="shared" si="4"/>
        <v>0</v>
      </c>
      <c r="T19" s="1">
        <f t="shared" si="4"/>
        <v>0</v>
      </c>
      <c r="U19" s="1">
        <f t="shared" si="4"/>
        <v>0</v>
      </c>
      <c r="V19" s="1">
        <f t="shared" si="4"/>
        <v>0</v>
      </c>
      <c r="W19" s="1">
        <f t="shared" si="4"/>
        <v>0</v>
      </c>
      <c r="X19" s="1">
        <f t="shared" si="4"/>
        <v>0</v>
      </c>
      <c r="Y19" s="1">
        <f t="shared" si="4"/>
        <v>0</v>
      </c>
      <c r="Z19" s="1">
        <f t="shared" si="4"/>
        <v>0</v>
      </c>
      <c r="AA19" s="1">
        <f t="shared" si="4"/>
        <v>0</v>
      </c>
      <c r="AB19" s="1">
        <f t="shared" si="4"/>
        <v>0</v>
      </c>
      <c r="AC19" s="1">
        <f t="shared" si="4"/>
        <v>0</v>
      </c>
      <c r="AD19" s="1">
        <f t="shared" si="4"/>
        <v>0</v>
      </c>
      <c r="AE19" s="1">
        <f t="shared" si="4"/>
        <v>0</v>
      </c>
      <c r="AF19" s="1">
        <f t="shared" si="4"/>
        <v>0</v>
      </c>
      <c r="AG19" s="1">
        <f t="shared" si="4"/>
        <v>0</v>
      </c>
      <c r="AH19" s="1">
        <f t="shared" si="4"/>
        <v>0</v>
      </c>
      <c r="AI19" s="1">
        <f t="shared" si="4"/>
        <v>-51.814749173128874</v>
      </c>
      <c r="AJ19" s="1">
        <f t="shared" ref="AJ19:AX19" si="5">MIN(AJ14, 0)</f>
        <v>0</v>
      </c>
      <c r="AK19" s="1">
        <f t="shared" si="5"/>
        <v>0</v>
      </c>
      <c r="AL19" s="1">
        <f t="shared" si="5"/>
        <v>0</v>
      </c>
      <c r="AM19" s="1">
        <f t="shared" si="5"/>
        <v>0</v>
      </c>
      <c r="AN19" s="1">
        <f t="shared" si="5"/>
        <v>0</v>
      </c>
      <c r="AO19" s="1">
        <f t="shared" si="5"/>
        <v>0</v>
      </c>
      <c r="AP19" s="1">
        <f t="shared" si="5"/>
        <v>0</v>
      </c>
      <c r="AQ19" s="1">
        <f t="shared" si="5"/>
        <v>0</v>
      </c>
      <c r="AR19" s="1">
        <f t="shared" si="5"/>
        <v>0</v>
      </c>
      <c r="AS19" s="1">
        <f t="shared" si="5"/>
        <v>0</v>
      </c>
      <c r="AT19" s="1">
        <f t="shared" si="5"/>
        <v>0</v>
      </c>
      <c r="AU19" s="1">
        <f t="shared" si="5"/>
        <v>0</v>
      </c>
      <c r="AV19" s="1">
        <f t="shared" si="5"/>
        <v>0</v>
      </c>
      <c r="AW19" s="1">
        <f t="shared" si="5"/>
        <v>0</v>
      </c>
      <c r="AX19" s="1">
        <f t="shared" si="5"/>
        <v>0</v>
      </c>
    </row>
    <row r="20" spans="1:50" ht="15" customHeight="1">
      <c r="A20"/>
      <c r="E20" s="11" t="s">
        <v>480</v>
      </c>
      <c r="G20" s="11" t="s">
        <v>77</v>
      </c>
      <c r="I20" s="11"/>
      <c r="K20" s="1">
        <f t="shared" ref="K20:AI20" si="6">IF(K14 &gt;= 0, MIN(K14, -K18), 0)</f>
        <v>0</v>
      </c>
      <c r="L20" s="1">
        <f t="shared" si="6"/>
        <v>0</v>
      </c>
      <c r="M20" s="1">
        <f t="shared" si="6"/>
        <v>0</v>
      </c>
      <c r="N20" s="1">
        <f t="shared" si="6"/>
        <v>1.3442143105666844</v>
      </c>
      <c r="O20" s="1">
        <f t="shared" si="6"/>
        <v>3.8802182356322135</v>
      </c>
      <c r="P20" s="1">
        <f t="shared" si="6"/>
        <v>6.3762021486878737</v>
      </c>
      <c r="Q20" s="1">
        <f t="shared" si="6"/>
        <v>6.3425956278098639</v>
      </c>
      <c r="R20" s="1">
        <f t="shared" si="6"/>
        <v>0</v>
      </c>
      <c r="S20" s="1">
        <f t="shared" si="6"/>
        <v>0</v>
      </c>
      <c r="T20" s="1">
        <f t="shared" si="6"/>
        <v>0</v>
      </c>
      <c r="U20" s="1">
        <f t="shared" si="6"/>
        <v>0</v>
      </c>
      <c r="V20" s="1">
        <f t="shared" si="6"/>
        <v>0</v>
      </c>
      <c r="W20" s="1">
        <f t="shared" si="6"/>
        <v>0</v>
      </c>
      <c r="X20" s="1">
        <f t="shared" si="6"/>
        <v>0</v>
      </c>
      <c r="Y20" s="1">
        <f t="shared" si="6"/>
        <v>0</v>
      </c>
      <c r="Z20" s="1">
        <f t="shared" si="6"/>
        <v>0</v>
      </c>
      <c r="AA20" s="1">
        <f t="shared" si="6"/>
        <v>0</v>
      </c>
      <c r="AB20" s="1">
        <f t="shared" si="6"/>
        <v>0</v>
      </c>
      <c r="AC20" s="1">
        <f t="shared" si="6"/>
        <v>0</v>
      </c>
      <c r="AD20" s="1">
        <f t="shared" si="6"/>
        <v>0</v>
      </c>
      <c r="AE20" s="1">
        <f t="shared" si="6"/>
        <v>0</v>
      </c>
      <c r="AF20" s="1">
        <f t="shared" si="6"/>
        <v>0</v>
      </c>
      <c r="AG20" s="1">
        <f t="shared" si="6"/>
        <v>0</v>
      </c>
      <c r="AH20" s="1">
        <f t="shared" si="6"/>
        <v>0</v>
      </c>
      <c r="AI20" s="1">
        <f t="shared" si="6"/>
        <v>0</v>
      </c>
      <c r="AJ20" s="1">
        <f t="shared" ref="AJ20:AX20" si="7">IF(AJ14 &gt;= 0, MIN(AJ14, -AJ18), 0)</f>
        <v>0</v>
      </c>
      <c r="AK20" s="1">
        <f t="shared" si="7"/>
        <v>0</v>
      </c>
      <c r="AL20" s="1">
        <f t="shared" si="7"/>
        <v>0</v>
      </c>
      <c r="AM20" s="1">
        <f t="shared" si="7"/>
        <v>0</v>
      </c>
      <c r="AN20" s="1">
        <f t="shared" si="7"/>
        <v>0</v>
      </c>
      <c r="AO20" s="1">
        <f t="shared" si="7"/>
        <v>0</v>
      </c>
      <c r="AP20" s="1">
        <f t="shared" si="7"/>
        <v>0</v>
      </c>
      <c r="AQ20" s="1">
        <f t="shared" si="7"/>
        <v>0</v>
      </c>
      <c r="AR20" s="1">
        <f t="shared" si="7"/>
        <v>0</v>
      </c>
      <c r="AS20" s="1">
        <f t="shared" si="7"/>
        <v>0</v>
      </c>
      <c r="AT20" s="1">
        <f t="shared" si="7"/>
        <v>0</v>
      </c>
      <c r="AU20" s="1">
        <f t="shared" si="7"/>
        <v>0</v>
      </c>
      <c r="AV20" s="1">
        <f t="shared" si="7"/>
        <v>0</v>
      </c>
      <c r="AW20" s="1">
        <f t="shared" si="7"/>
        <v>0</v>
      </c>
      <c r="AX20" s="1">
        <f t="shared" si="7"/>
        <v>0</v>
      </c>
    </row>
    <row r="21" spans="1:50" ht="15" customHeight="1">
      <c r="A21"/>
      <c r="E21" s="1" t="s">
        <v>481</v>
      </c>
      <c r="G21" s="11" t="s">
        <v>77</v>
      </c>
      <c r="I21" s="11"/>
      <c r="K21" s="136">
        <f t="shared" ref="K21:AI21" si="8">SUM(K18:K20)</f>
        <v>-12.828478823123653</v>
      </c>
      <c r="L21" s="136">
        <f t="shared" si="8"/>
        <v>-16.70444913167853</v>
      </c>
      <c r="M21" s="136">
        <f t="shared" si="8"/>
        <v>-17.943230322696635</v>
      </c>
      <c r="N21" s="136">
        <f t="shared" si="8"/>
        <v>-16.599016012129951</v>
      </c>
      <c r="O21" s="136">
        <f t="shared" si="8"/>
        <v>-12.718797776497738</v>
      </c>
      <c r="P21" s="136">
        <f t="shared" si="8"/>
        <v>-6.3425956278098639</v>
      </c>
      <c r="Q21" s="136">
        <f t="shared" si="8"/>
        <v>0</v>
      </c>
      <c r="R21" s="136">
        <f t="shared" si="8"/>
        <v>0</v>
      </c>
      <c r="S21" s="136">
        <f t="shared" si="8"/>
        <v>0</v>
      </c>
      <c r="T21" s="136">
        <f t="shared" si="8"/>
        <v>0</v>
      </c>
      <c r="U21" s="136">
        <f t="shared" si="8"/>
        <v>0</v>
      </c>
      <c r="V21" s="136">
        <f t="shared" si="8"/>
        <v>0</v>
      </c>
      <c r="W21" s="136">
        <f t="shared" si="8"/>
        <v>0</v>
      </c>
      <c r="X21" s="136">
        <f t="shared" si="8"/>
        <v>0</v>
      </c>
      <c r="Y21" s="136">
        <f t="shared" si="8"/>
        <v>0</v>
      </c>
      <c r="Z21" s="136">
        <f t="shared" si="8"/>
        <v>0</v>
      </c>
      <c r="AA21" s="136">
        <f t="shared" si="8"/>
        <v>0</v>
      </c>
      <c r="AB21" s="136">
        <f t="shared" si="8"/>
        <v>0</v>
      </c>
      <c r="AC21" s="136">
        <f t="shared" si="8"/>
        <v>0</v>
      </c>
      <c r="AD21" s="136">
        <f t="shared" si="8"/>
        <v>0</v>
      </c>
      <c r="AE21" s="136">
        <f t="shared" si="8"/>
        <v>0</v>
      </c>
      <c r="AF21" s="136">
        <f t="shared" si="8"/>
        <v>0</v>
      </c>
      <c r="AG21" s="136">
        <f t="shared" si="8"/>
        <v>0</v>
      </c>
      <c r="AH21" s="136">
        <f t="shared" si="8"/>
        <v>0</v>
      </c>
      <c r="AI21" s="136">
        <f t="shared" si="8"/>
        <v>-51.814749173128874</v>
      </c>
      <c r="AJ21" s="136">
        <f t="shared" ref="AJ21:AX21" si="9">SUM(AJ18:AJ20)</f>
        <v>0</v>
      </c>
      <c r="AK21" s="136">
        <f t="shared" si="9"/>
        <v>0</v>
      </c>
      <c r="AL21" s="136">
        <f t="shared" si="9"/>
        <v>0</v>
      </c>
      <c r="AM21" s="136">
        <f t="shared" si="9"/>
        <v>0</v>
      </c>
      <c r="AN21" s="136">
        <f t="shared" si="9"/>
        <v>0</v>
      </c>
      <c r="AO21" s="136">
        <f t="shared" si="9"/>
        <v>0</v>
      </c>
      <c r="AP21" s="136">
        <f t="shared" si="9"/>
        <v>0</v>
      </c>
      <c r="AQ21" s="136">
        <f t="shared" si="9"/>
        <v>0</v>
      </c>
      <c r="AR21" s="136">
        <f t="shared" si="9"/>
        <v>0</v>
      </c>
      <c r="AS21" s="136">
        <f t="shared" si="9"/>
        <v>0</v>
      </c>
      <c r="AT21" s="136">
        <f t="shared" si="9"/>
        <v>0</v>
      </c>
      <c r="AU21" s="136">
        <f t="shared" si="9"/>
        <v>0</v>
      </c>
      <c r="AV21" s="136">
        <f t="shared" si="9"/>
        <v>0</v>
      </c>
      <c r="AW21" s="136">
        <f t="shared" si="9"/>
        <v>0</v>
      </c>
      <c r="AX21" s="136">
        <f t="shared" si="9"/>
        <v>0</v>
      </c>
    </row>
    <row r="22" spans="1:50" ht="15" customHeight="1">
      <c r="I22" s="1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</row>
    <row r="23" spans="1:50" ht="15" customHeight="1">
      <c r="C23" s="180" t="s">
        <v>482</v>
      </c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  <c r="O23" s="180"/>
      <c r="P23" s="180"/>
      <c r="Q23" s="180"/>
      <c r="R23" s="180"/>
      <c r="S23" s="180"/>
      <c r="T23" s="180"/>
      <c r="U23" s="180"/>
      <c r="V23" s="180"/>
      <c r="W23" s="180"/>
      <c r="X23" s="180"/>
      <c r="Y23" s="180"/>
      <c r="Z23" s="180"/>
      <c r="AA23" s="180"/>
      <c r="AB23" s="180"/>
      <c r="AC23" s="180"/>
      <c r="AD23" s="180"/>
      <c r="AE23" s="180"/>
      <c r="AF23" s="180"/>
      <c r="AG23" s="180"/>
      <c r="AH23" s="180"/>
      <c r="AI23" s="180"/>
      <c r="AJ23" s="180"/>
      <c r="AK23" s="180"/>
      <c r="AL23" s="180"/>
      <c r="AM23" s="180"/>
      <c r="AN23" s="180"/>
      <c r="AO23" s="180"/>
      <c r="AP23" s="180"/>
      <c r="AQ23" s="180"/>
      <c r="AR23" s="180"/>
      <c r="AS23" s="180"/>
      <c r="AT23" s="180"/>
      <c r="AU23" s="180"/>
      <c r="AV23" s="180"/>
      <c r="AW23" s="180"/>
      <c r="AX23" s="180"/>
    </row>
    <row r="24" spans="1:50" ht="15" customHeight="1">
      <c r="B24" s="1"/>
      <c r="C24" s="1"/>
      <c r="D24" s="1"/>
      <c r="E24" s="1"/>
      <c r="F24" s="1"/>
      <c r="G24" s="1"/>
      <c r="H24" s="1"/>
      <c r="I24" s="1"/>
      <c r="J24" s="8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</row>
    <row r="25" spans="1:50" ht="15" customHeight="1">
      <c r="A25"/>
      <c r="B25" s="1"/>
      <c r="C25" s="1"/>
      <c r="D25" s="1"/>
      <c r="E25" s="11" t="s">
        <v>483</v>
      </c>
      <c r="G25" s="11" t="s">
        <v>77</v>
      </c>
      <c r="H25" s="1"/>
      <c r="I25" s="1"/>
      <c r="J25" s="81"/>
      <c r="K25" s="1">
        <f t="shared" ref="K25:AI25" si="10">MAX(K14 - K20,0)</f>
        <v>0</v>
      </c>
      <c r="L25" s="1">
        <f t="shared" si="10"/>
        <v>0</v>
      </c>
      <c r="M25" s="1">
        <f t="shared" si="10"/>
        <v>0</v>
      </c>
      <c r="N25" s="1">
        <f t="shared" si="10"/>
        <v>0</v>
      </c>
      <c r="O25" s="1">
        <f t="shared" si="10"/>
        <v>0</v>
      </c>
      <c r="P25" s="1">
        <f t="shared" si="10"/>
        <v>0</v>
      </c>
      <c r="Q25" s="1">
        <f t="shared" si="10"/>
        <v>2.4963374173363562</v>
      </c>
      <c r="R25" s="1">
        <f t="shared" si="10"/>
        <v>11.221248246621457</v>
      </c>
      <c r="S25" s="1">
        <f t="shared" si="10"/>
        <v>13.610918011914478</v>
      </c>
      <c r="T25" s="1">
        <f t="shared" si="10"/>
        <v>16.002162979609977</v>
      </c>
      <c r="U25" s="1">
        <f t="shared" si="10"/>
        <v>18.370880177132292</v>
      </c>
      <c r="V25" s="1">
        <f t="shared" si="10"/>
        <v>20.70793694502418</v>
      </c>
      <c r="W25" s="1">
        <f t="shared" si="10"/>
        <v>22.997958601473542</v>
      </c>
      <c r="X25" s="1">
        <f t="shared" si="10"/>
        <v>25.397086234619373</v>
      </c>
      <c r="Y25" s="1">
        <f t="shared" si="10"/>
        <v>27.812705084351549</v>
      </c>
      <c r="Z25" s="1">
        <f t="shared" si="10"/>
        <v>30.132409053761933</v>
      </c>
      <c r="AA25" s="1">
        <f t="shared" si="10"/>
        <v>32.605912000673477</v>
      </c>
      <c r="AB25" s="1">
        <f t="shared" si="10"/>
        <v>35.113358585883361</v>
      </c>
      <c r="AC25" s="1">
        <f t="shared" si="10"/>
        <v>37.661088926029471</v>
      </c>
      <c r="AD25" s="1">
        <f t="shared" si="10"/>
        <v>40.25073483493675</v>
      </c>
      <c r="AE25" s="1">
        <f t="shared" si="10"/>
        <v>42.842324784970373</v>
      </c>
      <c r="AF25" s="1">
        <f t="shared" si="10"/>
        <v>45.476889738578002</v>
      </c>
      <c r="AG25" s="1">
        <f t="shared" si="10"/>
        <v>48.257060879588934</v>
      </c>
      <c r="AH25" s="1">
        <f t="shared" si="10"/>
        <v>51.106004109384244</v>
      </c>
      <c r="AI25" s="1">
        <f t="shared" si="10"/>
        <v>0</v>
      </c>
      <c r="AJ25" s="1">
        <f t="shared" ref="AJ25:AX25" si="11">MAX(AJ14 - AJ20,0)</f>
        <v>0</v>
      </c>
      <c r="AK25" s="1">
        <f t="shared" si="11"/>
        <v>0</v>
      </c>
      <c r="AL25" s="1">
        <f t="shared" si="11"/>
        <v>0</v>
      </c>
      <c r="AM25" s="1">
        <f t="shared" si="11"/>
        <v>0</v>
      </c>
      <c r="AN25" s="1">
        <f t="shared" si="11"/>
        <v>0</v>
      </c>
      <c r="AO25" s="1">
        <f t="shared" si="11"/>
        <v>0</v>
      </c>
      <c r="AP25" s="1">
        <f t="shared" si="11"/>
        <v>0</v>
      </c>
      <c r="AQ25" s="1">
        <f t="shared" si="11"/>
        <v>0</v>
      </c>
      <c r="AR25" s="1">
        <f t="shared" si="11"/>
        <v>0</v>
      </c>
      <c r="AS25" s="1">
        <f t="shared" si="11"/>
        <v>0</v>
      </c>
      <c r="AT25" s="1">
        <f t="shared" si="11"/>
        <v>0</v>
      </c>
      <c r="AU25" s="1">
        <f t="shared" si="11"/>
        <v>0</v>
      </c>
      <c r="AV25" s="1">
        <f t="shared" si="11"/>
        <v>0</v>
      </c>
      <c r="AW25" s="1">
        <f t="shared" si="11"/>
        <v>0</v>
      </c>
      <c r="AX25" s="1">
        <f t="shared" si="11"/>
        <v>0</v>
      </c>
    </row>
    <row r="26" spans="1:50" ht="15" customHeight="1">
      <c r="A26"/>
      <c r="B26" s="1"/>
      <c r="C26" s="1"/>
      <c r="D26" s="1"/>
      <c r="E26" s="174" t="s">
        <v>241</v>
      </c>
      <c r="G26" s="174">
        <f>Inputs!G181</f>
        <v>0</v>
      </c>
      <c r="H26" s="1"/>
      <c r="I26" s="1"/>
      <c r="J26" s="81"/>
      <c r="K26" s="186">
        <f>Inputs!K165</f>
        <v>0.25</v>
      </c>
      <c r="L26" s="186">
        <f>Inputs!L165</f>
        <v>0.25</v>
      </c>
      <c r="M26" s="186">
        <f>Inputs!M165</f>
        <v>0.25</v>
      </c>
      <c r="N26" s="186">
        <f>Inputs!N165</f>
        <v>0.25</v>
      </c>
      <c r="O26" s="186">
        <f>Inputs!O165</f>
        <v>0.25</v>
      </c>
      <c r="P26" s="186">
        <f>Inputs!P165</f>
        <v>0.25</v>
      </c>
      <c r="Q26" s="186">
        <f>Inputs!Q165</f>
        <v>0.25</v>
      </c>
      <c r="R26" s="186">
        <f>Inputs!R165</f>
        <v>0.25</v>
      </c>
      <c r="S26" s="186">
        <f>Inputs!S165</f>
        <v>0.25</v>
      </c>
      <c r="T26" s="186">
        <f>Inputs!T165</f>
        <v>0.25</v>
      </c>
      <c r="U26" s="186">
        <f>Inputs!U165</f>
        <v>0.25</v>
      </c>
      <c r="V26" s="186">
        <f>Inputs!V165</f>
        <v>0.25</v>
      </c>
      <c r="W26" s="186">
        <f>Inputs!W165</f>
        <v>0.25</v>
      </c>
      <c r="X26" s="186">
        <f>Inputs!X165</f>
        <v>0.25</v>
      </c>
      <c r="Y26" s="186">
        <f>Inputs!Y165</f>
        <v>0.25</v>
      </c>
      <c r="Z26" s="186">
        <f>Inputs!Z165</f>
        <v>0.25</v>
      </c>
      <c r="AA26" s="186">
        <f>Inputs!AA165</f>
        <v>0.25</v>
      </c>
      <c r="AB26" s="186">
        <f>Inputs!AB165</f>
        <v>0.25</v>
      </c>
      <c r="AC26" s="186">
        <f>Inputs!AC165</f>
        <v>0.25</v>
      </c>
      <c r="AD26" s="186">
        <f>Inputs!AD165</f>
        <v>0.25</v>
      </c>
      <c r="AE26" s="186">
        <f>Inputs!AE165</f>
        <v>0.25</v>
      </c>
      <c r="AF26" s="186">
        <f>Inputs!AF165</f>
        <v>0.25</v>
      </c>
      <c r="AG26" s="186">
        <f>Inputs!AG165</f>
        <v>0.25</v>
      </c>
      <c r="AH26" s="186">
        <f>Inputs!AH165</f>
        <v>0.25</v>
      </c>
      <c r="AI26" s="186">
        <f>Inputs!AI165</f>
        <v>0.25</v>
      </c>
      <c r="AJ26" s="186">
        <f>Inputs!AJ165</f>
        <v>0.25</v>
      </c>
      <c r="AK26" s="186">
        <f>Inputs!AK165</f>
        <v>0.25</v>
      </c>
      <c r="AL26" s="186">
        <f>Inputs!AL165</f>
        <v>0.25</v>
      </c>
      <c r="AM26" s="186">
        <f>Inputs!AM165</f>
        <v>0.25</v>
      </c>
      <c r="AN26" s="186">
        <f>Inputs!AN165</f>
        <v>0.25</v>
      </c>
      <c r="AO26" s="186">
        <f>Inputs!AO165</f>
        <v>0.25</v>
      </c>
      <c r="AP26" s="186">
        <f>Inputs!AP165</f>
        <v>0.25</v>
      </c>
      <c r="AQ26" s="186">
        <f>Inputs!AQ165</f>
        <v>0.25</v>
      </c>
      <c r="AR26" s="186">
        <f>Inputs!AR165</f>
        <v>0.25</v>
      </c>
      <c r="AS26" s="186">
        <f>Inputs!AS165</f>
        <v>0.25</v>
      </c>
      <c r="AT26" s="186">
        <f>Inputs!AT165</f>
        <v>0.25</v>
      </c>
      <c r="AU26" s="186">
        <f>Inputs!AU165</f>
        <v>0.25</v>
      </c>
      <c r="AV26" s="186">
        <f>Inputs!AV165</f>
        <v>0.25</v>
      </c>
      <c r="AW26" s="186">
        <f>Inputs!AW165</f>
        <v>0.25</v>
      </c>
      <c r="AX26" s="186">
        <f>Inputs!AX165</f>
        <v>0.25</v>
      </c>
    </row>
    <row r="27" spans="1:50" ht="15" customHeight="1">
      <c r="A27"/>
      <c r="E27" s="11" t="s">
        <v>484</v>
      </c>
      <c r="G27" s="11" t="s">
        <v>77</v>
      </c>
      <c r="I27" s="11"/>
      <c r="K27" s="1">
        <f t="shared" ref="K27:AI27" si="12">K25 * K26</f>
        <v>0</v>
      </c>
      <c r="L27" s="1">
        <f t="shared" si="12"/>
        <v>0</v>
      </c>
      <c r="M27" s="1">
        <f t="shared" si="12"/>
        <v>0</v>
      </c>
      <c r="N27" s="1">
        <f t="shared" si="12"/>
        <v>0</v>
      </c>
      <c r="O27" s="1">
        <f t="shared" si="12"/>
        <v>0</v>
      </c>
      <c r="P27" s="1">
        <f t="shared" si="12"/>
        <v>0</v>
      </c>
      <c r="Q27" s="1">
        <f t="shared" si="12"/>
        <v>0.62408435433408904</v>
      </c>
      <c r="R27" s="1">
        <f t="shared" si="12"/>
        <v>2.8053120616553642</v>
      </c>
      <c r="S27" s="1">
        <f t="shared" si="12"/>
        <v>3.4027295029786195</v>
      </c>
      <c r="T27" s="1">
        <f t="shared" si="12"/>
        <v>4.0005407449024943</v>
      </c>
      <c r="U27" s="1">
        <f t="shared" si="12"/>
        <v>4.5927200442830731</v>
      </c>
      <c r="V27" s="1">
        <f t="shared" si="12"/>
        <v>5.176984236256045</v>
      </c>
      <c r="W27" s="1">
        <f t="shared" si="12"/>
        <v>5.7494896503683854</v>
      </c>
      <c r="X27" s="1">
        <f t="shared" si="12"/>
        <v>6.3492715586548432</v>
      </c>
      <c r="Y27" s="1">
        <f t="shared" si="12"/>
        <v>6.9531762710878873</v>
      </c>
      <c r="Z27" s="1">
        <f t="shared" si="12"/>
        <v>7.5331022634404832</v>
      </c>
      <c r="AA27" s="1">
        <f t="shared" si="12"/>
        <v>8.1514780001683693</v>
      </c>
      <c r="AB27" s="1">
        <f t="shared" si="12"/>
        <v>8.7783396464708403</v>
      </c>
      <c r="AC27" s="1">
        <f t="shared" si="12"/>
        <v>9.4152722315073678</v>
      </c>
      <c r="AD27" s="1">
        <f t="shared" si="12"/>
        <v>10.062683708734188</v>
      </c>
      <c r="AE27" s="1">
        <f t="shared" si="12"/>
        <v>10.710581196242593</v>
      </c>
      <c r="AF27" s="1">
        <f t="shared" si="12"/>
        <v>11.369222434644501</v>
      </c>
      <c r="AG27" s="1">
        <f t="shared" si="12"/>
        <v>12.064265219897234</v>
      </c>
      <c r="AH27" s="1">
        <f t="shared" si="12"/>
        <v>12.776501027346061</v>
      </c>
      <c r="AI27" s="1">
        <f t="shared" si="12"/>
        <v>0</v>
      </c>
      <c r="AJ27" s="1">
        <f t="shared" ref="AJ27:AX27" si="13">AJ25 * AJ26</f>
        <v>0</v>
      </c>
      <c r="AK27" s="1">
        <f t="shared" si="13"/>
        <v>0</v>
      </c>
      <c r="AL27" s="1">
        <f t="shared" si="13"/>
        <v>0</v>
      </c>
      <c r="AM27" s="1">
        <f t="shared" si="13"/>
        <v>0</v>
      </c>
      <c r="AN27" s="1">
        <f t="shared" si="13"/>
        <v>0</v>
      </c>
      <c r="AO27" s="1">
        <f t="shared" si="13"/>
        <v>0</v>
      </c>
      <c r="AP27" s="1">
        <f t="shared" si="13"/>
        <v>0</v>
      </c>
      <c r="AQ27" s="1">
        <f t="shared" si="13"/>
        <v>0</v>
      </c>
      <c r="AR27" s="1">
        <f t="shared" si="13"/>
        <v>0</v>
      </c>
      <c r="AS27" s="1">
        <f t="shared" si="13"/>
        <v>0</v>
      </c>
      <c r="AT27" s="1">
        <f t="shared" si="13"/>
        <v>0</v>
      </c>
      <c r="AU27" s="1">
        <f t="shared" si="13"/>
        <v>0</v>
      </c>
      <c r="AV27" s="1">
        <f t="shared" si="13"/>
        <v>0</v>
      </c>
      <c r="AW27" s="1">
        <f t="shared" si="13"/>
        <v>0</v>
      </c>
      <c r="AX27" s="1">
        <f t="shared" si="13"/>
        <v>0</v>
      </c>
    </row>
    <row r="28" spans="1:50" ht="15" customHeight="1">
      <c r="I28" s="1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</row>
    <row r="29" spans="1:50" ht="15" customHeight="1">
      <c r="A29"/>
      <c r="E29" s="1" t="s">
        <v>485</v>
      </c>
      <c r="G29" s="1" t="s">
        <v>249</v>
      </c>
      <c r="I29" s="11"/>
      <c r="K29" s="182">
        <f t="shared" ref="K29:AI29" si="14">1 / (1 - K26)</f>
        <v>1.3333333333333333</v>
      </c>
      <c r="L29" s="182">
        <f t="shared" si="14"/>
        <v>1.3333333333333333</v>
      </c>
      <c r="M29" s="182">
        <f t="shared" si="14"/>
        <v>1.3333333333333333</v>
      </c>
      <c r="N29" s="182">
        <f t="shared" si="14"/>
        <v>1.3333333333333333</v>
      </c>
      <c r="O29" s="182">
        <f t="shared" si="14"/>
        <v>1.3333333333333333</v>
      </c>
      <c r="P29" s="182">
        <f t="shared" si="14"/>
        <v>1.3333333333333333</v>
      </c>
      <c r="Q29" s="182">
        <f t="shared" si="14"/>
        <v>1.3333333333333333</v>
      </c>
      <c r="R29" s="182">
        <f t="shared" si="14"/>
        <v>1.3333333333333333</v>
      </c>
      <c r="S29" s="182">
        <f t="shared" si="14"/>
        <v>1.3333333333333333</v>
      </c>
      <c r="T29" s="182">
        <f t="shared" si="14"/>
        <v>1.3333333333333333</v>
      </c>
      <c r="U29" s="182">
        <f t="shared" si="14"/>
        <v>1.3333333333333333</v>
      </c>
      <c r="V29" s="182">
        <f t="shared" si="14"/>
        <v>1.3333333333333333</v>
      </c>
      <c r="W29" s="182">
        <f t="shared" si="14"/>
        <v>1.3333333333333333</v>
      </c>
      <c r="X29" s="182">
        <f t="shared" si="14"/>
        <v>1.3333333333333333</v>
      </c>
      <c r="Y29" s="182">
        <f t="shared" si="14"/>
        <v>1.3333333333333333</v>
      </c>
      <c r="Z29" s="182">
        <f t="shared" si="14"/>
        <v>1.3333333333333333</v>
      </c>
      <c r="AA29" s="182">
        <f t="shared" si="14"/>
        <v>1.3333333333333333</v>
      </c>
      <c r="AB29" s="182">
        <f t="shared" si="14"/>
        <v>1.3333333333333333</v>
      </c>
      <c r="AC29" s="182">
        <f t="shared" si="14"/>
        <v>1.3333333333333333</v>
      </c>
      <c r="AD29" s="182">
        <f t="shared" si="14"/>
        <v>1.3333333333333333</v>
      </c>
      <c r="AE29" s="182">
        <f t="shared" si="14"/>
        <v>1.3333333333333333</v>
      </c>
      <c r="AF29" s="182">
        <f t="shared" si="14"/>
        <v>1.3333333333333333</v>
      </c>
      <c r="AG29" s="182">
        <f t="shared" si="14"/>
        <v>1.3333333333333333</v>
      </c>
      <c r="AH29" s="182">
        <f t="shared" si="14"/>
        <v>1.3333333333333333</v>
      </c>
      <c r="AI29" s="182">
        <f t="shared" si="14"/>
        <v>1.3333333333333333</v>
      </c>
      <c r="AJ29" s="182">
        <f t="shared" ref="AJ29:AX29" si="15">1 / (1 - AJ26)</f>
        <v>1.3333333333333333</v>
      </c>
      <c r="AK29" s="182">
        <f t="shared" si="15"/>
        <v>1.3333333333333333</v>
      </c>
      <c r="AL29" s="182">
        <f t="shared" si="15"/>
        <v>1.3333333333333333</v>
      </c>
      <c r="AM29" s="182">
        <f t="shared" si="15"/>
        <v>1.3333333333333333</v>
      </c>
      <c r="AN29" s="182">
        <f t="shared" si="15"/>
        <v>1.3333333333333333</v>
      </c>
      <c r="AO29" s="182">
        <f t="shared" si="15"/>
        <v>1.3333333333333333</v>
      </c>
      <c r="AP29" s="182">
        <f t="shared" si="15"/>
        <v>1.3333333333333333</v>
      </c>
      <c r="AQ29" s="182">
        <f t="shared" si="15"/>
        <v>1.3333333333333333</v>
      </c>
      <c r="AR29" s="182">
        <f t="shared" si="15"/>
        <v>1.3333333333333333</v>
      </c>
      <c r="AS29" s="182">
        <f t="shared" si="15"/>
        <v>1.3333333333333333</v>
      </c>
      <c r="AT29" s="182">
        <f t="shared" si="15"/>
        <v>1.3333333333333333</v>
      </c>
      <c r="AU29" s="182">
        <f t="shared" si="15"/>
        <v>1.3333333333333333</v>
      </c>
      <c r="AV29" s="182">
        <f t="shared" si="15"/>
        <v>1.3333333333333333</v>
      </c>
      <c r="AW29" s="182">
        <f t="shared" si="15"/>
        <v>1.3333333333333333</v>
      </c>
      <c r="AX29" s="182">
        <f t="shared" si="15"/>
        <v>1.3333333333333333</v>
      </c>
    </row>
    <row r="30" spans="1:50" ht="15" customHeight="1">
      <c r="I30" s="1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</row>
    <row r="31" spans="1:50" ht="15" customHeight="1">
      <c r="A31"/>
      <c r="E31" s="1" t="s">
        <v>492</v>
      </c>
      <c r="G31" s="11" t="s">
        <v>77</v>
      </c>
      <c r="I31" s="11"/>
      <c r="K31" s="143">
        <f t="shared" ref="K31:AI31" si="16">K27 * K29</f>
        <v>0</v>
      </c>
      <c r="L31" s="143">
        <f t="shared" si="16"/>
        <v>0</v>
      </c>
      <c r="M31" s="143">
        <f t="shared" si="16"/>
        <v>0</v>
      </c>
      <c r="N31" s="143">
        <f t="shared" si="16"/>
        <v>0</v>
      </c>
      <c r="O31" s="143">
        <f t="shared" si="16"/>
        <v>0</v>
      </c>
      <c r="P31" s="143">
        <f t="shared" si="16"/>
        <v>0</v>
      </c>
      <c r="Q31" s="143">
        <f t="shared" si="16"/>
        <v>0.83211247244545206</v>
      </c>
      <c r="R31" s="143">
        <f t="shared" si="16"/>
        <v>3.7404160822071519</v>
      </c>
      <c r="S31" s="143">
        <f t="shared" si="16"/>
        <v>4.5369726706381588</v>
      </c>
      <c r="T31" s="143">
        <f t="shared" si="16"/>
        <v>5.3340543265366591</v>
      </c>
      <c r="U31" s="143">
        <f t="shared" si="16"/>
        <v>6.1236267257107642</v>
      </c>
      <c r="V31" s="143">
        <f t="shared" si="16"/>
        <v>6.9026456483413927</v>
      </c>
      <c r="W31" s="143">
        <f t="shared" si="16"/>
        <v>7.6659862004911803</v>
      </c>
      <c r="X31" s="143">
        <f t="shared" si="16"/>
        <v>8.4656954115397909</v>
      </c>
      <c r="Y31" s="143">
        <f t="shared" si="16"/>
        <v>9.2709016947838485</v>
      </c>
      <c r="Z31" s="143">
        <f t="shared" si="16"/>
        <v>10.044136351253977</v>
      </c>
      <c r="AA31" s="143">
        <f t="shared" si="16"/>
        <v>10.868637333557825</v>
      </c>
      <c r="AB31" s="143">
        <f t="shared" si="16"/>
        <v>11.704452861961119</v>
      </c>
      <c r="AC31" s="143">
        <f t="shared" si="16"/>
        <v>12.553696308676489</v>
      </c>
      <c r="AD31" s="143">
        <f t="shared" si="16"/>
        <v>13.416911611645583</v>
      </c>
      <c r="AE31" s="143">
        <f t="shared" si="16"/>
        <v>14.280774928323456</v>
      </c>
      <c r="AF31" s="143">
        <f t="shared" si="16"/>
        <v>15.158963246192666</v>
      </c>
      <c r="AG31" s="143">
        <f t="shared" si="16"/>
        <v>16.085686959862976</v>
      </c>
      <c r="AH31" s="143">
        <f t="shared" si="16"/>
        <v>17.035334703128079</v>
      </c>
      <c r="AI31" s="143">
        <f t="shared" si="16"/>
        <v>0</v>
      </c>
      <c r="AJ31" s="143">
        <f t="shared" ref="AJ31:AX31" si="17">AJ27 * AJ29</f>
        <v>0</v>
      </c>
      <c r="AK31" s="143">
        <f t="shared" si="17"/>
        <v>0</v>
      </c>
      <c r="AL31" s="143">
        <f t="shared" si="17"/>
        <v>0</v>
      </c>
      <c r="AM31" s="143">
        <f t="shared" si="17"/>
        <v>0</v>
      </c>
      <c r="AN31" s="143">
        <f t="shared" si="17"/>
        <v>0</v>
      </c>
      <c r="AO31" s="143">
        <f t="shared" si="17"/>
        <v>0</v>
      </c>
      <c r="AP31" s="143">
        <f t="shared" si="17"/>
        <v>0</v>
      </c>
      <c r="AQ31" s="143">
        <f t="shared" si="17"/>
        <v>0</v>
      </c>
      <c r="AR31" s="143">
        <f t="shared" si="17"/>
        <v>0</v>
      </c>
      <c r="AS31" s="143">
        <f t="shared" si="17"/>
        <v>0</v>
      </c>
      <c r="AT31" s="143">
        <f t="shared" si="17"/>
        <v>0</v>
      </c>
      <c r="AU31" s="143">
        <f t="shared" si="17"/>
        <v>0</v>
      </c>
      <c r="AV31" s="143">
        <f t="shared" si="17"/>
        <v>0</v>
      </c>
      <c r="AW31" s="143">
        <f t="shared" si="17"/>
        <v>0</v>
      </c>
      <c r="AX31" s="143">
        <f t="shared" si="17"/>
        <v>0</v>
      </c>
    </row>
    <row r="32" spans="1:50" ht="15" customHeight="1">
      <c r="I32" s="1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</row>
    <row r="33" spans="1:50" ht="15" customHeight="1">
      <c r="B33" s="13" t="s">
        <v>493</v>
      </c>
      <c r="C33" s="13"/>
      <c r="D33" s="13"/>
      <c r="E33" s="13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</row>
    <row r="34" spans="1:50" ht="15" customHeight="1">
      <c r="B34" s="1"/>
      <c r="C34" s="1"/>
      <c r="D34" s="1"/>
      <c r="I34" s="140"/>
      <c r="J34" s="140"/>
      <c r="K34" s="140"/>
      <c r="L34" s="140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  <c r="AA34" s="140"/>
      <c r="AB34" s="140"/>
      <c r="AC34" s="140"/>
      <c r="AD34" s="140"/>
      <c r="AE34" s="140"/>
      <c r="AF34" s="140"/>
      <c r="AG34" s="140"/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</row>
    <row r="35" spans="1:50" ht="15" customHeight="1">
      <c r="A35"/>
      <c r="B35" s="1"/>
      <c r="C35" s="1"/>
      <c r="D35" s="1"/>
      <c r="E35" s="1" t="s">
        <v>492</v>
      </c>
      <c r="G35" s="1" t="str">
        <f>Inputs!$I$6</f>
        <v>£m 2024 prices</v>
      </c>
      <c r="I35" s="11"/>
      <c r="J35" s="140"/>
      <c r="K35" s="1">
        <f>IFERROR(Tax_Floor!K31 / Tax_Deductions!K$13,0)</f>
        <v>0</v>
      </c>
      <c r="L35" s="1">
        <f>IFERROR(Tax_Floor!L31 / Tax_Deductions!L$13,0)</f>
        <v>0</v>
      </c>
      <c r="M35" s="1">
        <f>IFERROR(Tax_Floor!M31 / Tax_Deductions!M$13,0)</f>
        <v>0</v>
      </c>
      <c r="N35" s="1">
        <f>IFERROR(Tax_Floor!N31 / Tax_Deductions!N$13,0)</f>
        <v>0</v>
      </c>
      <c r="O35" s="1">
        <f>IFERROR(Tax_Floor!O31 / Tax_Deductions!O$13,0)</f>
        <v>0</v>
      </c>
      <c r="P35" s="1">
        <f>IFERROR(Tax_Floor!P31 / Tax_Deductions!P$13,0)</f>
        <v>0</v>
      </c>
      <c r="Q35" s="1">
        <f>IFERROR(Tax_Floor!Q31 / Tax_Deductions!Q$13,0)</f>
        <v>0.66923730595641018</v>
      </c>
      <c r="R35" s="1">
        <f>IFERROR(Tax_Floor!R31 / Tax_Deductions!R$13,0)</f>
        <v>2.9492925546562141</v>
      </c>
      <c r="S35" s="1">
        <f>IFERROR(Tax_Floor!S31 / Tax_Deductions!S$13,0)</f>
        <v>3.5072274398026164</v>
      </c>
      <c r="T35" s="1">
        <f>IFERROR(Tax_Floor!T31 / Tax_Deductions!T$13,0)</f>
        <v>4.04254655387924</v>
      </c>
      <c r="U35" s="1">
        <f>IFERROR(Tax_Floor!U31 / Tax_Deductions!U$13,0)</f>
        <v>4.5499448581544604</v>
      </c>
      <c r="V35" s="1">
        <f>IFERROR(Tax_Floor!V31 / Tax_Deductions!V$13,0)</f>
        <v>5.0282033260870618</v>
      </c>
      <c r="W35" s="1">
        <f>IFERROR(Tax_Floor!W31 / Tax_Deductions!W$13,0)</f>
        <v>5.4747603487636143</v>
      </c>
      <c r="X35" s="1">
        <f>IFERROR(Tax_Floor!X31 / Tax_Deductions!X$13,0)</f>
        <v>5.9273360079930404</v>
      </c>
      <c r="Y35" s="1">
        <f>IFERROR(Tax_Floor!Y31 / Tax_Deductions!Y$13,0)</f>
        <v>6.3638320941054829</v>
      </c>
      <c r="Z35" s="1">
        <f>IFERROR(Tax_Floor!Z31 / Tax_Deductions!Z$13,0)</f>
        <v>6.7594158302224869</v>
      </c>
      <c r="AA35" s="1">
        <f>IFERROR(Tax_Floor!AA31 / Tax_Deductions!AA$13,0)</f>
        <v>7.170864073953342</v>
      </c>
      <c r="AB35" s="1">
        <f>IFERROR(Tax_Floor!AB31 / Tax_Deductions!AB$13,0)</f>
        <v>7.5708970067420118</v>
      </c>
      <c r="AC35" s="1">
        <f>IFERROR(Tax_Floor!AC31 / Tax_Deductions!AC$13,0)</f>
        <v>7.9610008031259776</v>
      </c>
      <c r="AD35" s="1">
        <f>IFERROR(Tax_Floor!AD31 / Tax_Deductions!AD$13,0)</f>
        <v>8.3415822507362485</v>
      </c>
      <c r="AE35" s="1">
        <f>IFERROR(Tax_Floor!AE31 / Tax_Deductions!AE$13,0)</f>
        <v>8.7045731738794121</v>
      </c>
      <c r="AF35" s="1">
        <f>IFERROR(Tax_Floor!AF31 / Tax_Deductions!AF$13,0)</f>
        <v>9.0586824154490166</v>
      </c>
      <c r="AG35" s="1">
        <f>IFERROR(Tax_Floor!AG31 / Tax_Deductions!AG$13,0)</f>
        <v>9.4239934406869086</v>
      </c>
      <c r="AH35" s="1">
        <f>IFERROR(Tax_Floor!AH31 / Tax_Deductions!AH$13,0)</f>
        <v>9.7846627535207542</v>
      </c>
      <c r="AI35" s="1">
        <f>IFERROR(Tax_Floor!AI31 / Tax_Deductions!AI$13,0)</f>
        <v>0</v>
      </c>
      <c r="AJ35" s="1">
        <f>IFERROR(Tax_Floor!AJ31 / Tax_Deductions!AJ$13,0)</f>
        <v>0</v>
      </c>
      <c r="AK35" s="1">
        <f>IFERROR(Tax_Floor!AK31 / Tax_Deductions!AK$13,0)</f>
        <v>0</v>
      </c>
      <c r="AL35" s="1">
        <f>IFERROR(Tax_Floor!AL31 / Tax_Deductions!AL$13,0)</f>
        <v>0</v>
      </c>
      <c r="AM35" s="1">
        <f>IFERROR(Tax_Floor!AM31 / Tax_Deductions!AM$13,0)</f>
        <v>0</v>
      </c>
      <c r="AN35" s="1">
        <f>IFERROR(Tax_Floor!AN31 / Tax_Deductions!AN$13,0)</f>
        <v>0</v>
      </c>
      <c r="AO35" s="1">
        <f>IFERROR(Tax_Floor!AO31 / Tax_Deductions!AO$13,0)</f>
        <v>0</v>
      </c>
      <c r="AP35" s="1">
        <f>IFERROR(Tax_Floor!AP31 / Tax_Deductions!AP$13,0)</f>
        <v>0</v>
      </c>
      <c r="AQ35" s="1">
        <f>IFERROR(Tax_Floor!AQ31 / Tax_Deductions!AQ$13,0)</f>
        <v>0</v>
      </c>
      <c r="AR35" s="1">
        <f>IFERROR(Tax_Floor!AR31 / Tax_Deductions!AR$13,0)</f>
        <v>0</v>
      </c>
      <c r="AS35" s="1">
        <f>IFERROR(Tax_Floor!AS31 / Tax_Deductions!AS$13,0)</f>
        <v>0</v>
      </c>
      <c r="AT35" s="1">
        <f>IFERROR(Tax_Floor!AT31 / Tax_Deductions!AT$13,0)</f>
        <v>0</v>
      </c>
      <c r="AU35" s="1">
        <f>IFERROR(Tax_Floor!AU31 / Tax_Deductions!AU$13,0)</f>
        <v>0</v>
      </c>
      <c r="AV35" s="1">
        <f>IFERROR(Tax_Floor!AV31 / Tax_Deductions!AV$13,0)</f>
        <v>0</v>
      </c>
      <c r="AW35" s="1">
        <f>IFERROR(Tax_Floor!AW31 / Tax_Deductions!AW$13,0)</f>
        <v>0</v>
      </c>
      <c r="AX35" s="1">
        <f>IFERROR(Tax_Floor!AX31 / Tax_Deductions!AX$13,0)</f>
        <v>0</v>
      </c>
    </row>
    <row r="36" spans="1:50" ht="15" customHeight="1">
      <c r="A36"/>
      <c r="B36" s="1"/>
      <c r="C36" s="1"/>
      <c r="D36" s="1"/>
      <c r="E36" s="1" t="s">
        <v>413</v>
      </c>
      <c r="G36" s="1" t="str">
        <f>Allowances_Floor!H38</f>
        <v>scalar</v>
      </c>
      <c r="I36" s="11"/>
      <c r="J36" s="140"/>
      <c r="K36" s="183">
        <f>Allowances_Floor!L38</f>
        <v>0.95721259691777549</v>
      </c>
      <c r="L36" s="183">
        <f>Allowances_Floor!M38</f>
        <v>0.91625595569807161</v>
      </c>
      <c r="M36" s="183">
        <f>Allowances_Floor!N38</f>
        <v>0.87705174279512943</v>
      </c>
      <c r="N36" s="183">
        <f>Allowances_Floor!O38</f>
        <v>0.83952497635218659</v>
      </c>
      <c r="O36" s="183">
        <f>Allowances_Floor!P38</f>
        <v>0.8036038827914106</v>
      </c>
      <c r="P36" s="183">
        <f>Allowances_Floor!Q38</f>
        <v>0.76921975953997379</v>
      </c>
      <c r="Q36" s="183">
        <f>Allowances_Floor!R38</f>
        <v>0.73630684362972498</v>
      </c>
      <c r="R36" s="183">
        <f>Allowances_Floor!S38</f>
        <v>0.70480218591913946</v>
      </c>
      <c r="S36" s="183">
        <f>Allowances_Floor!T38</f>
        <v>0.6746455306969843</v>
      </c>
      <c r="T36" s="183">
        <f>Allowances_Floor!U38</f>
        <v>0.6457792004374312</v>
      </c>
      <c r="U36" s="183">
        <f>Allowances_Floor!V38</f>
        <v>0.61814798548619809</v>
      </c>
      <c r="V36" s="183">
        <f>Allowances_Floor!W38</f>
        <v>0.59169903846673499</v>
      </c>
      <c r="W36" s="183">
        <f>Allowances_Floor!X38</f>
        <v>0.56638177320449412</v>
      </c>
      <c r="X36" s="183">
        <f>Allowances_Floor!Y38</f>
        <v>0.54214776797596831</v>
      </c>
      <c r="Y36" s="183">
        <f>Allowances_Floor!Z38</f>
        <v>0.51895067289745223</v>
      </c>
      <c r="Z36" s="183">
        <f>Allowances_Floor!AA38</f>
        <v>0.49674612127639722</v>
      </c>
      <c r="AA36" s="183">
        <f>Allowances_Floor!AB38</f>
        <v>0.47549164475581235</v>
      </c>
      <c r="AB36" s="183">
        <f>Allowances_Floor!AC38</f>
        <v>0.45514659208941555</v>
      </c>
      <c r="AC36" s="183">
        <f>Allowances_Floor!AD38</f>
        <v>0.43567205139218484</v>
      </c>
      <c r="AD36" s="183">
        <f>Allowances_Floor!AE38</f>
        <v>0.41703077571760777</v>
      </c>
      <c r="AE36" s="183">
        <f>Allowances_Floor!AF38</f>
        <v>0.39918711181928579</v>
      </c>
      <c r="AF36" s="183">
        <f>Allowances_Floor!AG38</f>
        <v>0.38210693196064488</v>
      </c>
      <c r="AG36" s="183">
        <f>Allowances_Floor!AH38</f>
        <v>0.36575756864233261</v>
      </c>
      <c r="AH36" s="183">
        <f>Allowances_Floor!AI38</f>
        <v>0.3501077521224587</v>
      </c>
      <c r="AI36" s="183">
        <f>Allowances_Floor!AJ38</f>
        <v>0.33512755061018351</v>
      </c>
      <c r="AJ36" s="183">
        <f>Allowances_Floor!AK38</f>
        <v>0.32078831301826699</v>
      </c>
      <c r="AK36" s="183">
        <f>Allowances_Floor!AL38</f>
        <v>0.30706261416508757</v>
      </c>
      <c r="AL36" s="183">
        <f>Allowances_Floor!AM38</f>
        <v>0.29392420232132438</v>
      </c>
      <c r="AM36" s="183">
        <f>Allowances_Floor!AN38</f>
        <v>0.28134794900098054</v>
      </c>
      <c r="AN36" s="183">
        <f>Allowances_Floor!AO38</f>
        <v>0.26930980090071843</v>
      </c>
      <c r="AO36" s="183">
        <f>Allowances_Floor!AP38</f>
        <v>0.25778673389558571</v>
      </c>
      <c r="AP36" s="183">
        <f>Allowances_Floor!AQ38</f>
        <v>0.24675670900314509</v>
      </c>
      <c r="AQ36" s="183">
        <f>Allowances_Floor!AR38</f>
        <v>0.23619863023178436</v>
      </c>
      <c r="AR36" s="183">
        <f>Allowances_Floor!AS38</f>
        <v>0.22609230423258767</v>
      </c>
      <c r="AS36" s="183">
        <f>Allowances_Floor!AT38</f>
        <v>0.21641840167759899</v>
      </c>
      <c r="AT36" s="183">
        <f>Allowances_Floor!AU38</f>
        <v>0.20715842029060877</v>
      </c>
      <c r="AU36" s="183">
        <f>Allowances_Floor!AV38</f>
        <v>0.19829464945975761</v>
      </c>
      <c r="AV36" s="183">
        <f>Allowances_Floor!AW38</f>
        <v>0.18981013636427455</v>
      </c>
      <c r="AW36" s="183">
        <f>Allowances_Floor!AX38</f>
        <v>0.18168865355056432</v>
      </c>
      <c r="AX36" s="183">
        <f>Allowances_Floor!AY38</f>
        <v>0.17391466789562965</v>
      </c>
    </row>
    <row r="37" spans="1:50" ht="15" customHeight="1">
      <c r="A37"/>
      <c r="B37" s="175"/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</row>
    <row r="38" spans="1:50" ht="15" customHeight="1">
      <c r="A38"/>
      <c r="B38" s="1"/>
      <c r="C38" s="1"/>
      <c r="D38" s="1"/>
      <c r="E38" s="11" t="s">
        <v>494</v>
      </c>
      <c r="G38" s="1" t="str">
        <f>Inputs!$I$6</f>
        <v>£m 2024 prices</v>
      </c>
      <c r="I38" s="11"/>
      <c r="J38" s="140"/>
      <c r="K38" s="143">
        <f t="shared" ref="K38:AI38" si="18">K35*K36</f>
        <v>0</v>
      </c>
      <c r="L38" s="143">
        <f t="shared" si="18"/>
        <v>0</v>
      </c>
      <c r="M38" s="143">
        <f t="shared" si="18"/>
        <v>0</v>
      </c>
      <c r="N38" s="143">
        <f t="shared" si="18"/>
        <v>0</v>
      </c>
      <c r="O38" s="143">
        <f t="shared" si="18"/>
        <v>0</v>
      </c>
      <c r="P38" s="143">
        <f t="shared" si="18"/>
        <v>0</v>
      </c>
      <c r="Q38" s="143">
        <f t="shared" si="18"/>
        <v>0.49276400838802492</v>
      </c>
      <c r="R38" s="143">
        <f t="shared" si="18"/>
        <v>2.0786678394367426</v>
      </c>
      <c r="S38" s="143">
        <f t="shared" si="18"/>
        <v>2.3661353174006616</v>
      </c>
      <c r="T38" s="143">
        <f t="shared" si="18"/>
        <v>2.6105924812952286</v>
      </c>
      <c r="U38" s="143">
        <f t="shared" si="18"/>
        <v>2.8125392481414648</v>
      </c>
      <c r="V38" s="143">
        <f t="shared" si="18"/>
        <v>2.9751830732609532</v>
      </c>
      <c r="W38" s="143">
        <f t="shared" si="18"/>
        <v>3.1008044742023904</v>
      </c>
      <c r="X38" s="143">
        <f t="shared" si="18"/>
        <v>3.2134919867770133</v>
      </c>
      <c r="Y38" s="143">
        <f t="shared" si="18"/>
        <v>3.3025149474424427</v>
      </c>
      <c r="Z38" s="143">
        <f t="shared" si="18"/>
        <v>3.3577135957572986</v>
      </c>
      <c r="AA38" s="143">
        <f t="shared" si="18"/>
        <v>3.4096859528444399</v>
      </c>
      <c r="AB38" s="143">
        <f t="shared" si="18"/>
        <v>3.4458679716785836</v>
      </c>
      <c r="AC38" s="143">
        <f t="shared" si="18"/>
        <v>3.4683855510327257</v>
      </c>
      <c r="AD38" s="143">
        <f t="shared" si="18"/>
        <v>3.4786965167367661</v>
      </c>
      <c r="AE38" s="143">
        <f t="shared" si="18"/>
        <v>3.4747534249005563</v>
      </c>
      <c r="AF38" s="143">
        <f t="shared" si="18"/>
        <v>3.4613853453730674</v>
      </c>
      <c r="AG38" s="143">
        <f t="shared" si="18"/>
        <v>3.4468969277669341</v>
      </c>
      <c r="AH38" s="143">
        <f t="shared" si="18"/>
        <v>3.4256862819114984</v>
      </c>
      <c r="AI38" s="143">
        <f t="shared" si="18"/>
        <v>0</v>
      </c>
      <c r="AJ38" s="143">
        <f t="shared" ref="AJ38:AX38" si="19">AJ35*AJ36</f>
        <v>0</v>
      </c>
      <c r="AK38" s="143">
        <f t="shared" si="19"/>
        <v>0</v>
      </c>
      <c r="AL38" s="143">
        <f t="shared" si="19"/>
        <v>0</v>
      </c>
      <c r="AM38" s="143">
        <f t="shared" si="19"/>
        <v>0</v>
      </c>
      <c r="AN38" s="143">
        <f t="shared" si="19"/>
        <v>0</v>
      </c>
      <c r="AO38" s="143">
        <f t="shared" si="19"/>
        <v>0</v>
      </c>
      <c r="AP38" s="143">
        <f t="shared" si="19"/>
        <v>0</v>
      </c>
      <c r="AQ38" s="143">
        <f t="shared" si="19"/>
        <v>0</v>
      </c>
      <c r="AR38" s="143">
        <f t="shared" si="19"/>
        <v>0</v>
      </c>
      <c r="AS38" s="143">
        <f t="shared" si="19"/>
        <v>0</v>
      </c>
      <c r="AT38" s="143">
        <f t="shared" si="19"/>
        <v>0</v>
      </c>
      <c r="AU38" s="143">
        <f t="shared" si="19"/>
        <v>0</v>
      </c>
      <c r="AV38" s="143">
        <f t="shared" si="19"/>
        <v>0</v>
      </c>
      <c r="AW38" s="143">
        <f t="shared" si="19"/>
        <v>0</v>
      </c>
      <c r="AX38" s="143">
        <f t="shared" si="19"/>
        <v>0</v>
      </c>
    </row>
    <row r="39" spans="1:50" ht="15" customHeight="1">
      <c r="A39"/>
      <c r="B39" s="1"/>
      <c r="C39" s="1"/>
      <c r="D39" s="1"/>
      <c r="E39" s="11" t="s">
        <v>495</v>
      </c>
      <c r="G39" s="1" t="str">
        <f>Inputs!$I$6</f>
        <v>£m 2024 prices</v>
      </c>
      <c r="I39" s="167">
        <f>SUM(K38:AX38)</f>
        <v>53.921764944346791</v>
      </c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</row>
    <row r="40" spans="1:50" ht="15" customHeight="1">
      <c r="A40"/>
      <c r="B40" s="1"/>
      <c r="C40" s="1"/>
      <c r="D40" s="1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</row>
    <row r="41" spans="1:50" ht="15" customHeight="1">
      <c r="A41"/>
      <c r="B41" s="1"/>
      <c r="C41" s="1"/>
      <c r="D41" s="1"/>
      <c r="E41" s="11" t="s">
        <v>412</v>
      </c>
      <c r="G41" s="1" t="s">
        <v>249</v>
      </c>
      <c r="I41" s="171">
        <f>Allowances_Floor!J35</f>
        <v>6.7230940372131842E-2</v>
      </c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</row>
    <row r="42" spans="1:50" ht="15" customHeight="1">
      <c r="A42"/>
      <c r="B42" s="1"/>
      <c r="C42" s="1"/>
      <c r="D42" s="1"/>
      <c r="I42" s="11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140"/>
      <c r="AG42" s="140"/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</row>
    <row r="43" spans="1:50" ht="15" customHeight="1">
      <c r="A43"/>
      <c r="B43" s="1"/>
      <c r="C43" s="1"/>
      <c r="D43" s="1"/>
      <c r="E43" s="11" t="s">
        <v>496</v>
      </c>
      <c r="G43" s="1" t="str">
        <f>Inputs!$I$6</f>
        <v>£m 2024 prices</v>
      </c>
      <c r="I43" s="168">
        <f>I39 * I41</f>
        <v>3.6252109637334882</v>
      </c>
      <c r="J43" s="140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</row>
    <row r="44" spans="1:50" ht="15" customHeight="1">
      <c r="A44"/>
      <c r="B44" s="1"/>
      <c r="C44" s="1"/>
      <c r="D44" s="1"/>
      <c r="I44" s="11"/>
      <c r="J44" s="140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40"/>
      <c r="AE44" s="140"/>
      <c r="AF44" s="140"/>
      <c r="AG44" s="140"/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40"/>
    </row>
    <row r="45" spans="1:50" ht="15" customHeight="1">
      <c r="A45" s="92"/>
      <c r="B45" s="12" t="s">
        <v>497</v>
      </c>
      <c r="C45" s="13"/>
      <c r="D45" s="13"/>
      <c r="E45" s="13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  <c r="AX45" s="79"/>
    </row>
    <row r="46" spans="1:50" ht="15" customHeight="1">
      <c r="A46" s="92"/>
      <c r="H46" s="1"/>
      <c r="I46" s="1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</row>
    <row r="47" spans="1:50" ht="15" customHeight="1">
      <c r="A47" s="92"/>
      <c r="B47" s="1"/>
      <c r="C47" s="180" t="s">
        <v>474</v>
      </c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0"/>
      <c r="AK47" s="180"/>
      <c r="AL47" s="180"/>
      <c r="AM47" s="180"/>
      <c r="AN47" s="180"/>
      <c r="AO47" s="180"/>
      <c r="AP47" s="180"/>
      <c r="AQ47" s="180"/>
      <c r="AR47" s="180"/>
      <c r="AS47" s="180"/>
      <c r="AT47" s="180"/>
      <c r="AU47" s="180"/>
      <c r="AV47" s="180"/>
      <c r="AW47" s="180"/>
      <c r="AX47" s="180"/>
    </row>
    <row r="48" spans="1:50" ht="15" customHeight="1">
      <c r="A48" s="23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</row>
    <row r="49" spans="1:50" ht="15" customHeight="1">
      <c r="A49" s="92"/>
      <c r="B49" s="1"/>
      <c r="C49" s="1"/>
      <c r="D49" s="1"/>
      <c r="E49" s="11" t="s">
        <v>368</v>
      </c>
      <c r="G49" s="11" t="s">
        <v>155</v>
      </c>
      <c r="I49" s="165">
        <f>Inputs!I142</f>
        <v>25</v>
      </c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</row>
    <row r="50" spans="1:50" ht="15" customHeight="1">
      <c r="A50" s="92"/>
      <c r="E50" s="1" t="s">
        <v>390</v>
      </c>
      <c r="F50" s="1"/>
      <c r="G50" s="1" t="s">
        <v>225</v>
      </c>
      <c r="I50" s="67"/>
      <c r="K50" s="158" t="b">
        <f>AND(K4 &gt; 0, K4&lt;= $I49)</f>
        <v>1</v>
      </c>
      <c r="L50" s="158" t="b">
        <f t="shared" ref="L50:AX50" si="20">AND(L4 &gt; 0, L4&lt;= $I49)</f>
        <v>1</v>
      </c>
      <c r="M50" s="158" t="b">
        <f t="shared" si="20"/>
        <v>1</v>
      </c>
      <c r="N50" s="158" t="b">
        <f t="shared" si="20"/>
        <v>1</v>
      </c>
      <c r="O50" s="158" t="b">
        <f t="shared" si="20"/>
        <v>1</v>
      </c>
      <c r="P50" s="158" t="b">
        <f t="shared" si="20"/>
        <v>1</v>
      </c>
      <c r="Q50" s="158" t="b">
        <f t="shared" si="20"/>
        <v>1</v>
      </c>
      <c r="R50" s="158" t="b">
        <f t="shared" si="20"/>
        <v>1</v>
      </c>
      <c r="S50" s="158" t="b">
        <f t="shared" si="20"/>
        <v>1</v>
      </c>
      <c r="T50" s="158" t="b">
        <f t="shared" si="20"/>
        <v>1</v>
      </c>
      <c r="U50" s="158" t="b">
        <f t="shared" si="20"/>
        <v>1</v>
      </c>
      <c r="V50" s="158" t="b">
        <f t="shared" si="20"/>
        <v>1</v>
      </c>
      <c r="W50" s="158" t="b">
        <f t="shared" si="20"/>
        <v>1</v>
      </c>
      <c r="X50" s="158" t="b">
        <f t="shared" si="20"/>
        <v>1</v>
      </c>
      <c r="Y50" s="158" t="b">
        <f t="shared" si="20"/>
        <v>1</v>
      </c>
      <c r="Z50" s="158" t="b">
        <f t="shared" si="20"/>
        <v>1</v>
      </c>
      <c r="AA50" s="158" t="b">
        <f t="shared" si="20"/>
        <v>1</v>
      </c>
      <c r="AB50" s="158" t="b">
        <f t="shared" si="20"/>
        <v>1</v>
      </c>
      <c r="AC50" s="158" t="b">
        <f t="shared" si="20"/>
        <v>1</v>
      </c>
      <c r="AD50" s="158" t="b">
        <f t="shared" si="20"/>
        <v>1</v>
      </c>
      <c r="AE50" s="158" t="b">
        <f t="shared" si="20"/>
        <v>1</v>
      </c>
      <c r="AF50" s="158" t="b">
        <f t="shared" si="20"/>
        <v>1</v>
      </c>
      <c r="AG50" s="158" t="b">
        <f t="shared" si="20"/>
        <v>1</v>
      </c>
      <c r="AH50" s="158" t="b">
        <f t="shared" si="20"/>
        <v>1</v>
      </c>
      <c r="AI50" s="158" t="b">
        <f t="shared" si="20"/>
        <v>1</v>
      </c>
      <c r="AJ50" s="158" t="b">
        <f t="shared" si="20"/>
        <v>0</v>
      </c>
      <c r="AK50" s="158" t="b">
        <f t="shared" si="20"/>
        <v>0</v>
      </c>
      <c r="AL50" s="158" t="b">
        <f t="shared" si="20"/>
        <v>0</v>
      </c>
      <c r="AM50" s="158" t="b">
        <f t="shared" si="20"/>
        <v>0</v>
      </c>
      <c r="AN50" s="158" t="b">
        <f t="shared" si="20"/>
        <v>0</v>
      </c>
      <c r="AO50" s="158" t="b">
        <f t="shared" si="20"/>
        <v>0</v>
      </c>
      <c r="AP50" s="158" t="b">
        <f t="shared" si="20"/>
        <v>0</v>
      </c>
      <c r="AQ50" s="158" t="b">
        <f t="shared" si="20"/>
        <v>0</v>
      </c>
      <c r="AR50" s="158" t="b">
        <f t="shared" si="20"/>
        <v>0</v>
      </c>
      <c r="AS50" s="158" t="b">
        <f t="shared" si="20"/>
        <v>0</v>
      </c>
      <c r="AT50" s="158" t="b">
        <f t="shared" si="20"/>
        <v>0</v>
      </c>
      <c r="AU50" s="158" t="b">
        <f t="shared" si="20"/>
        <v>0</v>
      </c>
      <c r="AV50" s="158" t="b">
        <f t="shared" si="20"/>
        <v>0</v>
      </c>
      <c r="AW50" s="158" t="b">
        <f t="shared" si="20"/>
        <v>0</v>
      </c>
      <c r="AX50" s="158" t="b">
        <f t="shared" si="20"/>
        <v>0</v>
      </c>
    </row>
    <row r="51" spans="1:50" ht="15" customHeight="1">
      <c r="A51" s="92"/>
      <c r="E51" s="1" t="s">
        <v>491</v>
      </c>
      <c r="G51" s="11" t="s">
        <v>77</v>
      </c>
      <c r="I51" s="11"/>
      <c r="K51" s="16">
        <f>(Allowances_Floor!L99+Allowances_Floor!L108)* Tax_Deductions!K$13</f>
        <v>0</v>
      </c>
      <c r="L51" s="16">
        <f>(Allowances_Floor!M99+Allowances_Floor!M108)* Tax_Deductions!L$13</f>
        <v>0</v>
      </c>
      <c r="M51" s="16">
        <f>(Allowances_Floor!N99+Allowances_Floor!N108)* Tax_Deductions!M$13</f>
        <v>47.216364187536513</v>
      </c>
      <c r="N51" s="16">
        <f>(Allowances_Floor!O99+Allowances_Floor!O108)* Tax_Deductions!N$13</f>
        <v>48.160691471287244</v>
      </c>
      <c r="O51" s="16">
        <f>(Allowances_Floor!P99+Allowances_Floor!P108)* Tax_Deductions!O$13</f>
        <v>49.123905300712991</v>
      </c>
      <c r="P51" s="16">
        <f>(Allowances_Floor!Q99+Allowances_Floor!Q108)* Tax_Deductions!P$13</f>
        <v>50.106383406727254</v>
      </c>
      <c r="Q51" s="16">
        <f>(Allowances_Floor!R99+Allowances_Floor!R108)* Tax_Deductions!Q$13</f>
        <v>51.108511074861795</v>
      </c>
      <c r="R51" s="16">
        <f>(Allowances_Floor!S99+Allowances_Floor!S108)* Tax_Deductions!R$13</f>
        <v>52.130681296359029</v>
      </c>
      <c r="S51" s="16">
        <f>(Allowances_Floor!T99+Allowances_Floor!T108)* Tax_Deductions!S$13</f>
        <v>53.173294922286217</v>
      </c>
      <c r="T51" s="16">
        <f>(Allowances_Floor!U99+Allowances_Floor!U108)* Tax_Deductions!T$13</f>
        <v>54.236760820731945</v>
      </c>
      <c r="U51" s="16">
        <f>(Allowances_Floor!V99+Allowances_Floor!V108)* Tax_Deductions!U$13</f>
        <v>55.321496037146588</v>
      </c>
      <c r="V51" s="16">
        <f>(Allowances_Floor!W99+Allowances_Floor!W108)* Tax_Deductions!V$13</f>
        <v>56.427925957889521</v>
      </c>
      <c r="W51" s="16">
        <f>(Allowances_Floor!X99+Allowances_Floor!X108)* Tax_Deductions!W$13</f>
        <v>57.556484477047313</v>
      </c>
      <c r="X51" s="16">
        <f>(Allowances_Floor!Y99+Allowances_Floor!Y108)* Tax_Deductions!X$13</f>
        <v>58.707614166588257</v>
      </c>
      <c r="Y51" s="16">
        <f>(Allowances_Floor!Z99+Allowances_Floor!Z108)* Tax_Deductions!Y$13</f>
        <v>59.881766449920022</v>
      </c>
      <c r="Z51" s="16">
        <f>(Allowances_Floor!AA99+Allowances_Floor!AA108)* Tax_Deductions!Z$13</f>
        <v>61.079401778918431</v>
      </c>
      <c r="AA51" s="16">
        <f>(Allowances_Floor!AB99+Allowances_Floor!AB108)* Tax_Deductions!AA$13</f>
        <v>62.300989814496802</v>
      </c>
      <c r="AB51" s="16">
        <f>(Allowances_Floor!AC99+Allowances_Floor!AC108)* Tax_Deductions!AB$13</f>
        <v>63.547009610786738</v>
      </c>
      <c r="AC51" s="16">
        <f>(Allowances_Floor!AD99+Allowances_Floor!AD108)* Tax_Deductions!AC$13</f>
        <v>64.817949803002477</v>
      </c>
      <c r="AD51" s="16">
        <f>(Allowances_Floor!AE99+Allowances_Floor!AE108)* Tax_Deductions!AD$13</f>
        <v>66.114308799062528</v>
      </c>
      <c r="AE51" s="16">
        <f>(Allowances_Floor!AF99+Allowances_Floor!AF108)* Tax_Deductions!AE$13</f>
        <v>67.436594975043775</v>
      </c>
      <c r="AF51" s="16">
        <f>(Allowances_Floor!AG99+Allowances_Floor!AG108)* Tax_Deductions!AF$13</f>
        <v>68.785326874544651</v>
      </c>
      <c r="AG51" s="16">
        <f>(Allowances_Floor!AH99+Allowances_Floor!AH108)* Tax_Deductions!AG$13</f>
        <v>70.16103341203555</v>
      </c>
      <c r="AH51" s="16">
        <f>(Allowances_Floor!AI99+Allowances_Floor!AI108)* Tax_Deductions!AH$13</f>
        <v>71.564254080276257</v>
      </c>
      <c r="AI51" s="16">
        <f>(Allowances_Floor!AJ99+Allowances_Floor!AJ108)* Tax_Deductions!AI$13</f>
        <v>72.995539161881794</v>
      </c>
      <c r="AJ51" s="16">
        <f>(Allowances_Floor!AK99+Allowances_Floor!AK108)* Tax_Deductions!AJ$13</f>
        <v>0</v>
      </c>
      <c r="AK51" s="16">
        <f>(Allowances_Floor!AL99+Allowances_Floor!AL108)* Tax_Deductions!AK$13</f>
        <v>0</v>
      </c>
      <c r="AL51" s="16">
        <f>(Allowances_Floor!AM99+Allowances_Floor!AM108)* Tax_Deductions!AL$13</f>
        <v>0</v>
      </c>
      <c r="AM51" s="16">
        <f>(Allowances_Floor!AN99+Allowances_Floor!AN108)* Tax_Deductions!AM$13</f>
        <v>0</v>
      </c>
      <c r="AN51" s="16">
        <f>(Allowances_Floor!AO99+Allowances_Floor!AO108)* Tax_Deductions!AN$13</f>
        <v>0</v>
      </c>
      <c r="AO51" s="16">
        <f>(Allowances_Floor!AP99+Allowances_Floor!AP108)* Tax_Deductions!AO$13</f>
        <v>0</v>
      </c>
      <c r="AP51" s="16">
        <f>(Allowances_Floor!AQ99+Allowances_Floor!AQ108)* Tax_Deductions!AP$13</f>
        <v>0</v>
      </c>
      <c r="AQ51" s="16">
        <f>(Allowances_Floor!AR99+Allowances_Floor!AR108)* Tax_Deductions!AQ$13</f>
        <v>0</v>
      </c>
      <c r="AR51" s="16">
        <f>(Allowances_Floor!AS99+Allowances_Floor!AS108)* Tax_Deductions!AR$13</f>
        <v>0</v>
      </c>
      <c r="AS51" s="16">
        <f>(Allowances_Floor!AT99+Allowances_Floor!AT108)* Tax_Deductions!AS$13</f>
        <v>0</v>
      </c>
      <c r="AT51" s="16">
        <f>(Allowances_Floor!AU99+Allowances_Floor!AU108)* Tax_Deductions!AT$13</f>
        <v>0</v>
      </c>
      <c r="AU51" s="16">
        <f>(Allowances_Floor!AV99+Allowances_Floor!AV108)* Tax_Deductions!AU$13</f>
        <v>0</v>
      </c>
      <c r="AV51" s="16">
        <f>(Allowances_Floor!AW99+Allowances_Floor!AW108)* Tax_Deductions!AV$13</f>
        <v>0</v>
      </c>
      <c r="AW51" s="16">
        <f>(Allowances_Floor!AX99+Allowances_Floor!AX108)* Tax_Deductions!AW$13</f>
        <v>0</v>
      </c>
      <c r="AX51" s="16">
        <f>(Allowances_Floor!AY99+Allowances_Floor!AY108)* Tax_Deductions!AX$13</f>
        <v>0</v>
      </c>
    </row>
    <row r="52" spans="1:50" ht="15" customHeight="1">
      <c r="A52" s="92"/>
      <c r="E52" s="1" t="s">
        <v>476</v>
      </c>
      <c r="G52" s="11" t="s">
        <v>77</v>
      </c>
      <c r="K52" s="16">
        <f>-Tax_Deductions!K31</f>
        <v>-9.41</v>
      </c>
      <c r="L52" s="16">
        <f>-Tax_Deductions!L31</f>
        <v>0</v>
      </c>
      <c r="M52" s="16">
        <f>-Tax_Deductions!M31</f>
        <v>-65.996685341194251</v>
      </c>
      <c r="N52" s="16">
        <f>-Tax_Deductions!N31</f>
        <v>-63.469043048018122</v>
      </c>
      <c r="O52" s="16">
        <f>-Tax_Deductions!O31</f>
        <v>-61.030962468978487</v>
      </c>
      <c r="P52" s="16">
        <f>-Tax_Deductions!P31</f>
        <v>-58.677363964758058</v>
      </c>
      <c r="Q52" s="16">
        <f>-Tax_Deductions!Q31</f>
        <v>-56.403478555669224</v>
      </c>
      <c r="R52" s="16">
        <f>-Tax_Deductions!R31</f>
        <v>-54.258579625089681</v>
      </c>
      <c r="S52" s="16">
        <f>-Tax_Deductions!S31</f>
        <v>-52.157127332845718</v>
      </c>
      <c r="T52" s="16">
        <f>-Tax_Deductions!T31</f>
        <v>-50.107258650392296</v>
      </c>
      <c r="U52" s="16">
        <f>-Tax_Deductions!U31</f>
        <v>-48.135569312537385</v>
      </c>
      <c r="V52" s="16">
        <f>-Tax_Deductions!V31</f>
        <v>-46.25382836847848</v>
      </c>
      <c r="W52" s="16">
        <f>-Tax_Deductions!W31</f>
        <v>-44.480199540723959</v>
      </c>
      <c r="X52" s="16">
        <f>-Tax_Deductions!X31</f>
        <v>-42.661493040165993</v>
      </c>
      <c r="Y52" s="16">
        <f>-Tax_Deductions!Y31</f>
        <v>-40.893447413734009</v>
      </c>
      <c r="Z52" s="16">
        <f>-Tax_Deductions!Z31</f>
        <v>-39.291775925113171</v>
      </c>
      <c r="AA52" s="16">
        <f>-Tax_Deductions!AA31</f>
        <v>-37.610266861405869</v>
      </c>
      <c r="AB52" s="16">
        <f>-Tax_Deductions!AB31</f>
        <v>-35.972485035242322</v>
      </c>
      <c r="AC52" s="16">
        <f>-Tax_Deductions!AC31</f>
        <v>-34.37602028359597</v>
      </c>
      <c r="AD52" s="16">
        <f>-Tax_Deductions!AD31</f>
        <v>-32.823405231834016</v>
      </c>
      <c r="AE52" s="16">
        <f>-Tax_Deductions!AE31</f>
        <v>-31.359025247295463</v>
      </c>
      <c r="AF52" s="16">
        <f>-Tax_Deductions!AF31</f>
        <v>-29.946528491691886</v>
      </c>
      <c r="AG52" s="16">
        <f>-Tax_Deductions!AG31</f>
        <v>-28.488245106137853</v>
      </c>
      <c r="AH52" s="16">
        <f>-Tax_Deductions!AH31</f>
        <v>-27.066270731225284</v>
      </c>
      <c r="AI52" s="16">
        <f>-Tax_Deductions!AI31</f>
        <v>-131.52465491516261</v>
      </c>
      <c r="AJ52" s="16">
        <f>-Tax_Deductions!AJ31</f>
        <v>0</v>
      </c>
      <c r="AK52" s="16">
        <f>-Tax_Deductions!AK31</f>
        <v>0</v>
      </c>
      <c r="AL52" s="16">
        <f>-Tax_Deductions!AL31</f>
        <v>0</v>
      </c>
      <c r="AM52" s="16">
        <f>-Tax_Deductions!AM31</f>
        <v>0</v>
      </c>
      <c r="AN52" s="16">
        <f>-Tax_Deductions!AN31</f>
        <v>0</v>
      </c>
      <c r="AO52" s="16">
        <f>-Tax_Deductions!AO31</f>
        <v>0</v>
      </c>
      <c r="AP52" s="16">
        <f>-Tax_Deductions!AP31</f>
        <v>0</v>
      </c>
      <c r="AQ52" s="16">
        <f>-Tax_Deductions!AQ31</f>
        <v>0</v>
      </c>
      <c r="AR52" s="16">
        <f>-Tax_Deductions!AR31</f>
        <v>0</v>
      </c>
      <c r="AS52" s="16">
        <f>-Tax_Deductions!AS31</f>
        <v>0</v>
      </c>
      <c r="AT52" s="16">
        <f>-Tax_Deductions!AT31</f>
        <v>0</v>
      </c>
      <c r="AU52" s="16">
        <f>-Tax_Deductions!AU31</f>
        <v>0</v>
      </c>
      <c r="AV52" s="16">
        <f>-Tax_Deductions!AV31</f>
        <v>0</v>
      </c>
      <c r="AW52" s="16">
        <f>-Tax_Deductions!AW31</f>
        <v>0</v>
      </c>
      <c r="AX52" s="16">
        <f>-Tax_Deductions!AX31</f>
        <v>0</v>
      </c>
    </row>
    <row r="53" spans="1:50" ht="15" customHeight="1">
      <c r="A53" s="92"/>
      <c r="E53" s="11" t="s">
        <v>474</v>
      </c>
      <c r="G53" s="11" t="s">
        <v>77</v>
      </c>
      <c r="K53" s="136">
        <f t="shared" ref="K53:AI53" si="21">SUM(K51:K52)</f>
        <v>-9.41</v>
      </c>
      <c r="L53" s="136">
        <f t="shared" si="21"/>
        <v>0</v>
      </c>
      <c r="M53" s="136">
        <f t="shared" si="21"/>
        <v>-18.780321153657738</v>
      </c>
      <c r="N53" s="136">
        <f t="shared" si="21"/>
        <v>-15.308351576730878</v>
      </c>
      <c r="O53" s="136">
        <f t="shared" si="21"/>
        <v>-11.907057168265496</v>
      </c>
      <c r="P53" s="136">
        <f t="shared" si="21"/>
        <v>-8.5709805580308043</v>
      </c>
      <c r="Q53" s="136">
        <f t="shared" si="21"/>
        <v>-5.2949674808074292</v>
      </c>
      <c r="R53" s="136">
        <f t="shared" si="21"/>
        <v>-2.1278983287306517</v>
      </c>
      <c r="S53" s="136">
        <f t="shared" si="21"/>
        <v>1.0161675894404993</v>
      </c>
      <c r="T53" s="136">
        <f t="shared" si="21"/>
        <v>4.1295021703396486</v>
      </c>
      <c r="U53" s="136">
        <f t="shared" si="21"/>
        <v>7.1859267246092031</v>
      </c>
      <c r="V53" s="136">
        <f t="shared" si="21"/>
        <v>10.174097589411041</v>
      </c>
      <c r="W53" s="136">
        <f t="shared" si="21"/>
        <v>13.076284936323354</v>
      </c>
      <c r="X53" s="136">
        <f t="shared" si="21"/>
        <v>16.046121126422264</v>
      </c>
      <c r="Y53" s="136">
        <f t="shared" si="21"/>
        <v>18.988319036186013</v>
      </c>
      <c r="Z53" s="136">
        <f t="shared" si="21"/>
        <v>21.78762585380526</v>
      </c>
      <c r="AA53" s="136">
        <f t="shared" si="21"/>
        <v>24.690722953090933</v>
      </c>
      <c r="AB53" s="136">
        <f t="shared" si="21"/>
        <v>27.574524575544416</v>
      </c>
      <c r="AC53" s="136">
        <f t="shared" si="21"/>
        <v>30.441929519406507</v>
      </c>
      <c r="AD53" s="136">
        <f t="shared" si="21"/>
        <v>33.290903567228511</v>
      </c>
      <c r="AE53" s="136">
        <f t="shared" si="21"/>
        <v>36.077569727748312</v>
      </c>
      <c r="AF53" s="136">
        <f t="shared" si="21"/>
        <v>38.838798382852765</v>
      </c>
      <c r="AG53" s="136">
        <f t="shared" si="21"/>
        <v>41.672788305897697</v>
      </c>
      <c r="AH53" s="136">
        <f t="shared" si="21"/>
        <v>44.497983349050969</v>
      </c>
      <c r="AI53" s="136">
        <f t="shared" si="21"/>
        <v>-58.52911575328082</v>
      </c>
      <c r="AJ53" s="136">
        <f t="shared" ref="AJ53:AX53" si="22">SUM(AJ51:AJ52)</f>
        <v>0</v>
      </c>
      <c r="AK53" s="136">
        <f t="shared" si="22"/>
        <v>0</v>
      </c>
      <c r="AL53" s="136">
        <f t="shared" si="22"/>
        <v>0</v>
      </c>
      <c r="AM53" s="136">
        <f t="shared" si="22"/>
        <v>0</v>
      </c>
      <c r="AN53" s="136">
        <f t="shared" si="22"/>
        <v>0</v>
      </c>
      <c r="AO53" s="136">
        <f t="shared" si="22"/>
        <v>0</v>
      </c>
      <c r="AP53" s="136">
        <f t="shared" si="22"/>
        <v>0</v>
      </c>
      <c r="AQ53" s="136">
        <f t="shared" si="22"/>
        <v>0</v>
      </c>
      <c r="AR53" s="136">
        <f t="shared" si="22"/>
        <v>0</v>
      </c>
      <c r="AS53" s="136">
        <f t="shared" si="22"/>
        <v>0</v>
      </c>
      <c r="AT53" s="136">
        <f t="shared" si="22"/>
        <v>0</v>
      </c>
      <c r="AU53" s="136">
        <f t="shared" si="22"/>
        <v>0</v>
      </c>
      <c r="AV53" s="136">
        <f t="shared" si="22"/>
        <v>0</v>
      </c>
      <c r="AW53" s="136">
        <f t="shared" si="22"/>
        <v>0</v>
      </c>
      <c r="AX53" s="136">
        <f t="shared" si="22"/>
        <v>0</v>
      </c>
    </row>
    <row r="54" spans="1:50" ht="15" customHeight="1">
      <c r="A54" s="9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</row>
    <row r="55" spans="1:50" ht="15" customHeight="1">
      <c r="A55" s="92"/>
      <c r="C55" s="180" t="s">
        <v>477</v>
      </c>
      <c r="D55" s="180"/>
      <c r="E55" s="180"/>
      <c r="F55" s="180"/>
      <c r="G55" s="180"/>
      <c r="H55" s="180"/>
      <c r="I55" s="180"/>
      <c r="J55" s="180"/>
      <c r="K55" s="180"/>
      <c r="L55" s="180"/>
      <c r="M55" s="180"/>
      <c r="N55" s="180"/>
      <c r="O55" s="180"/>
      <c r="P55" s="180"/>
      <c r="Q55" s="180"/>
      <c r="R55" s="180"/>
      <c r="S55" s="180"/>
      <c r="T55" s="180"/>
      <c r="U55" s="180"/>
      <c r="V55" s="180"/>
      <c r="W55" s="180"/>
      <c r="X55" s="180"/>
      <c r="Y55" s="180"/>
      <c r="Z55" s="180"/>
      <c r="AA55" s="180"/>
      <c r="AB55" s="180"/>
      <c r="AC55" s="180"/>
      <c r="AD55" s="180"/>
      <c r="AE55" s="180"/>
      <c r="AF55" s="180"/>
      <c r="AG55" s="180"/>
      <c r="AH55" s="180"/>
      <c r="AI55" s="180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0"/>
      <c r="AW55" s="180"/>
      <c r="AX55" s="180"/>
    </row>
    <row r="56" spans="1:50" ht="15" customHeight="1">
      <c r="A56" s="92"/>
      <c r="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</row>
    <row r="57" spans="1:50" ht="15" customHeight="1">
      <c r="A57" s="92"/>
      <c r="E57" s="1" t="s">
        <v>478</v>
      </c>
      <c r="G57" s="11" t="s">
        <v>77</v>
      </c>
      <c r="I57" s="11"/>
      <c r="K57" s="1">
        <f>J60*K50</f>
        <v>0</v>
      </c>
      <c r="L57" s="1">
        <f t="shared" ref="L57:AX57" si="23">K60*L50</f>
        <v>-9.41</v>
      </c>
      <c r="M57" s="1">
        <f t="shared" si="23"/>
        <v>-9.41</v>
      </c>
      <c r="N57" s="1">
        <f t="shared" si="23"/>
        <v>-28.190321153657738</v>
      </c>
      <c r="O57" s="1">
        <f t="shared" si="23"/>
        <v>-43.49867273038862</v>
      </c>
      <c r="P57" s="1">
        <f t="shared" si="23"/>
        <v>-55.405729898654116</v>
      </c>
      <c r="Q57" s="1">
        <f t="shared" si="23"/>
        <v>-63.97671045668492</v>
      </c>
      <c r="R57" s="1">
        <f t="shared" si="23"/>
        <v>-69.271677937492342</v>
      </c>
      <c r="S57" s="1">
        <f t="shared" si="23"/>
        <v>-71.399576266222994</v>
      </c>
      <c r="T57" s="1">
        <f t="shared" si="23"/>
        <v>-70.383408676782494</v>
      </c>
      <c r="U57" s="1">
        <f t="shared" si="23"/>
        <v>-66.253906506442846</v>
      </c>
      <c r="V57" s="1">
        <f t="shared" si="23"/>
        <v>-59.067979781833643</v>
      </c>
      <c r="W57" s="1">
        <f t="shared" si="23"/>
        <v>-48.893882192422602</v>
      </c>
      <c r="X57" s="1">
        <f t="shared" si="23"/>
        <v>-35.817597256099248</v>
      </c>
      <c r="Y57" s="1">
        <f t="shared" si="23"/>
        <v>-19.771476129676984</v>
      </c>
      <c r="Z57" s="1">
        <f t="shared" si="23"/>
        <v>-0.78315709349097062</v>
      </c>
      <c r="AA57" s="1">
        <f t="shared" si="23"/>
        <v>0</v>
      </c>
      <c r="AB57" s="1">
        <f t="shared" si="23"/>
        <v>0</v>
      </c>
      <c r="AC57" s="1">
        <f t="shared" si="23"/>
        <v>0</v>
      </c>
      <c r="AD57" s="1">
        <f t="shared" si="23"/>
        <v>0</v>
      </c>
      <c r="AE57" s="1">
        <f t="shared" si="23"/>
        <v>0</v>
      </c>
      <c r="AF57" s="1">
        <f t="shared" si="23"/>
        <v>0</v>
      </c>
      <c r="AG57" s="1">
        <f t="shared" si="23"/>
        <v>0</v>
      </c>
      <c r="AH57" s="1">
        <f t="shared" si="23"/>
        <v>0</v>
      </c>
      <c r="AI57" s="1">
        <f t="shared" si="23"/>
        <v>0</v>
      </c>
      <c r="AJ57" s="1">
        <f t="shared" si="23"/>
        <v>0</v>
      </c>
      <c r="AK57" s="1">
        <f>AJ60*AK50</f>
        <v>0</v>
      </c>
      <c r="AL57" s="1">
        <f t="shared" si="23"/>
        <v>0</v>
      </c>
      <c r="AM57" s="1">
        <f t="shared" si="23"/>
        <v>0</v>
      </c>
      <c r="AN57" s="1">
        <f t="shared" si="23"/>
        <v>0</v>
      </c>
      <c r="AO57" s="1">
        <f t="shared" si="23"/>
        <v>0</v>
      </c>
      <c r="AP57" s="1">
        <f t="shared" si="23"/>
        <v>0</v>
      </c>
      <c r="AQ57" s="1">
        <f t="shared" si="23"/>
        <v>0</v>
      </c>
      <c r="AR57" s="1">
        <f t="shared" si="23"/>
        <v>0</v>
      </c>
      <c r="AS57" s="1">
        <f t="shared" si="23"/>
        <v>0</v>
      </c>
      <c r="AT57" s="1">
        <f t="shared" si="23"/>
        <v>0</v>
      </c>
      <c r="AU57" s="1">
        <f t="shared" si="23"/>
        <v>0</v>
      </c>
      <c r="AV57" s="1">
        <f t="shared" si="23"/>
        <v>0</v>
      </c>
      <c r="AW57" s="1">
        <f t="shared" si="23"/>
        <v>0</v>
      </c>
      <c r="AX57" s="1">
        <f t="shared" si="23"/>
        <v>0</v>
      </c>
    </row>
    <row r="58" spans="1:50" ht="15" customHeight="1">
      <c r="A58" s="92"/>
      <c r="E58" s="1" t="s">
        <v>479</v>
      </c>
      <c r="G58" s="11" t="s">
        <v>77</v>
      </c>
      <c r="I58" s="11"/>
      <c r="K58" s="1">
        <f t="shared" ref="K58:AI58" si="24">MIN(K53, 0)</f>
        <v>-9.41</v>
      </c>
      <c r="L58" s="1">
        <f t="shared" si="24"/>
        <v>0</v>
      </c>
      <c r="M58" s="1">
        <f t="shared" si="24"/>
        <v>-18.780321153657738</v>
      </c>
      <c r="N58" s="1">
        <f t="shared" si="24"/>
        <v>-15.308351576730878</v>
      </c>
      <c r="O58" s="1">
        <f t="shared" si="24"/>
        <v>-11.907057168265496</v>
      </c>
      <c r="P58" s="1">
        <f t="shared" si="24"/>
        <v>-8.5709805580308043</v>
      </c>
      <c r="Q58" s="1">
        <f t="shared" si="24"/>
        <v>-5.2949674808074292</v>
      </c>
      <c r="R58" s="1">
        <f t="shared" si="24"/>
        <v>-2.1278983287306517</v>
      </c>
      <c r="S58" s="1">
        <f t="shared" si="24"/>
        <v>0</v>
      </c>
      <c r="T58" s="1">
        <f t="shared" si="24"/>
        <v>0</v>
      </c>
      <c r="U58" s="1">
        <f t="shared" si="24"/>
        <v>0</v>
      </c>
      <c r="V58" s="1">
        <f t="shared" si="24"/>
        <v>0</v>
      </c>
      <c r="W58" s="1">
        <f t="shared" si="24"/>
        <v>0</v>
      </c>
      <c r="X58" s="1">
        <f t="shared" si="24"/>
        <v>0</v>
      </c>
      <c r="Y58" s="1">
        <f t="shared" si="24"/>
        <v>0</v>
      </c>
      <c r="Z58" s="1">
        <f t="shared" si="24"/>
        <v>0</v>
      </c>
      <c r="AA58" s="1">
        <f t="shared" si="24"/>
        <v>0</v>
      </c>
      <c r="AB58" s="1">
        <f t="shared" si="24"/>
        <v>0</v>
      </c>
      <c r="AC58" s="1">
        <f t="shared" si="24"/>
        <v>0</v>
      </c>
      <c r="AD58" s="1">
        <f t="shared" si="24"/>
        <v>0</v>
      </c>
      <c r="AE58" s="1">
        <f t="shared" si="24"/>
        <v>0</v>
      </c>
      <c r="AF58" s="1">
        <f t="shared" si="24"/>
        <v>0</v>
      </c>
      <c r="AG58" s="1">
        <f t="shared" si="24"/>
        <v>0</v>
      </c>
      <c r="AH58" s="1">
        <f t="shared" si="24"/>
        <v>0</v>
      </c>
      <c r="AI58" s="1">
        <f t="shared" si="24"/>
        <v>-58.52911575328082</v>
      </c>
      <c r="AJ58" s="1">
        <f t="shared" ref="AJ58:AX58" si="25">MIN(AJ53, 0)</f>
        <v>0</v>
      </c>
      <c r="AK58" s="1">
        <f t="shared" si="25"/>
        <v>0</v>
      </c>
      <c r="AL58" s="1">
        <f t="shared" si="25"/>
        <v>0</v>
      </c>
      <c r="AM58" s="1">
        <f t="shared" si="25"/>
        <v>0</v>
      </c>
      <c r="AN58" s="1">
        <f t="shared" si="25"/>
        <v>0</v>
      </c>
      <c r="AO58" s="1">
        <f t="shared" si="25"/>
        <v>0</v>
      </c>
      <c r="AP58" s="1">
        <f t="shared" si="25"/>
        <v>0</v>
      </c>
      <c r="AQ58" s="1">
        <f t="shared" si="25"/>
        <v>0</v>
      </c>
      <c r="AR58" s="1">
        <f t="shared" si="25"/>
        <v>0</v>
      </c>
      <c r="AS58" s="1">
        <f t="shared" si="25"/>
        <v>0</v>
      </c>
      <c r="AT58" s="1">
        <f t="shared" si="25"/>
        <v>0</v>
      </c>
      <c r="AU58" s="1">
        <f t="shared" si="25"/>
        <v>0</v>
      </c>
      <c r="AV58" s="1">
        <f t="shared" si="25"/>
        <v>0</v>
      </c>
      <c r="AW58" s="1">
        <f t="shared" si="25"/>
        <v>0</v>
      </c>
      <c r="AX58" s="1">
        <f t="shared" si="25"/>
        <v>0</v>
      </c>
    </row>
    <row r="59" spans="1:50" ht="15" customHeight="1">
      <c r="A59" s="92"/>
      <c r="E59" s="11" t="s">
        <v>480</v>
      </c>
      <c r="G59" s="11" t="s">
        <v>77</v>
      </c>
      <c r="I59" s="11"/>
      <c r="K59" s="1">
        <f t="shared" ref="K59:AI59" si="26">IF(K53 &gt;= 0, MIN(K53, -K57), 0)</f>
        <v>0</v>
      </c>
      <c r="L59" s="1">
        <f t="shared" si="26"/>
        <v>0</v>
      </c>
      <c r="M59" s="1">
        <f t="shared" si="26"/>
        <v>0</v>
      </c>
      <c r="N59" s="1">
        <f t="shared" si="26"/>
        <v>0</v>
      </c>
      <c r="O59" s="1">
        <f t="shared" si="26"/>
        <v>0</v>
      </c>
      <c r="P59" s="1">
        <f t="shared" si="26"/>
        <v>0</v>
      </c>
      <c r="Q59" s="1">
        <f t="shared" si="26"/>
        <v>0</v>
      </c>
      <c r="R59" s="1">
        <f t="shared" si="26"/>
        <v>0</v>
      </c>
      <c r="S59" s="1">
        <f t="shared" si="26"/>
        <v>1.0161675894404993</v>
      </c>
      <c r="T59" s="1">
        <f t="shared" si="26"/>
        <v>4.1295021703396486</v>
      </c>
      <c r="U59" s="1">
        <f t="shared" si="26"/>
        <v>7.1859267246092031</v>
      </c>
      <c r="V59" s="1">
        <f t="shared" si="26"/>
        <v>10.174097589411041</v>
      </c>
      <c r="W59" s="1">
        <f t="shared" si="26"/>
        <v>13.076284936323354</v>
      </c>
      <c r="X59" s="1">
        <f t="shared" si="26"/>
        <v>16.046121126422264</v>
      </c>
      <c r="Y59" s="1">
        <f t="shared" si="26"/>
        <v>18.988319036186013</v>
      </c>
      <c r="Z59" s="1">
        <f t="shared" si="26"/>
        <v>0.78315709349097062</v>
      </c>
      <c r="AA59" s="1">
        <f t="shared" si="26"/>
        <v>0</v>
      </c>
      <c r="AB59" s="1">
        <f t="shared" si="26"/>
        <v>0</v>
      </c>
      <c r="AC59" s="1">
        <f t="shared" si="26"/>
        <v>0</v>
      </c>
      <c r="AD59" s="1">
        <f t="shared" si="26"/>
        <v>0</v>
      </c>
      <c r="AE59" s="1">
        <f t="shared" si="26"/>
        <v>0</v>
      </c>
      <c r="AF59" s="1">
        <f t="shared" si="26"/>
        <v>0</v>
      </c>
      <c r="AG59" s="1">
        <f t="shared" si="26"/>
        <v>0</v>
      </c>
      <c r="AH59" s="1">
        <f t="shared" si="26"/>
        <v>0</v>
      </c>
      <c r="AI59" s="1">
        <f t="shared" si="26"/>
        <v>0</v>
      </c>
      <c r="AJ59" s="1">
        <f t="shared" ref="AJ59:AX59" si="27">IF(AJ53 &gt;= 0, MIN(AJ53, -AJ57), 0)</f>
        <v>0</v>
      </c>
      <c r="AK59" s="1">
        <f t="shared" si="27"/>
        <v>0</v>
      </c>
      <c r="AL59" s="1">
        <f t="shared" si="27"/>
        <v>0</v>
      </c>
      <c r="AM59" s="1">
        <f t="shared" si="27"/>
        <v>0</v>
      </c>
      <c r="AN59" s="1">
        <f t="shared" si="27"/>
        <v>0</v>
      </c>
      <c r="AO59" s="1">
        <f t="shared" si="27"/>
        <v>0</v>
      </c>
      <c r="AP59" s="1">
        <f t="shared" si="27"/>
        <v>0</v>
      </c>
      <c r="AQ59" s="1">
        <f t="shared" si="27"/>
        <v>0</v>
      </c>
      <c r="AR59" s="1">
        <f t="shared" si="27"/>
        <v>0</v>
      </c>
      <c r="AS59" s="1">
        <f t="shared" si="27"/>
        <v>0</v>
      </c>
      <c r="AT59" s="1">
        <f t="shared" si="27"/>
        <v>0</v>
      </c>
      <c r="AU59" s="1">
        <f t="shared" si="27"/>
        <v>0</v>
      </c>
      <c r="AV59" s="1">
        <f t="shared" si="27"/>
        <v>0</v>
      </c>
      <c r="AW59" s="1">
        <f t="shared" si="27"/>
        <v>0</v>
      </c>
      <c r="AX59" s="1">
        <f t="shared" si="27"/>
        <v>0</v>
      </c>
    </row>
    <row r="60" spans="1:50" ht="15" customHeight="1">
      <c r="A60" s="92"/>
      <c r="E60" s="1" t="s">
        <v>481</v>
      </c>
      <c r="G60" s="11" t="s">
        <v>77</v>
      </c>
      <c r="I60" s="11"/>
      <c r="K60" s="136">
        <f t="shared" ref="K60:AI60" si="28">SUM(K57:K59)</f>
        <v>-9.41</v>
      </c>
      <c r="L60" s="136">
        <f t="shared" si="28"/>
        <v>-9.41</v>
      </c>
      <c r="M60" s="136">
        <f t="shared" si="28"/>
        <v>-28.190321153657738</v>
      </c>
      <c r="N60" s="136">
        <f t="shared" si="28"/>
        <v>-43.49867273038862</v>
      </c>
      <c r="O60" s="136">
        <f t="shared" si="28"/>
        <v>-55.405729898654116</v>
      </c>
      <c r="P60" s="136">
        <f t="shared" si="28"/>
        <v>-63.97671045668492</v>
      </c>
      <c r="Q60" s="136">
        <f t="shared" si="28"/>
        <v>-69.271677937492342</v>
      </c>
      <c r="R60" s="136">
        <f t="shared" si="28"/>
        <v>-71.399576266222994</v>
      </c>
      <c r="S60" s="136">
        <f t="shared" si="28"/>
        <v>-70.383408676782494</v>
      </c>
      <c r="T60" s="136">
        <f t="shared" si="28"/>
        <v>-66.253906506442846</v>
      </c>
      <c r="U60" s="136">
        <f t="shared" si="28"/>
        <v>-59.067979781833643</v>
      </c>
      <c r="V60" s="136">
        <f t="shared" si="28"/>
        <v>-48.893882192422602</v>
      </c>
      <c r="W60" s="136">
        <f t="shared" si="28"/>
        <v>-35.817597256099248</v>
      </c>
      <c r="X60" s="136">
        <f t="shared" si="28"/>
        <v>-19.771476129676984</v>
      </c>
      <c r="Y60" s="136">
        <f t="shared" si="28"/>
        <v>-0.78315709349097062</v>
      </c>
      <c r="Z60" s="136">
        <f t="shared" si="28"/>
        <v>0</v>
      </c>
      <c r="AA60" s="136">
        <f t="shared" si="28"/>
        <v>0</v>
      </c>
      <c r="AB60" s="136">
        <f t="shared" si="28"/>
        <v>0</v>
      </c>
      <c r="AC60" s="136">
        <f t="shared" si="28"/>
        <v>0</v>
      </c>
      <c r="AD60" s="136">
        <f t="shared" si="28"/>
        <v>0</v>
      </c>
      <c r="AE60" s="136">
        <f t="shared" si="28"/>
        <v>0</v>
      </c>
      <c r="AF60" s="136">
        <f t="shared" si="28"/>
        <v>0</v>
      </c>
      <c r="AG60" s="136">
        <f t="shared" si="28"/>
        <v>0</v>
      </c>
      <c r="AH60" s="136">
        <f t="shared" si="28"/>
        <v>0</v>
      </c>
      <c r="AI60" s="136">
        <f t="shared" si="28"/>
        <v>-58.52911575328082</v>
      </c>
      <c r="AJ60" s="136">
        <f t="shared" ref="AJ60:AX60" si="29">SUM(AJ57:AJ59)</f>
        <v>0</v>
      </c>
      <c r="AK60" s="136">
        <f t="shared" si="29"/>
        <v>0</v>
      </c>
      <c r="AL60" s="136">
        <f t="shared" si="29"/>
        <v>0</v>
      </c>
      <c r="AM60" s="136">
        <f t="shared" si="29"/>
        <v>0</v>
      </c>
      <c r="AN60" s="136">
        <f t="shared" si="29"/>
        <v>0</v>
      </c>
      <c r="AO60" s="136">
        <f t="shared" si="29"/>
        <v>0</v>
      </c>
      <c r="AP60" s="136">
        <f t="shared" si="29"/>
        <v>0</v>
      </c>
      <c r="AQ60" s="136">
        <f t="shared" si="29"/>
        <v>0</v>
      </c>
      <c r="AR60" s="136">
        <f t="shared" si="29"/>
        <v>0</v>
      </c>
      <c r="AS60" s="136">
        <f t="shared" si="29"/>
        <v>0</v>
      </c>
      <c r="AT60" s="136">
        <f t="shared" si="29"/>
        <v>0</v>
      </c>
      <c r="AU60" s="136">
        <f t="shared" si="29"/>
        <v>0</v>
      </c>
      <c r="AV60" s="136">
        <f t="shared" si="29"/>
        <v>0</v>
      </c>
      <c r="AW60" s="136">
        <f t="shared" si="29"/>
        <v>0</v>
      </c>
      <c r="AX60" s="136">
        <f t="shared" si="29"/>
        <v>0</v>
      </c>
    </row>
    <row r="61" spans="1:50" ht="15" customHeight="1">
      <c r="A61" s="92"/>
      <c r="I61" s="1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</row>
    <row r="62" spans="1:50" ht="15" customHeight="1">
      <c r="A62" s="92"/>
      <c r="C62" s="180" t="s">
        <v>482</v>
      </c>
      <c r="D62" s="180"/>
      <c r="E62" s="180"/>
      <c r="F62" s="180"/>
      <c r="G62" s="180"/>
      <c r="H62" s="180"/>
      <c r="I62" s="180"/>
      <c r="J62" s="180"/>
      <c r="K62" s="180"/>
      <c r="L62" s="180"/>
      <c r="M62" s="180"/>
      <c r="N62" s="180"/>
      <c r="O62" s="180"/>
      <c r="P62" s="180"/>
      <c r="Q62" s="180"/>
      <c r="R62" s="180"/>
      <c r="S62" s="180"/>
      <c r="T62" s="180"/>
      <c r="U62" s="180"/>
      <c r="V62" s="180"/>
      <c r="W62" s="180"/>
      <c r="X62" s="180"/>
      <c r="Y62" s="180"/>
      <c r="Z62" s="180"/>
      <c r="AA62" s="180"/>
      <c r="AB62" s="180"/>
      <c r="AC62" s="180"/>
      <c r="AD62" s="180"/>
      <c r="AE62" s="180"/>
      <c r="AF62" s="180"/>
      <c r="AG62" s="180"/>
      <c r="AH62" s="180"/>
      <c r="AI62" s="180"/>
      <c r="AJ62" s="180"/>
      <c r="AK62" s="180"/>
      <c r="AL62" s="180"/>
      <c r="AM62" s="180"/>
      <c r="AN62" s="180"/>
      <c r="AO62" s="180"/>
      <c r="AP62" s="180"/>
      <c r="AQ62" s="180"/>
      <c r="AR62" s="180"/>
      <c r="AS62" s="180"/>
      <c r="AT62" s="180"/>
      <c r="AU62" s="180"/>
      <c r="AV62" s="180"/>
      <c r="AW62" s="180"/>
      <c r="AX62" s="180"/>
    </row>
    <row r="63" spans="1:50" ht="15" customHeight="1">
      <c r="A63" s="92"/>
      <c r="B63" s="1"/>
      <c r="C63" s="1"/>
      <c r="D63" s="1"/>
      <c r="E63" s="1"/>
      <c r="F63" s="1"/>
      <c r="G63" s="1"/>
      <c r="H63" s="1"/>
      <c r="I63" s="1"/>
      <c r="J63" s="8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</row>
    <row r="64" spans="1:50" ht="15" customHeight="1">
      <c r="A64" s="92"/>
      <c r="B64" s="1"/>
      <c r="C64" s="1"/>
      <c r="D64" s="1"/>
      <c r="E64" s="11" t="s">
        <v>483</v>
      </c>
      <c r="G64" s="11" t="s">
        <v>77</v>
      </c>
      <c r="H64" s="1"/>
      <c r="I64" s="1"/>
      <c r="J64" s="81"/>
      <c r="K64" s="1">
        <f t="shared" ref="K64:AI64" si="30">MAX(K53 - K59,0)</f>
        <v>0</v>
      </c>
      <c r="L64" s="1">
        <f t="shared" si="30"/>
        <v>0</v>
      </c>
      <c r="M64" s="1">
        <f t="shared" si="30"/>
        <v>0</v>
      </c>
      <c r="N64" s="1">
        <f t="shared" si="30"/>
        <v>0</v>
      </c>
      <c r="O64" s="1">
        <f t="shared" si="30"/>
        <v>0</v>
      </c>
      <c r="P64" s="1">
        <f t="shared" si="30"/>
        <v>0</v>
      </c>
      <c r="Q64" s="1">
        <f t="shared" si="30"/>
        <v>0</v>
      </c>
      <c r="R64" s="1">
        <f t="shared" si="30"/>
        <v>0</v>
      </c>
      <c r="S64" s="1">
        <f t="shared" si="30"/>
        <v>0</v>
      </c>
      <c r="T64" s="1">
        <f t="shared" si="30"/>
        <v>0</v>
      </c>
      <c r="U64" s="1">
        <f t="shared" si="30"/>
        <v>0</v>
      </c>
      <c r="V64" s="1">
        <f t="shared" si="30"/>
        <v>0</v>
      </c>
      <c r="W64" s="1">
        <f t="shared" si="30"/>
        <v>0</v>
      </c>
      <c r="X64" s="1">
        <f t="shared" si="30"/>
        <v>0</v>
      </c>
      <c r="Y64" s="1">
        <f t="shared" si="30"/>
        <v>0</v>
      </c>
      <c r="Z64" s="1">
        <f t="shared" si="30"/>
        <v>21.004468760314289</v>
      </c>
      <c r="AA64" s="1">
        <f t="shared" si="30"/>
        <v>24.690722953090933</v>
      </c>
      <c r="AB64" s="1">
        <f t="shared" si="30"/>
        <v>27.574524575544416</v>
      </c>
      <c r="AC64" s="1">
        <f t="shared" si="30"/>
        <v>30.441929519406507</v>
      </c>
      <c r="AD64" s="1">
        <f t="shared" si="30"/>
        <v>33.290903567228511</v>
      </c>
      <c r="AE64" s="1">
        <f t="shared" si="30"/>
        <v>36.077569727748312</v>
      </c>
      <c r="AF64" s="1">
        <f t="shared" si="30"/>
        <v>38.838798382852765</v>
      </c>
      <c r="AG64" s="1">
        <f t="shared" si="30"/>
        <v>41.672788305897697</v>
      </c>
      <c r="AH64" s="1">
        <f t="shared" si="30"/>
        <v>44.497983349050969</v>
      </c>
      <c r="AI64" s="1">
        <f t="shared" si="30"/>
        <v>0</v>
      </c>
      <c r="AJ64" s="1">
        <f t="shared" ref="AJ64:AX64" si="31">MAX(AJ53 - AJ59,0)</f>
        <v>0</v>
      </c>
      <c r="AK64" s="1">
        <f t="shared" si="31"/>
        <v>0</v>
      </c>
      <c r="AL64" s="1">
        <f t="shared" si="31"/>
        <v>0</v>
      </c>
      <c r="AM64" s="1">
        <f t="shared" si="31"/>
        <v>0</v>
      </c>
      <c r="AN64" s="1">
        <f t="shared" si="31"/>
        <v>0</v>
      </c>
      <c r="AO64" s="1">
        <f t="shared" si="31"/>
        <v>0</v>
      </c>
      <c r="AP64" s="1">
        <f t="shared" si="31"/>
        <v>0</v>
      </c>
      <c r="AQ64" s="1">
        <f t="shared" si="31"/>
        <v>0</v>
      </c>
      <c r="AR64" s="1">
        <f t="shared" si="31"/>
        <v>0</v>
      </c>
      <c r="AS64" s="1">
        <f t="shared" si="31"/>
        <v>0</v>
      </c>
      <c r="AT64" s="1">
        <f t="shared" si="31"/>
        <v>0</v>
      </c>
      <c r="AU64" s="1">
        <f t="shared" si="31"/>
        <v>0</v>
      </c>
      <c r="AV64" s="1">
        <f t="shared" si="31"/>
        <v>0</v>
      </c>
      <c r="AW64" s="1">
        <f t="shared" si="31"/>
        <v>0</v>
      </c>
      <c r="AX64" s="1">
        <f t="shared" si="31"/>
        <v>0</v>
      </c>
    </row>
    <row r="65" spans="1:50" ht="15" customHeight="1">
      <c r="A65" s="92"/>
      <c r="B65" s="1"/>
      <c r="C65" s="1"/>
      <c r="D65" s="1"/>
      <c r="E65" s="174" t="s">
        <v>241</v>
      </c>
      <c r="G65" s="174" t="str">
        <f>Inputs!G173</f>
        <v>%</v>
      </c>
      <c r="H65" s="1"/>
      <c r="I65" s="1"/>
      <c r="J65" s="81"/>
      <c r="K65" s="186">
        <f>Inputs!K165</f>
        <v>0.25</v>
      </c>
      <c r="L65" s="186">
        <f>Inputs!L165</f>
        <v>0.25</v>
      </c>
      <c r="M65" s="186">
        <f>Inputs!M165</f>
        <v>0.25</v>
      </c>
      <c r="N65" s="186">
        <f>Inputs!N165</f>
        <v>0.25</v>
      </c>
      <c r="O65" s="186">
        <f>Inputs!O165</f>
        <v>0.25</v>
      </c>
      <c r="P65" s="186">
        <f>Inputs!P165</f>
        <v>0.25</v>
      </c>
      <c r="Q65" s="186">
        <f>Inputs!Q165</f>
        <v>0.25</v>
      </c>
      <c r="R65" s="186">
        <f>Inputs!R165</f>
        <v>0.25</v>
      </c>
      <c r="S65" s="186">
        <f>Inputs!S165</f>
        <v>0.25</v>
      </c>
      <c r="T65" s="186">
        <f>Inputs!T165</f>
        <v>0.25</v>
      </c>
      <c r="U65" s="186">
        <f>Inputs!U165</f>
        <v>0.25</v>
      </c>
      <c r="V65" s="186">
        <f>Inputs!V165</f>
        <v>0.25</v>
      </c>
      <c r="W65" s="186">
        <f>Inputs!W165</f>
        <v>0.25</v>
      </c>
      <c r="X65" s="186">
        <f>Inputs!X165</f>
        <v>0.25</v>
      </c>
      <c r="Y65" s="186">
        <f>Inputs!Y165</f>
        <v>0.25</v>
      </c>
      <c r="Z65" s="186">
        <f>Inputs!Z165</f>
        <v>0.25</v>
      </c>
      <c r="AA65" s="186">
        <f>Inputs!AA165</f>
        <v>0.25</v>
      </c>
      <c r="AB65" s="186">
        <f>Inputs!AB165</f>
        <v>0.25</v>
      </c>
      <c r="AC65" s="186">
        <f>Inputs!AC165</f>
        <v>0.25</v>
      </c>
      <c r="AD65" s="186">
        <f>Inputs!AD165</f>
        <v>0.25</v>
      </c>
      <c r="AE65" s="186">
        <f>Inputs!AE165</f>
        <v>0.25</v>
      </c>
      <c r="AF65" s="186">
        <f>Inputs!AF165</f>
        <v>0.25</v>
      </c>
      <c r="AG65" s="186">
        <f>Inputs!AG165</f>
        <v>0.25</v>
      </c>
      <c r="AH65" s="186">
        <f>Inputs!AH165</f>
        <v>0.25</v>
      </c>
      <c r="AI65" s="186">
        <f>Inputs!AI165</f>
        <v>0.25</v>
      </c>
      <c r="AJ65" s="186">
        <f>Inputs!AJ165</f>
        <v>0.25</v>
      </c>
      <c r="AK65" s="186">
        <f>Inputs!AK165</f>
        <v>0.25</v>
      </c>
      <c r="AL65" s="186">
        <f>Inputs!AL165</f>
        <v>0.25</v>
      </c>
      <c r="AM65" s="186">
        <f>Inputs!AM165</f>
        <v>0.25</v>
      </c>
      <c r="AN65" s="186">
        <f>Inputs!AN165</f>
        <v>0.25</v>
      </c>
      <c r="AO65" s="186">
        <f>Inputs!AO165</f>
        <v>0.25</v>
      </c>
      <c r="AP65" s="186">
        <f>Inputs!AP165</f>
        <v>0.25</v>
      </c>
      <c r="AQ65" s="186">
        <f>Inputs!AQ165</f>
        <v>0.25</v>
      </c>
      <c r="AR65" s="186">
        <f>Inputs!AR165</f>
        <v>0.25</v>
      </c>
      <c r="AS65" s="186">
        <f>Inputs!AS165</f>
        <v>0.25</v>
      </c>
      <c r="AT65" s="186">
        <f>Inputs!AT165</f>
        <v>0.25</v>
      </c>
      <c r="AU65" s="186">
        <f>Inputs!AU165</f>
        <v>0.25</v>
      </c>
      <c r="AV65" s="186">
        <f>Inputs!AV165</f>
        <v>0.25</v>
      </c>
      <c r="AW65" s="186">
        <f>Inputs!AW165</f>
        <v>0.25</v>
      </c>
      <c r="AX65" s="186">
        <f>Inputs!AX165</f>
        <v>0.25</v>
      </c>
    </row>
    <row r="66" spans="1:50" ht="15" customHeight="1">
      <c r="A66" s="92"/>
      <c r="E66" s="11" t="s">
        <v>484</v>
      </c>
      <c r="G66" s="11" t="s">
        <v>77</v>
      </c>
      <c r="I66" s="11"/>
      <c r="K66" s="1">
        <f t="shared" ref="K66:AI66" si="32">K64 * K65</f>
        <v>0</v>
      </c>
      <c r="L66" s="1">
        <f t="shared" si="32"/>
        <v>0</v>
      </c>
      <c r="M66" s="1">
        <f t="shared" si="32"/>
        <v>0</v>
      </c>
      <c r="N66" s="1">
        <f t="shared" si="32"/>
        <v>0</v>
      </c>
      <c r="O66" s="1">
        <f t="shared" si="32"/>
        <v>0</v>
      </c>
      <c r="P66" s="1">
        <f t="shared" si="32"/>
        <v>0</v>
      </c>
      <c r="Q66" s="1">
        <f t="shared" si="32"/>
        <v>0</v>
      </c>
      <c r="R66" s="1">
        <f t="shared" si="32"/>
        <v>0</v>
      </c>
      <c r="S66" s="1">
        <f t="shared" si="32"/>
        <v>0</v>
      </c>
      <c r="T66" s="1">
        <f t="shared" si="32"/>
        <v>0</v>
      </c>
      <c r="U66" s="1">
        <f t="shared" si="32"/>
        <v>0</v>
      </c>
      <c r="V66" s="1">
        <f t="shared" si="32"/>
        <v>0</v>
      </c>
      <c r="W66" s="1">
        <f t="shared" si="32"/>
        <v>0</v>
      </c>
      <c r="X66" s="1">
        <f t="shared" si="32"/>
        <v>0</v>
      </c>
      <c r="Y66" s="1">
        <f t="shared" si="32"/>
        <v>0</v>
      </c>
      <c r="Z66" s="1">
        <f t="shared" si="32"/>
        <v>5.2511171900785722</v>
      </c>
      <c r="AA66" s="1">
        <f t="shared" si="32"/>
        <v>6.1726807382727333</v>
      </c>
      <c r="AB66" s="1">
        <f t="shared" si="32"/>
        <v>6.893631143886104</v>
      </c>
      <c r="AC66" s="1">
        <f t="shared" si="32"/>
        <v>7.6104823798516268</v>
      </c>
      <c r="AD66" s="1">
        <f t="shared" si="32"/>
        <v>8.3227258918071279</v>
      </c>
      <c r="AE66" s="1">
        <f t="shared" si="32"/>
        <v>9.019392431937078</v>
      </c>
      <c r="AF66" s="1">
        <f t="shared" si="32"/>
        <v>9.7096995957131913</v>
      </c>
      <c r="AG66" s="1">
        <f t="shared" si="32"/>
        <v>10.418197076474424</v>
      </c>
      <c r="AH66" s="1">
        <f t="shared" si="32"/>
        <v>11.124495837262742</v>
      </c>
      <c r="AI66" s="1">
        <f t="shared" si="32"/>
        <v>0</v>
      </c>
      <c r="AJ66" s="1">
        <f t="shared" ref="AJ66:AX66" si="33">AJ64 * AJ65</f>
        <v>0</v>
      </c>
      <c r="AK66" s="1">
        <f t="shared" si="33"/>
        <v>0</v>
      </c>
      <c r="AL66" s="1">
        <f t="shared" si="33"/>
        <v>0</v>
      </c>
      <c r="AM66" s="1">
        <f t="shared" si="33"/>
        <v>0</v>
      </c>
      <c r="AN66" s="1">
        <f t="shared" si="33"/>
        <v>0</v>
      </c>
      <c r="AO66" s="1">
        <f t="shared" si="33"/>
        <v>0</v>
      </c>
      <c r="AP66" s="1">
        <f t="shared" si="33"/>
        <v>0</v>
      </c>
      <c r="AQ66" s="1">
        <f t="shared" si="33"/>
        <v>0</v>
      </c>
      <c r="AR66" s="1">
        <f t="shared" si="33"/>
        <v>0</v>
      </c>
      <c r="AS66" s="1">
        <f t="shared" si="33"/>
        <v>0</v>
      </c>
      <c r="AT66" s="1">
        <f t="shared" si="33"/>
        <v>0</v>
      </c>
      <c r="AU66" s="1">
        <f t="shared" si="33"/>
        <v>0</v>
      </c>
      <c r="AV66" s="1">
        <f t="shared" si="33"/>
        <v>0</v>
      </c>
      <c r="AW66" s="1">
        <f t="shared" si="33"/>
        <v>0</v>
      </c>
      <c r="AX66" s="1">
        <f t="shared" si="33"/>
        <v>0</v>
      </c>
    </row>
    <row r="67" spans="1:50" ht="15" customHeight="1">
      <c r="A67" s="92"/>
      <c r="I67" s="1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</row>
    <row r="68" spans="1:50" ht="15" customHeight="1">
      <c r="A68" s="92"/>
      <c r="E68" s="1" t="s">
        <v>485</v>
      </c>
      <c r="G68" s="1" t="s">
        <v>249</v>
      </c>
      <c r="I68" s="11"/>
      <c r="K68" s="182">
        <f t="shared" ref="K68:AI68" si="34">1 / (1 - K65)</f>
        <v>1.3333333333333333</v>
      </c>
      <c r="L68" s="182">
        <f t="shared" si="34"/>
        <v>1.3333333333333333</v>
      </c>
      <c r="M68" s="182">
        <f t="shared" si="34"/>
        <v>1.3333333333333333</v>
      </c>
      <c r="N68" s="182">
        <f t="shared" si="34"/>
        <v>1.3333333333333333</v>
      </c>
      <c r="O68" s="182">
        <f t="shared" si="34"/>
        <v>1.3333333333333333</v>
      </c>
      <c r="P68" s="182">
        <f t="shared" si="34"/>
        <v>1.3333333333333333</v>
      </c>
      <c r="Q68" s="182">
        <f t="shared" si="34"/>
        <v>1.3333333333333333</v>
      </c>
      <c r="R68" s="182">
        <f t="shared" si="34"/>
        <v>1.3333333333333333</v>
      </c>
      <c r="S68" s="182">
        <f t="shared" si="34"/>
        <v>1.3333333333333333</v>
      </c>
      <c r="T68" s="182">
        <f t="shared" si="34"/>
        <v>1.3333333333333333</v>
      </c>
      <c r="U68" s="182">
        <f t="shared" si="34"/>
        <v>1.3333333333333333</v>
      </c>
      <c r="V68" s="182">
        <f t="shared" si="34"/>
        <v>1.3333333333333333</v>
      </c>
      <c r="W68" s="182">
        <f t="shared" si="34"/>
        <v>1.3333333333333333</v>
      </c>
      <c r="X68" s="182">
        <f t="shared" si="34"/>
        <v>1.3333333333333333</v>
      </c>
      <c r="Y68" s="182">
        <f t="shared" si="34"/>
        <v>1.3333333333333333</v>
      </c>
      <c r="Z68" s="182">
        <f t="shared" si="34"/>
        <v>1.3333333333333333</v>
      </c>
      <c r="AA68" s="182">
        <f t="shared" si="34"/>
        <v>1.3333333333333333</v>
      </c>
      <c r="AB68" s="182">
        <f t="shared" si="34"/>
        <v>1.3333333333333333</v>
      </c>
      <c r="AC68" s="182">
        <f t="shared" si="34"/>
        <v>1.3333333333333333</v>
      </c>
      <c r="AD68" s="182">
        <f t="shared" si="34"/>
        <v>1.3333333333333333</v>
      </c>
      <c r="AE68" s="182">
        <f t="shared" si="34"/>
        <v>1.3333333333333333</v>
      </c>
      <c r="AF68" s="182">
        <f t="shared" si="34"/>
        <v>1.3333333333333333</v>
      </c>
      <c r="AG68" s="182">
        <f t="shared" si="34"/>
        <v>1.3333333333333333</v>
      </c>
      <c r="AH68" s="182">
        <f t="shared" si="34"/>
        <v>1.3333333333333333</v>
      </c>
      <c r="AI68" s="182">
        <f t="shared" si="34"/>
        <v>1.3333333333333333</v>
      </c>
      <c r="AJ68" s="182">
        <f t="shared" ref="AJ68:AX68" si="35">1 / (1 - AJ65)</f>
        <v>1.3333333333333333</v>
      </c>
      <c r="AK68" s="182">
        <f t="shared" si="35"/>
        <v>1.3333333333333333</v>
      </c>
      <c r="AL68" s="182">
        <f t="shared" si="35"/>
        <v>1.3333333333333333</v>
      </c>
      <c r="AM68" s="182">
        <f t="shared" si="35"/>
        <v>1.3333333333333333</v>
      </c>
      <c r="AN68" s="182">
        <f t="shared" si="35"/>
        <v>1.3333333333333333</v>
      </c>
      <c r="AO68" s="182">
        <f t="shared" si="35"/>
        <v>1.3333333333333333</v>
      </c>
      <c r="AP68" s="182">
        <f t="shared" si="35"/>
        <v>1.3333333333333333</v>
      </c>
      <c r="AQ68" s="182">
        <f t="shared" si="35"/>
        <v>1.3333333333333333</v>
      </c>
      <c r="AR68" s="182">
        <f t="shared" si="35"/>
        <v>1.3333333333333333</v>
      </c>
      <c r="AS68" s="182">
        <f t="shared" si="35"/>
        <v>1.3333333333333333</v>
      </c>
      <c r="AT68" s="182">
        <f t="shared" si="35"/>
        <v>1.3333333333333333</v>
      </c>
      <c r="AU68" s="182">
        <f t="shared" si="35"/>
        <v>1.3333333333333333</v>
      </c>
      <c r="AV68" s="182">
        <f t="shared" si="35"/>
        <v>1.3333333333333333</v>
      </c>
      <c r="AW68" s="182">
        <f t="shared" si="35"/>
        <v>1.3333333333333333</v>
      </c>
      <c r="AX68" s="182">
        <f t="shared" si="35"/>
        <v>1.3333333333333333</v>
      </c>
    </row>
    <row r="69" spans="1:50" ht="15" customHeight="1">
      <c r="A69" s="92"/>
      <c r="I69" s="1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</row>
    <row r="70" spans="1:50" ht="15" customHeight="1">
      <c r="A70" s="92"/>
      <c r="E70" s="1" t="s">
        <v>492</v>
      </c>
      <c r="G70" s="11" t="s">
        <v>77</v>
      </c>
      <c r="I70" s="11"/>
      <c r="K70" s="143">
        <f t="shared" ref="K70:AI70" si="36">K66 * K68</f>
        <v>0</v>
      </c>
      <c r="L70" s="143">
        <f t="shared" si="36"/>
        <v>0</v>
      </c>
      <c r="M70" s="143">
        <f t="shared" si="36"/>
        <v>0</v>
      </c>
      <c r="N70" s="143">
        <f t="shared" si="36"/>
        <v>0</v>
      </c>
      <c r="O70" s="143">
        <f t="shared" si="36"/>
        <v>0</v>
      </c>
      <c r="P70" s="143">
        <f t="shared" si="36"/>
        <v>0</v>
      </c>
      <c r="Q70" s="143">
        <f t="shared" si="36"/>
        <v>0</v>
      </c>
      <c r="R70" s="143">
        <f t="shared" si="36"/>
        <v>0</v>
      </c>
      <c r="S70" s="143">
        <f t="shared" si="36"/>
        <v>0</v>
      </c>
      <c r="T70" s="143">
        <f t="shared" si="36"/>
        <v>0</v>
      </c>
      <c r="U70" s="143">
        <f t="shared" si="36"/>
        <v>0</v>
      </c>
      <c r="V70" s="143">
        <f t="shared" si="36"/>
        <v>0</v>
      </c>
      <c r="W70" s="143">
        <f t="shared" si="36"/>
        <v>0</v>
      </c>
      <c r="X70" s="143">
        <f t="shared" si="36"/>
        <v>0</v>
      </c>
      <c r="Y70" s="143">
        <f t="shared" si="36"/>
        <v>0</v>
      </c>
      <c r="Z70" s="143">
        <f t="shared" si="36"/>
        <v>7.0014895867714291</v>
      </c>
      <c r="AA70" s="143">
        <f t="shared" si="36"/>
        <v>8.2302409843636433</v>
      </c>
      <c r="AB70" s="143">
        <f t="shared" si="36"/>
        <v>9.1915081918481381</v>
      </c>
      <c r="AC70" s="143">
        <f t="shared" si="36"/>
        <v>10.147309839802169</v>
      </c>
      <c r="AD70" s="143">
        <f t="shared" si="36"/>
        <v>11.096967855742836</v>
      </c>
      <c r="AE70" s="143">
        <f t="shared" si="36"/>
        <v>12.025856575916103</v>
      </c>
      <c r="AF70" s="143">
        <f t="shared" si="36"/>
        <v>12.946266127617587</v>
      </c>
      <c r="AG70" s="143">
        <f t="shared" si="36"/>
        <v>13.890929435299231</v>
      </c>
      <c r="AH70" s="143">
        <f t="shared" si="36"/>
        <v>14.832661116350323</v>
      </c>
      <c r="AI70" s="143">
        <f t="shared" si="36"/>
        <v>0</v>
      </c>
      <c r="AJ70" s="143">
        <f t="shared" ref="AJ70:AX70" si="37">AJ66 * AJ68</f>
        <v>0</v>
      </c>
      <c r="AK70" s="143">
        <f t="shared" si="37"/>
        <v>0</v>
      </c>
      <c r="AL70" s="143">
        <f t="shared" si="37"/>
        <v>0</v>
      </c>
      <c r="AM70" s="143">
        <f t="shared" si="37"/>
        <v>0</v>
      </c>
      <c r="AN70" s="143">
        <f t="shared" si="37"/>
        <v>0</v>
      </c>
      <c r="AO70" s="143">
        <f t="shared" si="37"/>
        <v>0</v>
      </c>
      <c r="AP70" s="143">
        <f t="shared" si="37"/>
        <v>0</v>
      </c>
      <c r="AQ70" s="143">
        <f t="shared" si="37"/>
        <v>0</v>
      </c>
      <c r="AR70" s="143">
        <f t="shared" si="37"/>
        <v>0</v>
      </c>
      <c r="AS70" s="143">
        <f t="shared" si="37"/>
        <v>0</v>
      </c>
      <c r="AT70" s="143">
        <f t="shared" si="37"/>
        <v>0</v>
      </c>
      <c r="AU70" s="143">
        <f t="shared" si="37"/>
        <v>0</v>
      </c>
      <c r="AV70" s="143">
        <f t="shared" si="37"/>
        <v>0</v>
      </c>
      <c r="AW70" s="143">
        <f t="shared" si="37"/>
        <v>0</v>
      </c>
      <c r="AX70" s="143">
        <f t="shared" si="37"/>
        <v>0</v>
      </c>
    </row>
    <row r="71" spans="1:50" ht="15" customHeight="1">
      <c r="A71" s="92"/>
      <c r="I71" s="1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</row>
    <row r="72" spans="1:50" ht="15" customHeight="1">
      <c r="A72" s="92"/>
      <c r="B72" s="13" t="s">
        <v>498</v>
      </c>
      <c r="C72" s="13"/>
      <c r="D72" s="13"/>
      <c r="E72" s="13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</row>
    <row r="73" spans="1:50" ht="15" customHeight="1">
      <c r="A73" s="92"/>
      <c r="B73" s="1"/>
      <c r="C73" s="1"/>
      <c r="D73" s="1"/>
      <c r="I73" s="140"/>
      <c r="J73" s="140"/>
      <c r="K73" s="140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0"/>
      <c r="AA73" s="140"/>
      <c r="AB73" s="140"/>
      <c r="AC73" s="140"/>
      <c r="AD73" s="140"/>
      <c r="AE73" s="140"/>
      <c r="AF73" s="140"/>
      <c r="AG73" s="140"/>
      <c r="AH73" s="140"/>
      <c r="AI73" s="140"/>
      <c r="AJ73" s="140"/>
      <c r="AK73" s="140"/>
      <c r="AL73" s="140"/>
      <c r="AM73" s="140"/>
      <c r="AN73" s="140"/>
      <c r="AO73" s="140"/>
      <c r="AP73" s="140"/>
      <c r="AQ73" s="140"/>
      <c r="AR73" s="140"/>
      <c r="AS73" s="140"/>
      <c r="AT73" s="140"/>
      <c r="AU73" s="140"/>
      <c r="AV73" s="140"/>
      <c r="AW73" s="140"/>
      <c r="AX73" s="140"/>
    </row>
    <row r="74" spans="1:50" ht="15" customHeight="1">
      <c r="A74" s="92"/>
      <c r="B74" s="1"/>
      <c r="C74" s="1"/>
      <c r="D74" s="1"/>
      <c r="E74" s="1" t="s">
        <v>492</v>
      </c>
      <c r="G74" s="1" t="str">
        <f>Inputs!$I$6</f>
        <v>£m 2024 prices</v>
      </c>
      <c r="I74" s="11"/>
      <c r="J74" s="140"/>
      <c r="K74" s="1">
        <f>IFERROR(Tax_Floor!K70 / Tax_Deductions!K$13,0)</f>
        <v>0</v>
      </c>
      <c r="L74" s="1">
        <f>IFERROR(Tax_Floor!L70 / Tax_Deductions!L$13,0)</f>
        <v>0</v>
      </c>
      <c r="M74" s="1">
        <f>IFERROR(Tax_Floor!M70 / Tax_Deductions!M$13,0)</f>
        <v>0</v>
      </c>
      <c r="N74" s="1">
        <f>IFERROR(Tax_Floor!N70 / Tax_Deductions!N$13,0)</f>
        <v>0</v>
      </c>
      <c r="O74" s="1">
        <f>IFERROR(Tax_Floor!O70 / Tax_Deductions!O$13,0)</f>
        <v>0</v>
      </c>
      <c r="P74" s="1">
        <f>IFERROR(Tax_Floor!P70 / Tax_Deductions!P$13,0)</f>
        <v>0</v>
      </c>
      <c r="Q74" s="1">
        <f>IFERROR(Tax_Floor!Q70 / Tax_Deductions!Q$13,0)</f>
        <v>0</v>
      </c>
      <c r="R74" s="1">
        <f>IFERROR(Tax_Floor!R70 / Tax_Deductions!R$13,0)</f>
        <v>0</v>
      </c>
      <c r="S74" s="1">
        <f>IFERROR(Tax_Floor!S70 / Tax_Deductions!S$13,0)</f>
        <v>0</v>
      </c>
      <c r="T74" s="1">
        <f>IFERROR(Tax_Floor!T70 / Tax_Deductions!T$13,0)</f>
        <v>0</v>
      </c>
      <c r="U74" s="1">
        <f>IFERROR(Tax_Floor!U70 / Tax_Deductions!U$13,0)</f>
        <v>0</v>
      </c>
      <c r="V74" s="1">
        <f>IFERROR(Tax_Floor!V70 / Tax_Deductions!V$13,0)</f>
        <v>0</v>
      </c>
      <c r="W74" s="1">
        <f>IFERROR(Tax_Floor!W70 / Tax_Deductions!W$13,0)</f>
        <v>0</v>
      </c>
      <c r="X74" s="1">
        <f>IFERROR(Tax_Floor!X70 / Tax_Deductions!X$13,0)</f>
        <v>0</v>
      </c>
      <c r="Y74" s="1">
        <f>IFERROR(Tax_Floor!Y70 / Tax_Deductions!Y$13,0)</f>
        <v>0</v>
      </c>
      <c r="Z74" s="1">
        <f>IFERROR(Tax_Floor!Z70 / Tax_Deductions!Z$13,0)</f>
        <v>4.711801780951749</v>
      </c>
      <c r="AA74" s="1">
        <f>IFERROR(Tax_Floor!AA70 / Tax_Deductions!AA$13,0)</f>
        <v>5.4301139676938917</v>
      </c>
      <c r="AB74" s="1">
        <f>IFERROR(Tax_Floor!AB70 / Tax_Deductions!AB$13,0)</f>
        <v>5.9454262986751916</v>
      </c>
      <c r="AC74" s="1">
        <f>IFERROR(Tax_Floor!AC70 / Tax_Deductions!AC$13,0)</f>
        <v>6.4349765836218449</v>
      </c>
      <c r="AD74" s="1">
        <f>IFERROR(Tax_Floor!AD70 / Tax_Deductions!AD$13,0)</f>
        <v>6.8992233668819614</v>
      </c>
      <c r="AE74" s="1">
        <f>IFERROR(Tax_Floor!AE70 / Tax_Deductions!AE$13,0)</f>
        <v>7.330130827566367</v>
      </c>
      <c r="AF74" s="1">
        <f>IFERROR(Tax_Floor!AF70 / Tax_Deductions!AF$13,0)</f>
        <v>7.7364204537818777</v>
      </c>
      <c r="AG74" s="1">
        <f>IFERROR(Tax_Floor!AG70 / Tax_Deductions!AG$13,0)</f>
        <v>8.1381683113656571</v>
      </c>
      <c r="AH74" s="1">
        <f>IFERROR(Tax_Floor!AH70 / Tax_Deductions!AH$13,0)</f>
        <v>8.5195030969423158</v>
      </c>
      <c r="AI74" s="1">
        <f>IFERROR(Tax_Floor!AI70 / Tax_Deductions!AI$13,0)</f>
        <v>0</v>
      </c>
      <c r="AJ74" s="1">
        <f>IFERROR(Tax_Floor!AJ70 / Tax_Deductions!AJ$13,0)</f>
        <v>0</v>
      </c>
      <c r="AK74" s="1">
        <f>IFERROR(Tax_Floor!AK70 / Tax_Deductions!AK$13,0)</f>
        <v>0</v>
      </c>
      <c r="AL74" s="1">
        <f>IFERROR(Tax_Floor!AL70 / Tax_Deductions!AL$13,0)</f>
        <v>0</v>
      </c>
      <c r="AM74" s="1">
        <f>IFERROR(Tax_Floor!AM70 / Tax_Deductions!AM$13,0)</f>
        <v>0</v>
      </c>
      <c r="AN74" s="1">
        <f>IFERROR(Tax_Floor!AN70 / Tax_Deductions!AN$13,0)</f>
        <v>0</v>
      </c>
      <c r="AO74" s="1">
        <f>IFERROR(Tax_Floor!AO70 / Tax_Deductions!AO$13,0)</f>
        <v>0</v>
      </c>
      <c r="AP74" s="1">
        <f>IFERROR(Tax_Floor!AP70 / Tax_Deductions!AP$13,0)</f>
        <v>0</v>
      </c>
      <c r="AQ74" s="1">
        <f>IFERROR(Tax_Floor!AQ70 / Tax_Deductions!AQ$13,0)</f>
        <v>0</v>
      </c>
      <c r="AR74" s="1">
        <f>IFERROR(Tax_Floor!AR70 / Tax_Deductions!AR$13,0)</f>
        <v>0</v>
      </c>
      <c r="AS74" s="1">
        <f>IFERROR(Tax_Floor!AS70 / Tax_Deductions!AS$13,0)</f>
        <v>0</v>
      </c>
      <c r="AT74" s="1">
        <f>IFERROR(Tax_Floor!AT70 / Tax_Deductions!AT$13,0)</f>
        <v>0</v>
      </c>
      <c r="AU74" s="1">
        <f>IFERROR(Tax_Floor!AU70 / Tax_Deductions!AU$13,0)</f>
        <v>0</v>
      </c>
      <c r="AV74" s="1">
        <f>IFERROR(Tax_Floor!AV70 / Tax_Deductions!AV$13,0)</f>
        <v>0</v>
      </c>
      <c r="AW74" s="1">
        <f>IFERROR(Tax_Floor!AW70 / Tax_Deductions!AW$13,0)</f>
        <v>0</v>
      </c>
      <c r="AX74" s="1">
        <f>IFERROR(Tax_Floor!AX70 / Tax_Deductions!AX$13,0)</f>
        <v>0</v>
      </c>
    </row>
    <row r="75" spans="1:50" ht="15" customHeight="1">
      <c r="A75" s="92"/>
      <c r="B75" s="1"/>
      <c r="C75" s="1"/>
      <c r="D75" s="1"/>
      <c r="E75" s="1" t="s">
        <v>413</v>
      </c>
      <c r="G75" s="1" t="str">
        <f>Allowances_Floor!H89</f>
        <v>scalar</v>
      </c>
      <c r="I75" s="11"/>
      <c r="J75" s="140"/>
      <c r="K75" s="183">
        <f>Allowances_Floor!L89</f>
        <v>0.9590545050542163</v>
      </c>
      <c r="L75" s="183">
        <f>Allowances_Floor!M89</f>
        <v>0.91978554366478771</v>
      </c>
      <c r="M75" s="183">
        <f>Allowances_Floor!N89</f>
        <v>0.88212446933545607</v>
      </c>
      <c r="N75" s="183">
        <f>Allowances_Floor!O89</f>
        <v>0.84600544633472896</v>
      </c>
      <c r="O75" s="183">
        <f>Allowances_Floor!P89</f>
        <v>0.81136533460772475</v>
      </c>
      <c r="P75" s="183">
        <f>Allowances_Floor!Q89</f>
        <v>0.77814357940036016</v>
      </c>
      <c r="Q75" s="183">
        <f>Allowances_Floor!R89</f>
        <v>0.74628210540292861</v>
      </c>
      <c r="R75" s="183">
        <f>Allowances_Floor!S89</f>
        <v>0.71572521522802401</v>
      </c>
      <c r="S75" s="183">
        <f>Allowances_Floor!T89</f>
        <v>0.68641949204533503</v>
      </c>
      <c r="T75" s="183">
        <f>Allowances_Floor!U89</f>
        <v>0.65831370620310525</v>
      </c>
      <c r="U75" s="183">
        <f>Allowances_Floor!V89</f>
        <v>0.63135872567302587</v>
      </c>
      <c r="V75" s="183">
        <f>Allowances_Floor!W89</f>
        <v>0.60550743016200437</v>
      </c>
      <c r="W75" s="183">
        <f>Allowances_Floor!X89</f>
        <v>0.58071462874067159</v>
      </c>
      <c r="X75" s="183">
        <f>Allowances_Floor!Y89</f>
        <v>0.55693698084462773</v>
      </c>
      <c r="Y75" s="183">
        <f>Allowances_Floor!Z89</f>
        <v>0.53413292051033401</v>
      </c>
      <c r="Z75" s="183">
        <f>Allowances_Floor!AA89</f>
        <v>0.51226258371320132</v>
      </c>
      <c r="AA75" s="183">
        <f>Allowances_Floor!AB89</f>
        <v>0.49128773868085834</v>
      </c>
      <c r="AB75" s="183">
        <f>Allowances_Floor!AC89</f>
        <v>0.47117171905977567</v>
      </c>
      <c r="AC75" s="183">
        <f>Allowances_Floor!AD89</f>
        <v>0.45187935981841743</v>
      </c>
      <c r="AD75" s="183">
        <f>Allowances_Floor!AE89</f>
        <v>0.43337693577486841</v>
      </c>
      <c r="AE75" s="183">
        <f>Allowances_Floor!AF89</f>
        <v>0.41563210264147926</v>
      </c>
      <c r="AF75" s="183">
        <f>Allowances_Floor!AG89</f>
        <v>0.39861384048346715</v>
      </c>
      <c r="AG75" s="183">
        <f>Allowances_Floor!AH89</f>
        <v>0.38229239949263183</v>
      </c>
      <c r="AH75" s="183">
        <f>Allowances_Floor!AI89</f>
        <v>0.36663924798139474</v>
      </c>
      <c r="AI75" s="183">
        <f>Allowances_Floor!AJ89</f>
        <v>0.35162702250624656</v>
      </c>
      <c r="AJ75" s="183">
        <f>Allowances_Floor!AK89</f>
        <v>0.33722948003341602</v>
      </c>
      <c r="AK75" s="183">
        <f>Allowances_Floor!AL89</f>
        <v>0.32342145206313849</v>
      </c>
      <c r="AL75" s="183">
        <f>Allowances_Floor!AM89</f>
        <v>0.31017880063232922</v>
      </c>
      <c r="AM75" s="183">
        <f>Allowances_Floor!AN89</f>
        <v>0.29747837611874889</v>
      </c>
      <c r="AN75" s="183">
        <f>Allowances_Floor!AO89</f>
        <v>0.28529797677289875</v>
      </c>
      <c r="AO75" s="183">
        <f>Allowances_Floor!AP89</f>
        <v>0.27361630990690167</v>
      </c>
      <c r="AP75" s="183">
        <f>Allowances_Floor!AQ89</f>
        <v>0.26241295467252462</v>
      </c>
      <c r="AQ75" s="183">
        <f>Allowances_Floor!AR89</f>
        <v>0.25166832636327258</v>
      </c>
      <c r="AR75" s="183">
        <f>Allowances_Floor!AS89</f>
        <v>0.24136364217815134</v>
      </c>
      <c r="AS75" s="183">
        <f>Allowances_Floor!AT89</f>
        <v>0.23148088838724987</v>
      </c>
      <c r="AT75" s="183">
        <f>Allowances_Floor!AU89</f>
        <v>0.22200278884174421</v>
      </c>
      <c r="AU75" s="183">
        <f>Allowances_Floor!AV89</f>
        <v>0.21291277477327464</v>
      </c>
      <c r="AV75" s="183">
        <f>Allowances_Floor!AW89</f>
        <v>0.20419495582990274</v>
      </c>
      <c r="AW75" s="183">
        <f>Allowances_Floor!AX89</f>
        <v>0.19583409229801491</v>
      </c>
      <c r="AX75" s="183">
        <f>Allowances_Floor!AY89</f>
        <v>0.1878155684616144</v>
      </c>
    </row>
    <row r="76" spans="1:50" ht="15" customHeight="1">
      <c r="A76" s="92"/>
      <c r="B76" s="175"/>
      <c r="C76" s="175"/>
      <c r="D76" s="175"/>
      <c r="E76" s="175"/>
      <c r="F76" s="175"/>
      <c r="G76" s="175"/>
      <c r="H76" s="175"/>
      <c r="I76" s="175"/>
      <c r="J76" s="175"/>
      <c r="K76" s="175"/>
      <c r="L76" s="175"/>
      <c r="M76" s="175"/>
      <c r="N76" s="175"/>
      <c r="O76" s="175"/>
      <c r="P76" s="175"/>
      <c r="Q76" s="175"/>
      <c r="R76" s="175"/>
      <c r="S76" s="175"/>
      <c r="T76" s="175"/>
      <c r="U76" s="175"/>
      <c r="V76" s="175"/>
      <c r="W76" s="175"/>
      <c r="X76" s="175"/>
      <c r="Y76" s="175"/>
      <c r="Z76" s="175"/>
      <c r="AA76" s="175"/>
      <c r="AB76" s="175"/>
      <c r="AC76" s="175"/>
      <c r="AD76" s="175"/>
      <c r="AE76" s="175"/>
      <c r="AF76" s="175"/>
      <c r="AG76" s="175"/>
      <c r="AH76" s="175"/>
      <c r="AI76" s="175"/>
      <c r="AJ76" s="175"/>
      <c r="AK76" s="175"/>
      <c r="AL76" s="175"/>
      <c r="AM76" s="175"/>
      <c r="AN76" s="175"/>
      <c r="AO76" s="175"/>
      <c r="AP76" s="175"/>
      <c r="AQ76" s="175"/>
      <c r="AR76" s="175"/>
      <c r="AS76" s="175"/>
      <c r="AT76" s="175"/>
      <c r="AU76" s="175"/>
      <c r="AV76" s="175"/>
      <c r="AW76" s="175"/>
      <c r="AX76" s="175"/>
    </row>
    <row r="77" spans="1:50" ht="15" customHeight="1">
      <c r="A77" s="92"/>
      <c r="B77" s="1"/>
      <c r="C77" s="1"/>
      <c r="D77" s="1"/>
      <c r="E77" s="11" t="s">
        <v>494</v>
      </c>
      <c r="G77" s="1" t="str">
        <f>Inputs!$I$6</f>
        <v>£m 2024 prices</v>
      </c>
      <c r="I77" s="11"/>
      <c r="J77" s="140"/>
      <c r="K77" s="143">
        <f t="shared" ref="K77:AI77" si="38">K74*K75</f>
        <v>0</v>
      </c>
      <c r="L77" s="143">
        <f t="shared" si="38"/>
        <v>0</v>
      </c>
      <c r="M77" s="143">
        <f t="shared" si="38"/>
        <v>0</v>
      </c>
      <c r="N77" s="143">
        <f t="shared" si="38"/>
        <v>0</v>
      </c>
      <c r="O77" s="143">
        <f t="shared" si="38"/>
        <v>0</v>
      </c>
      <c r="P77" s="143">
        <f t="shared" si="38"/>
        <v>0</v>
      </c>
      <c r="Q77" s="143">
        <f t="shared" si="38"/>
        <v>0</v>
      </c>
      <c r="R77" s="143">
        <f t="shared" si="38"/>
        <v>0</v>
      </c>
      <c r="S77" s="143">
        <f t="shared" si="38"/>
        <v>0</v>
      </c>
      <c r="T77" s="143">
        <f t="shared" si="38"/>
        <v>0</v>
      </c>
      <c r="U77" s="143">
        <f t="shared" si="38"/>
        <v>0</v>
      </c>
      <c r="V77" s="143">
        <f t="shared" si="38"/>
        <v>0</v>
      </c>
      <c r="W77" s="143">
        <f t="shared" si="38"/>
        <v>0</v>
      </c>
      <c r="X77" s="143">
        <f t="shared" si="38"/>
        <v>0</v>
      </c>
      <c r="Y77" s="143">
        <f t="shared" si="38"/>
        <v>0</v>
      </c>
      <c r="Z77" s="143">
        <f t="shared" si="38"/>
        <v>2.4136797542548063</v>
      </c>
      <c r="AA77" s="143">
        <f t="shared" si="38"/>
        <v>2.6677484119676755</v>
      </c>
      <c r="AB77" s="143">
        <f t="shared" si="38"/>
        <v>2.8013167296899892</v>
      </c>
      <c r="AC77" s="143">
        <f t="shared" si="38"/>
        <v>2.9078330990535459</v>
      </c>
      <c r="AD77" s="143">
        <f t="shared" si="38"/>
        <v>2.9899642819656753</v>
      </c>
      <c r="AE77" s="143">
        <f t="shared" si="38"/>
        <v>3.0466376884985356</v>
      </c>
      <c r="AF77" s="143">
        <f t="shared" si="38"/>
        <v>3.0838442686768421</v>
      </c>
      <c r="AG77" s="143">
        <f t="shared" si="38"/>
        <v>3.111159891226877</v>
      </c>
      <c r="AH77" s="143">
        <f t="shared" si="38"/>
        <v>3.1235842086380941</v>
      </c>
      <c r="AI77" s="143">
        <f t="shared" si="38"/>
        <v>0</v>
      </c>
      <c r="AJ77" s="143">
        <f t="shared" ref="AJ77:AX77" si="39">AJ74*AJ75</f>
        <v>0</v>
      </c>
      <c r="AK77" s="143">
        <f t="shared" si="39"/>
        <v>0</v>
      </c>
      <c r="AL77" s="143">
        <f t="shared" si="39"/>
        <v>0</v>
      </c>
      <c r="AM77" s="143">
        <f t="shared" si="39"/>
        <v>0</v>
      </c>
      <c r="AN77" s="143">
        <f t="shared" si="39"/>
        <v>0</v>
      </c>
      <c r="AO77" s="143">
        <f t="shared" si="39"/>
        <v>0</v>
      </c>
      <c r="AP77" s="143">
        <f t="shared" si="39"/>
        <v>0</v>
      </c>
      <c r="AQ77" s="143">
        <f t="shared" si="39"/>
        <v>0</v>
      </c>
      <c r="AR77" s="143">
        <f t="shared" si="39"/>
        <v>0</v>
      </c>
      <c r="AS77" s="143">
        <f t="shared" si="39"/>
        <v>0</v>
      </c>
      <c r="AT77" s="143">
        <f t="shared" si="39"/>
        <v>0</v>
      </c>
      <c r="AU77" s="143">
        <f t="shared" si="39"/>
        <v>0</v>
      </c>
      <c r="AV77" s="143">
        <f t="shared" si="39"/>
        <v>0</v>
      </c>
      <c r="AW77" s="143">
        <f t="shared" si="39"/>
        <v>0</v>
      </c>
      <c r="AX77" s="143">
        <f t="shared" si="39"/>
        <v>0</v>
      </c>
    </row>
    <row r="78" spans="1:50" ht="15" customHeight="1">
      <c r="A78" s="92"/>
      <c r="B78" s="1"/>
      <c r="C78" s="1"/>
      <c r="D78" s="1"/>
      <c r="E78" s="11" t="s">
        <v>495</v>
      </c>
      <c r="G78" s="1" t="str">
        <f>Inputs!$I$6</f>
        <v>£m 2024 prices</v>
      </c>
      <c r="I78" s="167">
        <f>SUM(K77:AX77)</f>
        <v>26.14576833397204</v>
      </c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0"/>
      <c r="AA78" s="140"/>
      <c r="AB78" s="140"/>
      <c r="AC78" s="140"/>
      <c r="AD78" s="140"/>
      <c r="AE78" s="140"/>
      <c r="AF78" s="140"/>
      <c r="AG78" s="140"/>
      <c r="AH78" s="140"/>
      <c r="AI78" s="140"/>
      <c r="AJ78" s="140"/>
      <c r="AK78" s="140"/>
      <c r="AL78" s="140"/>
      <c r="AM78" s="140"/>
      <c r="AN78" s="140"/>
      <c r="AO78" s="140"/>
      <c r="AP78" s="140"/>
      <c r="AQ78" s="140"/>
      <c r="AR78" s="140"/>
      <c r="AS78" s="140"/>
      <c r="AT78" s="140"/>
      <c r="AU78" s="140"/>
      <c r="AV78" s="140"/>
      <c r="AW78" s="140"/>
      <c r="AX78" s="140"/>
    </row>
    <row r="79" spans="1:50" ht="15" customHeight="1">
      <c r="A79" s="92"/>
      <c r="B79" s="1"/>
      <c r="C79" s="1"/>
      <c r="D79" s="1"/>
      <c r="I79" s="140"/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  <c r="AA79" s="140"/>
      <c r="AB79" s="140"/>
      <c r="AC79" s="140"/>
      <c r="AD79" s="140"/>
      <c r="AE79" s="140"/>
      <c r="AF79" s="140"/>
      <c r="AG79" s="140"/>
      <c r="AH79" s="140"/>
      <c r="AI79" s="140"/>
      <c r="AJ79" s="140"/>
      <c r="AK79" s="140"/>
      <c r="AL79" s="140"/>
      <c r="AM79" s="140"/>
      <c r="AN79" s="140"/>
      <c r="AO79" s="140"/>
      <c r="AP79" s="140"/>
      <c r="AQ79" s="140"/>
      <c r="AR79" s="140"/>
      <c r="AS79" s="140"/>
      <c r="AT79" s="140"/>
      <c r="AU79" s="140"/>
      <c r="AV79" s="140"/>
      <c r="AW79" s="140"/>
      <c r="AX79" s="140"/>
    </row>
    <row r="80" spans="1:50" ht="15" customHeight="1">
      <c r="A80" s="92"/>
      <c r="B80" s="1"/>
      <c r="C80" s="1"/>
      <c r="D80" s="1"/>
      <c r="E80" s="11" t="s">
        <v>412</v>
      </c>
      <c r="G80" s="11" t="str">
        <f>Allowances_Floor!H96</f>
        <v>scalar</v>
      </c>
      <c r="I80" s="171">
        <f>Allowances_Floor!J96</f>
        <v>6.5847293528294465E-2</v>
      </c>
      <c r="J80" s="140"/>
      <c r="K80" s="140"/>
      <c r="L80" s="140"/>
      <c r="M80" s="140"/>
      <c r="N80" s="140"/>
      <c r="O80" s="140"/>
      <c r="P80" s="140"/>
      <c r="Q80" s="140"/>
      <c r="R80" s="140"/>
      <c r="S80" s="140"/>
      <c r="T80" s="140"/>
      <c r="U80" s="140"/>
      <c r="V80" s="140"/>
      <c r="W80" s="140"/>
      <c r="X80" s="140"/>
      <c r="Y80" s="140"/>
      <c r="Z80" s="140"/>
      <c r="AA80" s="140"/>
      <c r="AB80" s="140"/>
      <c r="AC80" s="140"/>
      <c r="AD80" s="140"/>
      <c r="AE80" s="140"/>
      <c r="AF80" s="140"/>
      <c r="AG80" s="140"/>
      <c r="AH80" s="140"/>
      <c r="AI80" s="140"/>
      <c r="AJ80" s="140"/>
      <c r="AK80" s="140"/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  <c r="AX80" s="140"/>
    </row>
    <row r="81" spans="1:50" ht="15" customHeight="1">
      <c r="A81" s="92"/>
      <c r="B81" s="1"/>
      <c r="C81" s="1"/>
      <c r="D81" s="1"/>
      <c r="I81" s="11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  <c r="AA81" s="140"/>
      <c r="AB81" s="140"/>
      <c r="AC81" s="140"/>
      <c r="AD81" s="140"/>
      <c r="AE81" s="140"/>
      <c r="AF81" s="140"/>
      <c r="AG81" s="140"/>
      <c r="AH81" s="140"/>
      <c r="AI81" s="140"/>
      <c r="AJ81" s="140"/>
      <c r="AK81" s="140"/>
      <c r="AL81" s="140"/>
      <c r="AM81" s="140"/>
      <c r="AN81" s="140"/>
      <c r="AO81" s="140"/>
      <c r="AP81" s="140"/>
      <c r="AQ81" s="140"/>
      <c r="AR81" s="140"/>
      <c r="AS81" s="140"/>
      <c r="AT81" s="140"/>
      <c r="AU81" s="140"/>
      <c r="AV81" s="140"/>
      <c r="AW81" s="140"/>
      <c r="AX81" s="140"/>
    </row>
    <row r="82" spans="1:50" ht="15" customHeight="1">
      <c r="A82" s="92"/>
      <c r="B82" s="1"/>
      <c r="C82" s="1"/>
      <c r="D82" s="1"/>
      <c r="E82" s="11" t="s">
        <v>496</v>
      </c>
      <c r="G82" s="1" t="str">
        <f>Inputs!$I$6</f>
        <v>£m 2024 prices</v>
      </c>
      <c r="I82" s="168">
        <f>I78 * I80</f>
        <v>1.7216280820098435</v>
      </c>
      <c r="J82" s="140"/>
      <c r="K82" s="140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85"/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5"/>
      <c r="AK82" s="85"/>
      <c r="AL82" s="85"/>
      <c r="AM82" s="85"/>
      <c r="AN82" s="85"/>
      <c r="AO82" s="85"/>
      <c r="AP82" s="85"/>
      <c r="AQ82" s="85"/>
      <c r="AR82" s="85"/>
      <c r="AS82" s="85"/>
      <c r="AT82" s="85"/>
      <c r="AU82" s="85"/>
      <c r="AV82" s="85"/>
      <c r="AW82" s="85"/>
      <c r="AX82" s="85"/>
    </row>
    <row r="83" spans="1:50" ht="15" customHeight="1">
      <c r="A83"/>
      <c r="B83" s="1"/>
      <c r="C83" s="1"/>
      <c r="D83" s="1"/>
      <c r="G83" s="1"/>
      <c r="I83" s="78"/>
      <c r="J83" s="140"/>
      <c r="K83" s="14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85"/>
      <c r="AR83" s="85"/>
      <c r="AS83" s="85"/>
      <c r="AT83" s="85"/>
      <c r="AU83" s="85"/>
      <c r="AV83" s="85"/>
      <c r="AW83" s="85"/>
      <c r="AX83" s="85"/>
    </row>
    <row r="84" spans="1:50" ht="15" customHeight="1">
      <c r="A84"/>
      <c r="B84" s="12" t="s">
        <v>49</v>
      </c>
      <c r="C84" s="13"/>
      <c r="D84" s="13"/>
      <c r="E84" s="13"/>
      <c r="F84" s="79"/>
      <c r="G84" s="79"/>
      <c r="H84" s="79"/>
      <c r="I84" s="154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  <c r="AP84" s="79"/>
      <c r="AQ84" s="79"/>
      <c r="AR84" s="79"/>
      <c r="AS84" s="79"/>
      <c r="AT84" s="79"/>
      <c r="AU84" s="79"/>
      <c r="AV84" s="79"/>
      <c r="AW84" s="79"/>
      <c r="AX84" s="79"/>
    </row>
    <row r="85" spans="1:50" ht="1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</row>
    <row r="86" spans="1:50" ht="15" hidden="1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</row>
    <row r="87" spans="1:50" ht="15" hidden="1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</row>
    <row r="88" spans="1:50" ht="15" hidden="1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</row>
    <row r="89" spans="1:50" ht="15" hidden="1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</row>
    <row r="90" spans="1:50" ht="15" hidden="1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</row>
    <row r="91" spans="1:50" ht="15" hidden="1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</row>
    <row r="92" spans="1:50" ht="15" hidden="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</row>
    <row r="93" spans="1:50" ht="15" hidden="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</row>
    <row r="94" spans="1:50" ht="15" hidden="1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</row>
    <row r="95" spans="1:50" ht="15" hidden="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</row>
    <row r="96" spans="1:50" ht="15" hidden="1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</row>
    <row r="97" spans="1:35" ht="15" hidden="1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</row>
    <row r="98" spans="1:35" ht="15" hidden="1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</row>
    <row r="99" spans="1:35" ht="15" hidden="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</row>
    <row r="100" spans="1:35" ht="15" hidden="1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</row>
    <row r="101" spans="1:35" ht="15" hidden="1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</row>
    <row r="102" spans="1:35" ht="15" hidden="1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</row>
  </sheetData>
  <phoneticPr fontId="65" type="noConversion"/>
  <conditionalFormatting sqref="K11:AX11">
    <cfRule type="cellIs" dxfId="1" priority="2" stopIfTrue="1" operator="equal">
      <formula>FALSE()</formula>
    </cfRule>
  </conditionalFormatting>
  <conditionalFormatting sqref="K50:AX50">
    <cfRule type="cellIs" dxfId="0" priority="3" stopIfTrue="1" operator="equal">
      <formula>FALSE()</formula>
    </cfRule>
  </conditionalFormatting>
  <pageMargins left="0.23622047244094502" right="0.23622047244094502" top="0.74803149606299213" bottom="0.74803149606299213" header="0.31496062992126012" footer="0.31496062992126012"/>
  <pageSetup paperSize="0" fitToHeight="0" orientation="landscape" horizontalDpi="0" verticalDpi="0" copie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D8E4BC"/>
    <pageSetUpPr fitToPage="1"/>
  </sheetPr>
  <dimension ref="A1:AU26"/>
  <sheetViews>
    <sheetView topLeftCell="A3" zoomScale="130" zoomScaleNormal="130" workbookViewId="0">
      <selection activeCell="E24" sqref="E24"/>
    </sheetView>
  </sheetViews>
  <sheetFormatPr defaultColWidth="0" defaultRowHeight="0" customHeight="1" zeroHeight="1"/>
  <cols>
    <col min="1" max="3" width="2.5703125" style="93" customWidth="1"/>
    <col min="4" max="4" width="2.5703125" style="11" customWidth="1"/>
    <col min="5" max="5" width="99.140625" style="11" bestFit="1" customWidth="1"/>
    <col min="6" max="6" width="1.5703125" style="11" customWidth="1"/>
    <col min="7" max="8" width="16.42578125" style="11" customWidth="1"/>
    <col min="9" max="9" width="29.140625" style="11" customWidth="1"/>
    <col min="10" max="10" width="3.140625" customWidth="1"/>
    <col min="11" max="21" width="10.5703125" hidden="1" customWidth="1"/>
    <col min="22" max="22" width="11.28515625" hidden="1" customWidth="1"/>
    <col min="23" max="39" width="13.7109375" hidden="1" customWidth="1"/>
    <col min="40" max="40" width="12.5703125" hidden="1" customWidth="1"/>
    <col min="41" max="47" width="13.7109375" hidden="1" customWidth="1"/>
    <col min="48" max="16384" width="9.140625" hidden="1"/>
  </cols>
  <sheetData>
    <row r="1" spans="1:9" ht="15" customHeight="1">
      <c r="A1" s="45" t="s">
        <v>42</v>
      </c>
      <c r="B1" s="46"/>
      <c r="C1" s="46"/>
      <c r="D1" s="46"/>
      <c r="E1" s="46"/>
      <c r="F1" s="46"/>
      <c r="G1" s="46"/>
      <c r="H1" s="46"/>
      <c r="I1" s="46"/>
    </row>
    <row r="2" spans="1:9" ht="15" customHeight="1">
      <c r="A2" s="46"/>
      <c r="B2" s="46"/>
      <c r="C2" s="46"/>
      <c r="D2" s="46"/>
      <c r="E2" s="48" t="s">
        <v>65</v>
      </c>
      <c r="F2" s="48"/>
      <c r="G2" s="48" t="s">
        <v>66</v>
      </c>
      <c r="H2" s="48" t="s">
        <v>68</v>
      </c>
      <c r="I2" s="48" t="s">
        <v>499</v>
      </c>
    </row>
    <row r="3" spans="1:9" ht="15" customHeight="1">
      <c r="H3" s="140"/>
      <c r="I3" s="140"/>
    </row>
    <row r="4" spans="1:9" ht="15" customHeight="1">
      <c r="B4" s="12" t="s">
        <v>500</v>
      </c>
      <c r="C4" s="50"/>
      <c r="D4" s="50"/>
      <c r="E4" s="50"/>
      <c r="F4" s="50"/>
      <c r="G4" s="50"/>
      <c r="H4" s="50"/>
      <c r="I4" s="50"/>
    </row>
    <row r="5" spans="1:9" ht="15" customHeight="1">
      <c r="C5" s="11"/>
      <c r="H5" s="140"/>
      <c r="I5" s="140"/>
    </row>
    <row r="6" spans="1:9" ht="15" customHeight="1">
      <c r="A6" s="1"/>
      <c r="B6" s="1"/>
      <c r="C6" s="56" t="s">
        <v>501</v>
      </c>
      <c r="D6" s="56"/>
      <c r="E6" s="56"/>
      <c r="F6" s="56"/>
      <c r="G6" s="56"/>
      <c r="H6" s="56"/>
      <c r="I6" s="56"/>
    </row>
    <row r="7" spans="1:9" ht="15" customHeight="1">
      <c r="A7" s="1"/>
      <c r="B7" s="1"/>
      <c r="C7" s="1"/>
      <c r="D7" s="1"/>
      <c r="E7" s="1" t="s">
        <v>502</v>
      </c>
      <c r="F7" s="1"/>
      <c r="G7" s="1" t="str">
        <f>Inputs!$I$6</f>
        <v>£m 2024 prices</v>
      </c>
      <c r="H7" s="205">
        <f>Allowances_Cap!I45</f>
        <v>21.566793418076383</v>
      </c>
      <c r="I7" s="206" t="s">
        <v>503</v>
      </c>
    </row>
    <row r="8" spans="1:9" ht="15" customHeight="1">
      <c r="A8" s="1"/>
      <c r="B8" s="1"/>
      <c r="C8" s="1"/>
      <c r="D8" s="1"/>
      <c r="E8" s="1" t="s">
        <v>504</v>
      </c>
      <c r="F8" s="1"/>
      <c r="G8" s="1" t="str">
        <f>Inputs!$I$6</f>
        <v>£m 2024 prices</v>
      </c>
      <c r="H8" s="205">
        <f>Allowances_Cap!I55</f>
        <v>30.615199295922725</v>
      </c>
      <c r="I8" s="206" t="s">
        <v>503</v>
      </c>
    </row>
    <row r="9" spans="1:9" ht="15" customHeight="1">
      <c r="A9" s="1"/>
      <c r="B9" s="1"/>
      <c r="C9" s="1"/>
      <c r="D9" s="1"/>
      <c r="E9" s="1" t="s">
        <v>505</v>
      </c>
      <c r="F9" s="1"/>
      <c r="G9" s="1" t="str">
        <f>Inputs!$I$6</f>
        <v>£m 2024 prices</v>
      </c>
      <c r="H9" s="205">
        <f>Tax_Cap!I43</f>
        <v>5.9619101798318521</v>
      </c>
      <c r="I9" s="206" t="s">
        <v>503</v>
      </c>
    </row>
    <row r="10" spans="1:9" ht="15" customHeight="1">
      <c r="A10" s="1"/>
      <c r="B10" s="1"/>
      <c r="C10" s="1"/>
      <c r="D10" s="1"/>
      <c r="E10" s="11" t="s">
        <v>506</v>
      </c>
      <c r="G10" s="1" t="str">
        <f>Inputs!$I$6</f>
        <v>£m 2024 prices</v>
      </c>
      <c r="H10" s="71">
        <f>SUM(H7:H9)</f>
        <v>58.143902893830962</v>
      </c>
      <c r="I10" s="71"/>
    </row>
    <row r="11" spans="1:9" ht="15" customHeight="1">
      <c r="A11" s="1"/>
      <c r="B11" s="1"/>
      <c r="C11" s="1"/>
      <c r="D11" s="1"/>
      <c r="E11" s="1"/>
      <c r="F11" s="1"/>
      <c r="G11" s="1"/>
      <c r="H11" s="1"/>
      <c r="I11" s="1"/>
    </row>
    <row r="12" spans="1:9" ht="15" customHeight="1">
      <c r="A12" s="1"/>
      <c r="B12" s="1"/>
      <c r="C12" s="56" t="s">
        <v>507</v>
      </c>
      <c r="D12" s="56"/>
      <c r="E12" s="56"/>
      <c r="F12" s="56"/>
      <c r="G12" s="56"/>
      <c r="H12" s="56"/>
      <c r="I12" s="56"/>
    </row>
    <row r="13" spans="1:9" ht="15" customHeight="1">
      <c r="A13" s="1"/>
      <c r="B13" s="1"/>
      <c r="C13" s="1"/>
      <c r="D13" s="1"/>
      <c r="E13" s="1"/>
      <c r="F13" s="1"/>
      <c r="G13" s="1"/>
      <c r="H13" s="1"/>
      <c r="I13" s="1"/>
    </row>
    <row r="14" spans="1:9" ht="15" customHeight="1">
      <c r="A14" s="1"/>
      <c r="B14" s="1"/>
      <c r="C14" s="1"/>
      <c r="D14" s="1"/>
      <c r="E14" s="1" t="s">
        <v>502</v>
      </c>
      <c r="F14" s="1"/>
      <c r="G14" s="1" t="str">
        <f>Inputs!$I$6</f>
        <v>£m 2024 prices</v>
      </c>
      <c r="H14" s="205">
        <f>Allowances_Floor!J47</f>
        <v>16.709382445228105</v>
      </c>
      <c r="I14" s="206" t="s">
        <v>503</v>
      </c>
    </row>
    <row r="15" spans="1:9" ht="15" customHeight="1">
      <c r="A15" s="1"/>
      <c r="B15" s="1"/>
      <c r="C15" s="1"/>
      <c r="D15" s="1"/>
      <c r="E15" s="1" t="s">
        <v>504</v>
      </c>
      <c r="F15" s="1"/>
      <c r="G15" s="1" t="str">
        <f>Inputs!$I$6</f>
        <v>£m 2024 prices</v>
      </c>
      <c r="H15" s="205">
        <f>Allowances_Floor!J57</f>
        <v>26.271610506241846</v>
      </c>
      <c r="I15" s="206" t="s">
        <v>503</v>
      </c>
    </row>
    <row r="16" spans="1:9" ht="15" customHeight="1">
      <c r="A16" s="1"/>
      <c r="B16" s="1"/>
      <c r="C16" s="1"/>
      <c r="D16" s="1"/>
      <c r="E16" s="1" t="s">
        <v>505</v>
      </c>
      <c r="F16" s="1"/>
      <c r="G16" s="1" t="str">
        <f>Inputs!$I$6</f>
        <v>£m 2024 prices</v>
      </c>
      <c r="H16" s="205">
        <f>Tax_Floor!I43</f>
        <v>3.6252109637334882</v>
      </c>
      <c r="I16" s="206" t="s">
        <v>503</v>
      </c>
    </row>
    <row r="17" spans="1:9" ht="15" customHeight="1">
      <c r="A17" s="1"/>
      <c r="B17" s="1"/>
      <c r="C17" s="1"/>
      <c r="D17" s="1"/>
      <c r="E17" s="11" t="s">
        <v>508</v>
      </c>
      <c r="G17" s="1" t="str">
        <f>Inputs!$I$6</f>
        <v>£m 2024 prices</v>
      </c>
      <c r="H17" s="71">
        <f>SUM(H14:H16)</f>
        <v>46.606203915203437</v>
      </c>
      <c r="I17" s="71"/>
    </row>
    <row r="18" spans="1:9" ht="15" customHeight="1">
      <c r="A18" s="1"/>
      <c r="B18" s="1"/>
      <c r="C18" s="1"/>
      <c r="D18" s="1"/>
      <c r="E18" s="1"/>
      <c r="F18" s="1"/>
      <c r="G18" s="1"/>
      <c r="H18" s="1"/>
      <c r="I18" s="1"/>
    </row>
    <row r="19" spans="1:9" ht="15" customHeight="1">
      <c r="A19" s="1"/>
      <c r="B19" s="1"/>
      <c r="C19" s="56" t="s">
        <v>509</v>
      </c>
      <c r="D19" s="56"/>
      <c r="E19" s="56"/>
      <c r="F19" s="56"/>
      <c r="G19" s="56"/>
      <c r="H19" s="56"/>
      <c r="I19" s="56"/>
    </row>
    <row r="20" spans="1:9" ht="15" customHeight="1">
      <c r="A20" s="1"/>
      <c r="B20" s="1"/>
      <c r="C20" s="1"/>
      <c r="D20" s="1"/>
      <c r="E20" s="1"/>
      <c r="F20" s="1"/>
      <c r="G20" s="1"/>
      <c r="H20" s="1"/>
      <c r="I20" s="1"/>
    </row>
    <row r="21" spans="1:9" ht="15" customHeight="1">
      <c r="A21" s="1"/>
      <c r="B21" s="1"/>
      <c r="C21" s="1"/>
      <c r="D21" s="1"/>
      <c r="E21" s="11" t="s">
        <v>510</v>
      </c>
      <c r="F21" s="1"/>
      <c r="G21" s="1" t="str">
        <f>Inputs!$I$6</f>
        <v>£m 2024 prices</v>
      </c>
      <c r="H21" s="205">
        <f>Allowances_Floor!J98</f>
        <v>41.104686440601377</v>
      </c>
      <c r="I21" s="206" t="s">
        <v>503</v>
      </c>
    </row>
    <row r="22" spans="1:9" ht="15" customHeight="1">
      <c r="A22" s="1"/>
      <c r="B22" s="1"/>
      <c r="C22" s="1"/>
      <c r="D22" s="1"/>
      <c r="E22" s="1" t="s">
        <v>505</v>
      </c>
      <c r="F22" s="1"/>
      <c r="G22" s="1" t="str">
        <f>Inputs!$I$6</f>
        <v>£m 2024 prices</v>
      </c>
      <c r="H22" s="205">
        <f>Tax_Floor!I82</f>
        <v>1.7216280820098435</v>
      </c>
      <c r="I22" s="206" t="s">
        <v>503</v>
      </c>
    </row>
    <row r="23" spans="1:9" ht="15" customHeight="1">
      <c r="A23" s="1"/>
      <c r="B23" s="1"/>
      <c r="C23" s="1"/>
      <c r="D23" s="1"/>
      <c r="E23" s="1" t="s">
        <v>511</v>
      </c>
      <c r="F23" s="1"/>
      <c r="G23" s="1" t="str">
        <f>Inputs!$I$6</f>
        <v>£m 2024 prices</v>
      </c>
      <c r="H23" s="206">
        <f>H21+H22</f>
        <v>42.82631452261122</v>
      </c>
      <c r="I23" s="206"/>
    </row>
    <row r="24" spans="1:9" ht="15" customHeight="1">
      <c r="A24" s="1"/>
      <c r="B24" s="1"/>
      <c r="C24" s="1"/>
      <c r="D24" s="1"/>
      <c r="E24" s="1"/>
      <c r="F24" s="1"/>
      <c r="G24" s="1"/>
      <c r="H24" s="205"/>
      <c r="I24" s="206"/>
    </row>
    <row r="25" spans="1:9" ht="15" customHeight="1">
      <c r="A25" s="1"/>
      <c r="B25" s="12" t="s">
        <v>49</v>
      </c>
      <c r="C25" s="50"/>
      <c r="D25" s="50"/>
      <c r="E25" s="50"/>
      <c r="F25" s="50"/>
      <c r="G25" s="50"/>
      <c r="H25" s="50"/>
      <c r="I25" s="50"/>
    </row>
    <row r="26" spans="1:9" ht="15" customHeight="1"/>
  </sheetData>
  <pageMargins left="0.23622047244094502" right="0.23622047244094502" top="0.74803149606299213" bottom="0.74803149606299213" header="0.31496062992126012" footer="0.31496062992126012"/>
  <pageSetup paperSize="0" fitToHeight="0" orientation="landscape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6B8B7"/>
  </sheetPr>
  <dimension ref="A1:P32"/>
  <sheetViews>
    <sheetView tabSelected="1" workbookViewId="0">
      <selection activeCell="I14" sqref="I14"/>
    </sheetView>
  </sheetViews>
  <sheetFormatPr defaultColWidth="0" defaultRowHeight="12.95" zeroHeight="1"/>
  <cols>
    <col min="1" max="1" width="15.85546875" style="37" customWidth="1"/>
    <col min="2" max="2" width="14.28515625" style="37" customWidth="1"/>
    <col min="3" max="3" width="16.28515625" style="37" customWidth="1"/>
    <col min="4" max="4" width="16.5703125" style="37" customWidth="1"/>
    <col min="5" max="5" width="11.42578125" style="37" bestFit="1" customWidth="1"/>
    <col min="6" max="6" width="23.42578125" style="37" bestFit="1" customWidth="1"/>
    <col min="7" max="7" width="28.5703125" style="37" customWidth="1"/>
    <col min="8" max="8" width="18.28515625" style="37" customWidth="1"/>
    <col min="9" max="9" width="26" style="37" customWidth="1"/>
    <col min="10" max="10" width="29.7109375" style="37" customWidth="1"/>
    <col min="11" max="11" width="26" style="37" customWidth="1"/>
    <col min="12" max="12" width="3.140625" style="38" customWidth="1"/>
    <col min="13" max="16" width="0" style="37" hidden="1" customWidth="1"/>
    <col min="17" max="16384" width="10.7109375" style="37" hidden="1"/>
  </cols>
  <sheetData>
    <row r="1" spans="1:12" s="36" customFormat="1" ht="14.45">
      <c r="A1" s="33" t="s">
        <v>50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5"/>
    </row>
    <row r="2" spans="1:12" s="36" customFormat="1" ht="26.1">
      <c r="A2" s="233" t="s">
        <v>51</v>
      </c>
      <c r="B2" s="233" t="s">
        <v>52</v>
      </c>
      <c r="C2" s="233" t="s">
        <v>53</v>
      </c>
      <c r="D2" s="233" t="s">
        <v>54</v>
      </c>
      <c r="E2" s="233" t="s">
        <v>55</v>
      </c>
      <c r="F2" s="233" t="s">
        <v>56</v>
      </c>
      <c r="G2" s="233" t="s">
        <v>57</v>
      </c>
      <c r="H2" s="233" t="s">
        <v>58</v>
      </c>
      <c r="I2" s="233" t="s">
        <v>59</v>
      </c>
      <c r="J2" s="233" t="s">
        <v>60</v>
      </c>
      <c r="K2" s="233" t="s">
        <v>61</v>
      </c>
      <c r="L2" s="35"/>
    </row>
    <row r="3" spans="1:12">
      <c r="A3" s="234"/>
      <c r="B3" s="234"/>
      <c r="C3" s="234"/>
      <c r="D3" s="234"/>
      <c r="E3" s="234"/>
      <c r="F3" s="234"/>
      <c r="G3" s="234"/>
      <c r="H3" s="234"/>
      <c r="I3" s="234"/>
      <c r="J3" s="234"/>
      <c r="K3" s="234"/>
    </row>
    <row r="4" spans="1:12">
      <c r="A4" s="227">
        <v>1</v>
      </c>
      <c r="B4" s="228"/>
      <c r="C4" s="229" t="s">
        <v>62</v>
      </c>
      <c r="D4" s="230" t="s">
        <v>63</v>
      </c>
      <c r="E4" s="231">
        <v>45821</v>
      </c>
      <c r="F4" s="232" t="s">
        <v>62</v>
      </c>
      <c r="G4" s="232" t="s">
        <v>62</v>
      </c>
      <c r="H4" s="232" t="s">
        <v>62</v>
      </c>
      <c r="I4" s="232" t="s">
        <v>62</v>
      </c>
      <c r="J4" s="232" t="s">
        <v>63</v>
      </c>
      <c r="K4" s="232"/>
    </row>
    <row r="5" spans="1:12">
      <c r="A5" s="39"/>
      <c r="B5" s="40"/>
      <c r="C5" s="41"/>
      <c r="D5" s="39"/>
      <c r="E5" s="42"/>
      <c r="F5" s="43"/>
      <c r="G5" s="43"/>
      <c r="H5" s="43"/>
      <c r="I5" s="43"/>
      <c r="J5" s="43"/>
      <c r="K5" s="43"/>
    </row>
    <row r="6" spans="1:12">
      <c r="A6" s="39"/>
      <c r="B6" s="40"/>
      <c r="C6" s="41"/>
      <c r="D6" s="39"/>
      <c r="E6" s="42"/>
      <c r="F6" s="43"/>
      <c r="G6" s="43"/>
      <c r="H6" s="43"/>
      <c r="I6" s="43"/>
      <c r="J6" s="43"/>
      <c r="K6" s="43"/>
    </row>
    <row r="7" spans="1:12">
      <c r="A7" s="39"/>
      <c r="B7" s="40"/>
      <c r="C7" s="41"/>
      <c r="D7" s="39"/>
      <c r="E7" s="42"/>
      <c r="F7" s="43"/>
      <c r="G7" s="43"/>
      <c r="H7" s="43"/>
      <c r="I7" s="43"/>
      <c r="J7" s="43"/>
      <c r="K7" s="43"/>
    </row>
    <row r="8" spans="1:12">
      <c r="A8" s="39"/>
      <c r="B8" s="40"/>
      <c r="C8" s="41"/>
      <c r="D8" s="39"/>
      <c r="E8" s="42"/>
      <c r="F8" s="43"/>
      <c r="G8" s="43"/>
      <c r="H8" s="43"/>
      <c r="I8" s="43"/>
      <c r="J8" s="43"/>
      <c r="K8" s="43"/>
    </row>
    <row r="9" spans="1:12">
      <c r="A9" s="39"/>
      <c r="B9" s="40"/>
      <c r="C9" s="41"/>
      <c r="D9" s="39"/>
      <c r="E9" s="42"/>
      <c r="F9" s="43"/>
      <c r="G9" s="43"/>
      <c r="H9" s="43"/>
      <c r="I9" s="43"/>
      <c r="J9" s="43"/>
      <c r="K9" s="43"/>
    </row>
    <row r="10" spans="1:12">
      <c r="A10" s="39"/>
      <c r="B10" s="39"/>
      <c r="C10" s="41"/>
      <c r="D10" s="39"/>
      <c r="E10" s="42"/>
      <c r="F10" s="43"/>
      <c r="G10" s="43"/>
      <c r="H10" s="43"/>
      <c r="I10" s="43"/>
      <c r="J10" s="43"/>
      <c r="K10" s="43"/>
    </row>
    <row r="11" spans="1:12">
      <c r="A11" s="39"/>
      <c r="B11" s="39"/>
      <c r="C11" s="41"/>
      <c r="D11" s="39"/>
      <c r="E11" s="42"/>
      <c r="F11" s="43"/>
      <c r="G11" s="43"/>
      <c r="H11" s="43"/>
      <c r="I11" s="43"/>
      <c r="J11" s="43"/>
      <c r="K11" s="43"/>
    </row>
    <row r="12" spans="1:12">
      <c r="A12" s="39"/>
      <c r="B12" s="39"/>
      <c r="C12" s="41"/>
      <c r="D12" s="39"/>
      <c r="E12" s="42"/>
      <c r="F12" s="39"/>
      <c r="G12" s="39"/>
      <c r="H12" s="39"/>
      <c r="I12" s="39"/>
      <c r="J12" s="39"/>
      <c r="K12" s="39"/>
    </row>
    <row r="13" spans="1:12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</row>
    <row r="14" spans="1:12">
      <c r="A14" s="44"/>
      <c r="B14" s="44"/>
      <c r="C14" s="44"/>
      <c r="D14" s="44"/>
      <c r="E14" s="44"/>
      <c r="F14" s="44"/>
      <c r="G14" s="44"/>
      <c r="H14" s="44"/>
      <c r="I14" s="44"/>
      <c r="J14" s="44"/>
      <c r="K14" s="44"/>
    </row>
    <row r="15" spans="1:12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</row>
    <row r="16" spans="1:12">
      <c r="A16" s="44"/>
      <c r="B16" s="44"/>
      <c r="C16" s="44"/>
      <c r="D16" s="44"/>
      <c r="E16" s="44"/>
      <c r="F16" s="44"/>
      <c r="G16" s="44"/>
      <c r="H16" s="44"/>
      <c r="I16" s="44"/>
      <c r="J16" s="44"/>
      <c r="K16" s="44"/>
    </row>
    <row r="17" spans="1:11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</row>
    <row r="18" spans="1:11">
      <c r="A18" s="44"/>
      <c r="B18" s="44"/>
      <c r="C18" s="44"/>
      <c r="D18" s="44"/>
      <c r="E18" s="44"/>
      <c r="F18" s="44"/>
      <c r="G18" s="44"/>
      <c r="H18" s="44"/>
      <c r="I18" s="44"/>
      <c r="J18" s="44"/>
      <c r="K18" s="44"/>
    </row>
    <row r="19" spans="1:11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</row>
    <row r="20" spans="1:11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</row>
    <row r="21" spans="1:11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</row>
    <row r="22" spans="1:1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</row>
    <row r="23" spans="1:11">
      <c r="A23" s="226"/>
      <c r="B23" s="226"/>
      <c r="C23" s="226"/>
      <c r="D23" s="226"/>
      <c r="E23" s="226"/>
      <c r="F23" s="226"/>
      <c r="G23" s="226"/>
      <c r="H23" s="226"/>
      <c r="I23" s="226"/>
      <c r="J23" s="226"/>
      <c r="K23" s="226"/>
    </row>
    <row r="24" spans="1:11"/>
    <row r="25" spans="1:11"/>
    <row r="26" spans="1:11"/>
    <row r="27" spans="1:11"/>
    <row r="28" spans="1:11"/>
    <row r="29" spans="1:11"/>
    <row r="30" spans="1:11"/>
    <row r="31" spans="1:11"/>
    <row r="32" spans="1:11"/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CC"/>
    <pageSetUpPr fitToPage="1"/>
  </sheetPr>
  <dimension ref="A1:AZ271"/>
  <sheetViews>
    <sheetView zoomScale="70" zoomScaleNormal="70" workbookViewId="0">
      <selection activeCell="K26" sqref="K26"/>
    </sheetView>
  </sheetViews>
  <sheetFormatPr defaultColWidth="0" defaultRowHeight="0" customHeight="1" zeroHeight="1"/>
  <cols>
    <col min="1" max="4" width="2.5703125" style="11" customWidth="1"/>
    <col min="5" max="5" width="55.85546875" style="11" customWidth="1"/>
    <col min="6" max="6" width="1.5703125" style="11" customWidth="1"/>
    <col min="7" max="7" width="19.28515625" style="11" bestFit="1" customWidth="1"/>
    <col min="8" max="8" width="13.28515625" style="11" customWidth="1"/>
    <col min="9" max="9" width="14" style="11" customWidth="1"/>
    <col min="10" max="10" width="1.42578125" style="11" customWidth="1"/>
    <col min="11" max="11" width="11.85546875" style="11" customWidth="1"/>
    <col min="12" max="12" width="11.42578125" style="11" customWidth="1"/>
    <col min="13" max="16" width="12.5703125" style="11" customWidth="1"/>
    <col min="17" max="18" width="10.85546875" style="11" customWidth="1"/>
    <col min="19" max="19" width="12.140625" style="11" customWidth="1"/>
    <col min="20" max="20" width="11.85546875" style="11" customWidth="1"/>
    <col min="21" max="31" width="10.85546875" style="11" customWidth="1"/>
    <col min="32" max="32" width="11.5703125" style="11" bestFit="1" customWidth="1"/>
    <col min="33" max="50" width="11.5703125" style="11" customWidth="1"/>
    <col min="51" max="51" width="7.5703125" customWidth="1"/>
    <col min="52" max="52" width="10.140625" hidden="1" customWidth="1"/>
    <col min="53" max="53" width="9.140625" hidden="1" customWidth="1"/>
    <col min="54" max="16384" width="9.140625" hidden="1"/>
  </cols>
  <sheetData>
    <row r="1" spans="1:52" ht="14.45">
      <c r="A1" s="45" t="s">
        <v>22</v>
      </c>
      <c r="B1" s="46"/>
      <c r="C1" s="46"/>
      <c r="D1" s="46"/>
      <c r="E1" s="46"/>
      <c r="F1" s="46"/>
      <c r="G1" s="46"/>
      <c r="H1" s="46" t="s">
        <v>64</v>
      </c>
      <c r="I1" s="46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</row>
    <row r="2" spans="1:52" ht="15" customHeight="1">
      <c r="A2" s="46"/>
      <c r="B2" s="46"/>
      <c r="C2" s="46"/>
      <c r="D2" s="46"/>
      <c r="E2" s="48" t="s">
        <v>65</v>
      </c>
      <c r="F2" s="48"/>
      <c r="G2" s="48" t="s">
        <v>66</v>
      </c>
      <c r="H2" s="48" t="s">
        <v>67</v>
      </c>
      <c r="I2" s="49" t="s">
        <v>68</v>
      </c>
      <c r="J2" s="46"/>
      <c r="K2" s="48" t="s">
        <v>69</v>
      </c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</row>
    <row r="3" spans="1:52" ht="15" customHeight="1"/>
    <row r="4" spans="1:52" ht="15" customHeight="1">
      <c r="B4" s="12" t="s">
        <v>70</v>
      </c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</row>
    <row r="5" spans="1:52" ht="15" customHeight="1"/>
    <row r="6" spans="1:52" s="11" customFormat="1" ht="15" customHeight="1">
      <c r="A6"/>
      <c r="E6" s="11" t="s">
        <v>70</v>
      </c>
      <c r="G6" s="1" t="str">
        <f>$I$6</f>
        <v>£m 2024 prices</v>
      </c>
      <c r="I6" s="69" t="s">
        <v>71</v>
      </c>
      <c r="K6" s="54"/>
      <c r="AY6"/>
      <c r="AZ6"/>
    </row>
    <row r="7" spans="1:52" s="11" customFormat="1" ht="15" customHeight="1">
      <c r="A7"/>
      <c r="G7" s="1"/>
      <c r="I7" s="55"/>
      <c r="K7" s="54"/>
      <c r="AY7"/>
      <c r="AZ7"/>
    </row>
    <row r="8" spans="1:52" ht="15" customHeight="1">
      <c r="B8" s="12" t="s">
        <v>72</v>
      </c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</row>
    <row r="9" spans="1:52" ht="15" customHeight="1"/>
    <row r="10" spans="1:52" ht="15" customHeight="1">
      <c r="C10" s="56" t="s">
        <v>73</v>
      </c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</row>
    <row r="11" spans="1:52" ht="15" customHeight="1"/>
    <row r="12" spans="1:52" ht="15" customHeight="1">
      <c r="A12" s="57"/>
      <c r="B12" s="57"/>
      <c r="C12" s="57"/>
      <c r="D12" s="57"/>
      <c r="E12" s="58" t="s">
        <v>74</v>
      </c>
      <c r="F12" s="59"/>
      <c r="G12" s="59"/>
      <c r="H12" s="59"/>
      <c r="I12" s="59"/>
      <c r="J12" s="57"/>
      <c r="K12" s="60">
        <f>$I$133</f>
        <v>45658</v>
      </c>
      <c r="L12" s="61">
        <f t="shared" ref="L12:AX12" si="0">+K13+1</f>
        <v>46023</v>
      </c>
      <c r="M12" s="61">
        <f t="shared" si="0"/>
        <v>46388</v>
      </c>
      <c r="N12" s="61">
        <f t="shared" si="0"/>
        <v>46753</v>
      </c>
      <c r="O12" s="61">
        <f t="shared" si="0"/>
        <v>47119</v>
      </c>
      <c r="P12" s="61">
        <f t="shared" si="0"/>
        <v>47484</v>
      </c>
      <c r="Q12" s="61">
        <f t="shared" si="0"/>
        <v>47849</v>
      </c>
      <c r="R12" s="61">
        <f t="shared" si="0"/>
        <v>48214</v>
      </c>
      <c r="S12" s="61">
        <f t="shared" si="0"/>
        <v>48580</v>
      </c>
      <c r="T12" s="61">
        <f t="shared" si="0"/>
        <v>48945</v>
      </c>
      <c r="U12" s="61">
        <f t="shared" si="0"/>
        <v>49310</v>
      </c>
      <c r="V12" s="61">
        <f t="shared" si="0"/>
        <v>49675</v>
      </c>
      <c r="W12" s="61">
        <f t="shared" si="0"/>
        <v>50041</v>
      </c>
      <c r="X12" s="61">
        <f t="shared" si="0"/>
        <v>50406</v>
      </c>
      <c r="Y12" s="61">
        <f t="shared" si="0"/>
        <v>50771</v>
      </c>
      <c r="Z12" s="61">
        <f t="shared" si="0"/>
        <v>51136</v>
      </c>
      <c r="AA12" s="61">
        <f t="shared" si="0"/>
        <v>51502</v>
      </c>
      <c r="AB12" s="61">
        <f t="shared" si="0"/>
        <v>51867</v>
      </c>
      <c r="AC12" s="61">
        <f t="shared" si="0"/>
        <v>52232</v>
      </c>
      <c r="AD12" s="61">
        <f t="shared" si="0"/>
        <v>52597</v>
      </c>
      <c r="AE12" s="61">
        <f t="shared" si="0"/>
        <v>52963</v>
      </c>
      <c r="AF12" s="61">
        <f t="shared" si="0"/>
        <v>53328</v>
      </c>
      <c r="AG12" s="61">
        <f t="shared" si="0"/>
        <v>53693</v>
      </c>
      <c r="AH12" s="61">
        <f t="shared" si="0"/>
        <v>54058</v>
      </c>
      <c r="AI12" s="61">
        <f t="shared" si="0"/>
        <v>54424</v>
      </c>
      <c r="AJ12" s="61">
        <f t="shared" si="0"/>
        <v>54789</v>
      </c>
      <c r="AK12" s="61">
        <f t="shared" si="0"/>
        <v>55154</v>
      </c>
      <c r="AL12" s="61">
        <f t="shared" si="0"/>
        <v>55519</v>
      </c>
      <c r="AM12" s="61">
        <f t="shared" si="0"/>
        <v>55885</v>
      </c>
      <c r="AN12" s="61">
        <f t="shared" si="0"/>
        <v>56250</v>
      </c>
      <c r="AO12" s="61">
        <f t="shared" si="0"/>
        <v>56615</v>
      </c>
      <c r="AP12" s="61">
        <f t="shared" si="0"/>
        <v>56980</v>
      </c>
      <c r="AQ12" s="61">
        <f t="shared" si="0"/>
        <v>57346</v>
      </c>
      <c r="AR12" s="61">
        <f t="shared" si="0"/>
        <v>57711</v>
      </c>
      <c r="AS12" s="61">
        <f t="shared" si="0"/>
        <v>58076</v>
      </c>
      <c r="AT12" s="61">
        <f t="shared" si="0"/>
        <v>58441</v>
      </c>
      <c r="AU12" s="61">
        <f t="shared" si="0"/>
        <v>58807</v>
      </c>
      <c r="AV12" s="61">
        <f t="shared" si="0"/>
        <v>59172</v>
      </c>
      <c r="AW12" s="61">
        <f t="shared" si="0"/>
        <v>59537</v>
      </c>
      <c r="AX12" s="61">
        <f t="shared" si="0"/>
        <v>59902</v>
      </c>
    </row>
    <row r="13" spans="1:52" ht="15" customHeight="1">
      <c r="A13" s="62"/>
      <c r="B13" s="62"/>
      <c r="C13" s="62"/>
      <c r="D13" s="62"/>
      <c r="E13" s="58" t="s">
        <v>75</v>
      </c>
      <c r="F13" s="62"/>
      <c r="G13" s="62"/>
      <c r="H13" s="62"/>
      <c r="I13" s="63"/>
      <c r="J13" s="62"/>
      <c r="K13" s="60">
        <f>EOMONTH(K12,11)</f>
        <v>46022</v>
      </c>
      <c r="L13" s="61">
        <f t="shared" ref="L13:AX13" si="1">DATE(YEAR(K13) + 1, MONTH(K13), DAY(K13))</f>
        <v>46387</v>
      </c>
      <c r="M13" s="61">
        <f t="shared" si="1"/>
        <v>46752</v>
      </c>
      <c r="N13" s="61">
        <f t="shared" si="1"/>
        <v>47118</v>
      </c>
      <c r="O13" s="61">
        <f t="shared" si="1"/>
        <v>47483</v>
      </c>
      <c r="P13" s="61">
        <f t="shared" si="1"/>
        <v>47848</v>
      </c>
      <c r="Q13" s="61">
        <f t="shared" si="1"/>
        <v>48213</v>
      </c>
      <c r="R13" s="61">
        <f t="shared" si="1"/>
        <v>48579</v>
      </c>
      <c r="S13" s="61">
        <f t="shared" si="1"/>
        <v>48944</v>
      </c>
      <c r="T13" s="61">
        <f t="shared" si="1"/>
        <v>49309</v>
      </c>
      <c r="U13" s="61">
        <f t="shared" si="1"/>
        <v>49674</v>
      </c>
      <c r="V13" s="61">
        <f t="shared" si="1"/>
        <v>50040</v>
      </c>
      <c r="W13" s="61">
        <f t="shared" si="1"/>
        <v>50405</v>
      </c>
      <c r="X13" s="61">
        <f t="shared" si="1"/>
        <v>50770</v>
      </c>
      <c r="Y13" s="61">
        <f t="shared" si="1"/>
        <v>51135</v>
      </c>
      <c r="Z13" s="61">
        <f t="shared" si="1"/>
        <v>51501</v>
      </c>
      <c r="AA13" s="61">
        <f t="shared" si="1"/>
        <v>51866</v>
      </c>
      <c r="AB13" s="61">
        <f t="shared" si="1"/>
        <v>52231</v>
      </c>
      <c r="AC13" s="61">
        <f t="shared" si="1"/>
        <v>52596</v>
      </c>
      <c r="AD13" s="61">
        <f t="shared" si="1"/>
        <v>52962</v>
      </c>
      <c r="AE13" s="61">
        <f t="shared" si="1"/>
        <v>53327</v>
      </c>
      <c r="AF13" s="61">
        <f t="shared" si="1"/>
        <v>53692</v>
      </c>
      <c r="AG13" s="61">
        <f t="shared" si="1"/>
        <v>54057</v>
      </c>
      <c r="AH13" s="61">
        <f t="shared" si="1"/>
        <v>54423</v>
      </c>
      <c r="AI13" s="61">
        <f t="shared" si="1"/>
        <v>54788</v>
      </c>
      <c r="AJ13" s="61">
        <f t="shared" si="1"/>
        <v>55153</v>
      </c>
      <c r="AK13" s="61">
        <f t="shared" si="1"/>
        <v>55518</v>
      </c>
      <c r="AL13" s="61">
        <f t="shared" si="1"/>
        <v>55884</v>
      </c>
      <c r="AM13" s="61">
        <f t="shared" si="1"/>
        <v>56249</v>
      </c>
      <c r="AN13" s="61">
        <f t="shared" si="1"/>
        <v>56614</v>
      </c>
      <c r="AO13" s="61">
        <f t="shared" si="1"/>
        <v>56979</v>
      </c>
      <c r="AP13" s="61">
        <f t="shared" si="1"/>
        <v>57345</v>
      </c>
      <c r="AQ13" s="61">
        <f t="shared" si="1"/>
        <v>57710</v>
      </c>
      <c r="AR13" s="61">
        <f t="shared" si="1"/>
        <v>58075</v>
      </c>
      <c r="AS13" s="61">
        <f t="shared" si="1"/>
        <v>58440</v>
      </c>
      <c r="AT13" s="61">
        <f t="shared" si="1"/>
        <v>58806</v>
      </c>
      <c r="AU13" s="61">
        <f t="shared" si="1"/>
        <v>59171</v>
      </c>
      <c r="AV13" s="61">
        <f t="shared" si="1"/>
        <v>59536</v>
      </c>
      <c r="AW13" s="61">
        <f t="shared" si="1"/>
        <v>59901</v>
      </c>
      <c r="AX13" s="61">
        <f t="shared" si="1"/>
        <v>60267</v>
      </c>
    </row>
    <row r="14" spans="1:52" ht="15" customHeight="1"/>
    <row r="15" spans="1:52" ht="15" customHeight="1">
      <c r="A15"/>
      <c r="E15" s="11" t="s">
        <v>76</v>
      </c>
      <c r="G15" s="1" t="s">
        <v>77</v>
      </c>
      <c r="H15" s="64"/>
      <c r="K15" s="65">
        <v>10</v>
      </c>
      <c r="L15" s="65">
        <v>5</v>
      </c>
      <c r="M15" s="65">
        <v>0</v>
      </c>
      <c r="N15" s="65">
        <v>0</v>
      </c>
      <c r="O15" s="65">
        <v>0</v>
      </c>
      <c r="P15" s="65">
        <v>0</v>
      </c>
      <c r="Q15" s="65">
        <v>0</v>
      </c>
      <c r="R15" s="65">
        <v>0</v>
      </c>
      <c r="S15" s="65">
        <v>0</v>
      </c>
      <c r="T15" s="65">
        <v>0</v>
      </c>
      <c r="U15" s="65">
        <v>0</v>
      </c>
      <c r="V15" s="65">
        <v>0</v>
      </c>
      <c r="W15" s="65">
        <v>0</v>
      </c>
      <c r="X15" s="65">
        <v>0</v>
      </c>
      <c r="Y15" s="65">
        <v>0</v>
      </c>
      <c r="Z15" s="65">
        <v>0</v>
      </c>
      <c r="AA15" s="65">
        <v>0</v>
      </c>
      <c r="AB15" s="65">
        <v>0</v>
      </c>
      <c r="AC15" s="65">
        <v>0</v>
      </c>
      <c r="AD15" s="65">
        <v>0</v>
      </c>
      <c r="AE15" s="65">
        <v>0</v>
      </c>
      <c r="AF15" s="65">
        <v>0</v>
      </c>
      <c r="AG15" s="65">
        <v>0</v>
      </c>
      <c r="AH15" s="65">
        <v>0</v>
      </c>
      <c r="AI15" s="65">
        <v>0</v>
      </c>
      <c r="AJ15" s="65">
        <v>0</v>
      </c>
      <c r="AK15" s="65">
        <v>0</v>
      </c>
      <c r="AL15" s="65">
        <v>0</v>
      </c>
      <c r="AM15" s="65">
        <v>0</v>
      </c>
      <c r="AN15" s="65">
        <v>0</v>
      </c>
      <c r="AO15" s="65">
        <v>0</v>
      </c>
      <c r="AP15" s="65">
        <v>0</v>
      </c>
      <c r="AQ15" s="65">
        <v>0</v>
      </c>
      <c r="AR15" s="65">
        <v>0</v>
      </c>
      <c r="AS15" s="65">
        <v>0</v>
      </c>
      <c r="AT15" s="65">
        <v>0</v>
      </c>
      <c r="AU15" s="65">
        <v>0</v>
      </c>
      <c r="AV15" s="65">
        <v>0</v>
      </c>
      <c r="AW15" s="65">
        <v>0</v>
      </c>
      <c r="AX15" s="65">
        <v>0</v>
      </c>
      <c r="AY15" s="66"/>
    </row>
    <row r="16" spans="1:52" ht="15" customHeight="1">
      <c r="A16"/>
      <c r="E16" s="11" t="s">
        <v>78</v>
      </c>
      <c r="G16" s="1" t="s">
        <v>77</v>
      </c>
      <c r="H16" s="64"/>
      <c r="K16" s="65"/>
      <c r="L16" s="65">
        <v>150</v>
      </c>
      <c r="M16" s="65">
        <v>150</v>
      </c>
      <c r="N16" s="65">
        <v>150</v>
      </c>
      <c r="O16" s="65">
        <v>0</v>
      </c>
      <c r="P16" s="65">
        <v>0</v>
      </c>
      <c r="Q16" s="65">
        <v>0</v>
      </c>
      <c r="R16" s="65">
        <v>0</v>
      </c>
      <c r="S16" s="65">
        <v>0</v>
      </c>
      <c r="T16" s="65">
        <v>0</v>
      </c>
      <c r="U16" s="65">
        <v>0</v>
      </c>
      <c r="V16" s="65">
        <v>0</v>
      </c>
      <c r="W16" s="65">
        <v>0</v>
      </c>
      <c r="X16" s="65">
        <v>0</v>
      </c>
      <c r="Y16" s="65">
        <v>0</v>
      </c>
      <c r="Z16" s="65">
        <v>0</v>
      </c>
      <c r="AA16" s="65">
        <v>0</v>
      </c>
      <c r="AB16" s="65">
        <v>0</v>
      </c>
      <c r="AC16" s="65">
        <v>0</v>
      </c>
      <c r="AD16" s="65">
        <v>0</v>
      </c>
      <c r="AE16" s="65">
        <v>0</v>
      </c>
      <c r="AF16" s="65">
        <v>0</v>
      </c>
      <c r="AG16" s="65">
        <v>0</v>
      </c>
      <c r="AH16" s="65">
        <v>0</v>
      </c>
      <c r="AI16" s="65">
        <v>0</v>
      </c>
      <c r="AJ16" s="65">
        <v>0</v>
      </c>
      <c r="AK16" s="65">
        <v>0</v>
      </c>
      <c r="AL16" s="65">
        <v>0</v>
      </c>
      <c r="AM16" s="65">
        <v>0</v>
      </c>
      <c r="AN16" s="65">
        <v>0</v>
      </c>
      <c r="AO16" s="65">
        <v>0</v>
      </c>
      <c r="AP16" s="65">
        <v>0</v>
      </c>
      <c r="AQ16" s="65">
        <v>0</v>
      </c>
      <c r="AR16" s="65">
        <v>0</v>
      </c>
      <c r="AS16" s="65">
        <v>0</v>
      </c>
      <c r="AT16" s="65">
        <v>0</v>
      </c>
      <c r="AU16" s="65">
        <v>0</v>
      </c>
      <c r="AV16" s="65">
        <v>0</v>
      </c>
      <c r="AW16" s="65">
        <v>0</v>
      </c>
      <c r="AX16" s="65">
        <v>0</v>
      </c>
      <c r="AY16" s="66"/>
    </row>
    <row r="17" spans="1:51" ht="15" customHeight="1">
      <c r="A17"/>
      <c r="E17" s="11" t="s">
        <v>79</v>
      </c>
      <c r="G17" s="1" t="s">
        <v>77</v>
      </c>
      <c r="H17" s="64"/>
      <c r="K17" s="65"/>
      <c r="L17" s="65">
        <v>1</v>
      </c>
      <c r="M17" s="65">
        <v>1</v>
      </c>
      <c r="N17" s="65">
        <v>1</v>
      </c>
      <c r="O17" s="65">
        <v>1</v>
      </c>
      <c r="P17" s="65">
        <v>0</v>
      </c>
      <c r="Q17" s="65">
        <v>0</v>
      </c>
      <c r="R17" s="65">
        <v>0</v>
      </c>
      <c r="S17" s="65">
        <v>0</v>
      </c>
      <c r="T17" s="65">
        <v>0</v>
      </c>
      <c r="U17" s="65">
        <v>0</v>
      </c>
      <c r="V17" s="65">
        <v>0</v>
      </c>
      <c r="W17" s="65">
        <v>0</v>
      </c>
      <c r="X17" s="65">
        <v>0</v>
      </c>
      <c r="Y17" s="65">
        <v>0</v>
      </c>
      <c r="Z17" s="65">
        <v>0</v>
      </c>
      <c r="AA17" s="65">
        <v>0</v>
      </c>
      <c r="AB17" s="65">
        <v>0</v>
      </c>
      <c r="AC17" s="65">
        <v>0</v>
      </c>
      <c r="AD17" s="65">
        <v>0</v>
      </c>
      <c r="AE17" s="65">
        <v>0</v>
      </c>
      <c r="AF17" s="65">
        <v>0</v>
      </c>
      <c r="AG17" s="65">
        <v>0</v>
      </c>
      <c r="AH17" s="65">
        <v>0</v>
      </c>
      <c r="AI17" s="65">
        <v>0</v>
      </c>
      <c r="AJ17" s="65">
        <v>0</v>
      </c>
      <c r="AK17" s="65">
        <v>0</v>
      </c>
      <c r="AL17" s="65">
        <v>0</v>
      </c>
      <c r="AM17" s="65">
        <v>0</v>
      </c>
      <c r="AN17" s="65">
        <v>0</v>
      </c>
      <c r="AO17" s="65">
        <v>0</v>
      </c>
      <c r="AP17" s="65">
        <v>0</v>
      </c>
      <c r="AQ17" s="65">
        <v>0</v>
      </c>
      <c r="AR17" s="65">
        <v>0</v>
      </c>
      <c r="AS17" s="65">
        <v>0</v>
      </c>
      <c r="AT17" s="65">
        <v>0</v>
      </c>
      <c r="AU17" s="65">
        <v>0</v>
      </c>
      <c r="AV17" s="65">
        <v>0</v>
      </c>
      <c r="AW17" s="65">
        <v>0</v>
      </c>
      <c r="AX17" s="65">
        <v>0</v>
      </c>
      <c r="AY17" s="66"/>
    </row>
    <row r="18" spans="1:51" ht="15" customHeight="1"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</row>
    <row r="19" spans="1:51" ht="26.1">
      <c r="A19"/>
      <c r="E19" s="68" t="s">
        <v>80</v>
      </c>
      <c r="G19" s="69" t="s">
        <v>81</v>
      </c>
      <c r="H19" s="69" t="s">
        <v>82</v>
      </c>
      <c r="I19" s="70">
        <v>132.9</v>
      </c>
      <c r="K19" s="71"/>
      <c r="L19" s="71"/>
      <c r="M19" s="71"/>
      <c r="N19" s="71"/>
      <c r="O19" s="71"/>
      <c r="P19" s="71"/>
      <c r="Q19" s="71"/>
      <c r="R19" s="72"/>
      <c r="S19" s="53"/>
      <c r="T19" s="53"/>
      <c r="U19" s="53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</row>
    <row r="20" spans="1:51" ht="28.5" customHeight="1">
      <c r="A20"/>
      <c r="B20"/>
      <c r="C20"/>
      <c r="D20"/>
      <c r="E20"/>
      <c r="F20"/>
      <c r="G20"/>
      <c r="H20"/>
      <c r="I20"/>
      <c r="J20"/>
      <c r="K20" s="71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</row>
    <row r="21" spans="1:51" ht="12.95">
      <c r="A21"/>
      <c r="B21"/>
      <c r="C21"/>
      <c r="D21"/>
      <c r="E21" s="68" t="s">
        <v>83</v>
      </c>
      <c r="F21"/>
      <c r="G21"/>
      <c r="H21"/>
      <c r="I21"/>
      <c r="J21"/>
      <c r="K21" s="106">
        <v>0.02</v>
      </c>
      <c r="L21" s="106">
        <v>0.02</v>
      </c>
      <c r="M21" s="106">
        <v>0.02</v>
      </c>
      <c r="N21" s="106">
        <v>0.02</v>
      </c>
      <c r="O21" s="106">
        <v>0.02</v>
      </c>
      <c r="P21" s="106">
        <v>0.02</v>
      </c>
      <c r="Q21" s="106">
        <v>0.02</v>
      </c>
      <c r="R21" s="106">
        <v>0.02</v>
      </c>
      <c r="S21" s="106">
        <v>0.02</v>
      </c>
      <c r="T21" s="106">
        <v>0.02</v>
      </c>
      <c r="U21" s="106">
        <v>0.02</v>
      </c>
      <c r="V21" s="106">
        <v>0.02</v>
      </c>
      <c r="W21" s="106">
        <v>0.02</v>
      </c>
      <c r="X21" s="106">
        <v>0.02</v>
      </c>
      <c r="Y21" s="106">
        <v>0.02</v>
      </c>
      <c r="Z21" s="106">
        <v>0.02</v>
      </c>
      <c r="AA21" s="106">
        <v>0.02</v>
      </c>
      <c r="AB21" s="106">
        <v>0.02</v>
      </c>
      <c r="AC21" s="106">
        <v>0.02</v>
      </c>
      <c r="AD21" s="106">
        <v>0.02</v>
      </c>
      <c r="AE21" s="106">
        <v>0.02</v>
      </c>
      <c r="AF21" s="106">
        <v>0.02</v>
      </c>
      <c r="AG21" s="106">
        <v>0.02</v>
      </c>
      <c r="AH21" s="106">
        <v>0.02</v>
      </c>
      <c r="AI21" s="106">
        <v>0.02</v>
      </c>
      <c r="AJ21" s="106">
        <v>0.02</v>
      </c>
      <c r="AK21" s="106">
        <v>0.02</v>
      </c>
      <c r="AL21" s="106">
        <v>0.02</v>
      </c>
      <c r="AM21" s="106">
        <v>0.02</v>
      </c>
      <c r="AN21" s="106">
        <v>0.02</v>
      </c>
      <c r="AO21" s="106">
        <v>0.02</v>
      </c>
      <c r="AP21" s="106">
        <v>0.02</v>
      </c>
      <c r="AQ21" s="106">
        <v>0.02</v>
      </c>
      <c r="AR21" s="106">
        <v>0.02</v>
      </c>
      <c r="AS21" s="106">
        <v>0.02</v>
      </c>
      <c r="AT21" s="106">
        <v>0.02</v>
      </c>
      <c r="AU21" s="106">
        <v>0.02</v>
      </c>
      <c r="AV21" s="106">
        <v>0.02</v>
      </c>
      <c r="AW21" s="106">
        <v>0.02</v>
      </c>
      <c r="AX21" s="106">
        <v>0.02</v>
      </c>
    </row>
    <row r="22" spans="1:51" ht="12.95">
      <c r="A22"/>
      <c r="E22" s="68" t="s">
        <v>84</v>
      </c>
      <c r="G22" s="74" t="str">
        <f>G19</f>
        <v>Jan 2015 = 100</v>
      </c>
      <c r="H22" s="69" t="s">
        <v>85</v>
      </c>
      <c r="K22" s="187">
        <f>I19*(1+K21)</f>
        <v>135.55800000000002</v>
      </c>
      <c r="L22" s="64">
        <f>K22*(1+L21)</f>
        <v>138.26916000000003</v>
      </c>
      <c r="M22" s="64">
        <f t="shared" ref="M22:O22" si="2">L22*(1+M21)</f>
        <v>141.03454320000003</v>
      </c>
      <c r="N22" s="64">
        <f t="shared" si="2"/>
        <v>143.85523406400003</v>
      </c>
      <c r="O22" s="64">
        <f t="shared" si="2"/>
        <v>146.73233874528003</v>
      </c>
      <c r="P22" s="64">
        <f t="shared" ref="P22" si="3">O22*(1+P21)</f>
        <v>149.66698552018565</v>
      </c>
      <c r="Q22" s="64">
        <f t="shared" ref="Q22:R22" si="4">P22*(1+Q21)</f>
        <v>152.66032523058936</v>
      </c>
      <c r="R22" s="64">
        <f t="shared" si="4"/>
        <v>155.71353173520114</v>
      </c>
      <c r="S22" s="64">
        <f t="shared" ref="S22" si="5">R22*(1+S21)</f>
        <v>158.82780236990516</v>
      </c>
      <c r="T22" s="64">
        <f t="shared" ref="T22:U22" si="6">S22*(1+T21)</f>
        <v>162.00435841730325</v>
      </c>
      <c r="U22" s="64">
        <f t="shared" si="6"/>
        <v>165.24444558564932</v>
      </c>
      <c r="V22" s="64">
        <f t="shared" ref="V22" si="7">U22*(1+V21)</f>
        <v>168.54933449736231</v>
      </c>
      <c r="W22" s="64">
        <f t="shared" ref="W22:X22" si="8">V22*(1+W21)</f>
        <v>171.92032118730955</v>
      </c>
      <c r="X22" s="64">
        <f t="shared" si="8"/>
        <v>175.35872761105574</v>
      </c>
      <c r="Y22" s="64">
        <f t="shared" ref="Y22:Z22" si="9">X22*(1+Y21)</f>
        <v>178.86590216327687</v>
      </c>
      <c r="Z22" s="64">
        <f t="shared" si="9"/>
        <v>182.44322020654241</v>
      </c>
      <c r="AA22" s="64">
        <f t="shared" ref="AA22" si="10">Z22*(1+AA21)</f>
        <v>186.09208461067325</v>
      </c>
      <c r="AB22" s="64">
        <f t="shared" ref="AB22" si="11">AA22*(1+AB21)</f>
        <v>189.81392630288673</v>
      </c>
      <c r="AC22" s="64">
        <f t="shared" ref="AC22" si="12">AB22*(1+AC21)</f>
        <v>193.61020482894446</v>
      </c>
      <c r="AD22" s="64">
        <f t="shared" ref="AD22" si="13">AC22*(1+AD21)</f>
        <v>197.48240892552334</v>
      </c>
      <c r="AE22" s="64">
        <f t="shared" ref="AE22" si="14">AD22*(1+AE21)</f>
        <v>201.43205710403382</v>
      </c>
      <c r="AF22" s="64">
        <f t="shared" ref="AF22" si="15">AE22*(1+AF21)</f>
        <v>205.4606982461145</v>
      </c>
      <c r="AG22" s="64">
        <f t="shared" ref="AG22" si="16">AF22*(1+AG21)</f>
        <v>209.56991221103681</v>
      </c>
      <c r="AH22" s="64">
        <f t="shared" ref="AH22" si="17">AG22*(1+AH21)</f>
        <v>213.76131045525756</v>
      </c>
      <c r="AI22" s="64">
        <f t="shared" ref="AI22" si="18">AH22*(1+AI21)</f>
        <v>218.0365366643627</v>
      </c>
      <c r="AJ22" s="64">
        <f t="shared" ref="AJ22" si="19">AI22*(1+AJ21)</f>
        <v>222.39726739764996</v>
      </c>
      <c r="AK22" s="64">
        <f t="shared" ref="AK22" si="20">AJ22*(1+AK21)</f>
        <v>226.84521274560296</v>
      </c>
      <c r="AL22" s="64">
        <f t="shared" ref="AL22" si="21">AK22*(1+AL21)</f>
        <v>231.38211700051502</v>
      </c>
      <c r="AM22" s="64">
        <f t="shared" ref="AM22:AN22" si="22">AL22*(1+AM21)</f>
        <v>236.00975934052533</v>
      </c>
      <c r="AN22" s="64">
        <f t="shared" si="22"/>
        <v>240.72995452733585</v>
      </c>
      <c r="AO22" s="64">
        <f t="shared" ref="AO22" si="23">AN22*(1+AO21)</f>
        <v>245.54455361788257</v>
      </c>
      <c r="AP22" s="64">
        <f t="shared" ref="AP22" si="24">AO22*(1+AP21)</f>
        <v>250.45544469024023</v>
      </c>
      <c r="AQ22" s="64">
        <f t="shared" ref="AQ22" si="25">AP22*(1+AQ21)</f>
        <v>255.46455358404503</v>
      </c>
      <c r="AR22" s="64">
        <f t="shared" ref="AR22" si="26">AQ22*(1+AR21)</f>
        <v>260.57384465572596</v>
      </c>
      <c r="AS22" s="64">
        <f t="shared" ref="AS22" si="27">AR22*(1+AS21)</f>
        <v>265.7853215488405</v>
      </c>
      <c r="AT22" s="64">
        <f t="shared" ref="AT22" si="28">AS22*(1+AT21)</f>
        <v>271.10102797981733</v>
      </c>
      <c r="AU22" s="64">
        <f t="shared" ref="AU22" si="29">AT22*(1+AU21)</f>
        <v>276.52304853941371</v>
      </c>
      <c r="AV22" s="64">
        <f t="shared" ref="AV22" si="30">AU22*(1+AV21)</f>
        <v>282.05350951020199</v>
      </c>
      <c r="AW22" s="64">
        <f t="shared" ref="AW22" si="31">AV22*(1+AW21)</f>
        <v>287.69457970040605</v>
      </c>
      <c r="AX22" s="64">
        <f t="shared" ref="AX22" si="32">AW22*(1+AX21)</f>
        <v>293.44847129441416</v>
      </c>
    </row>
    <row r="23" spans="1:51" ht="15" customHeight="1">
      <c r="A23"/>
      <c r="E23" s="11" t="s">
        <v>86</v>
      </c>
      <c r="G23" s="74"/>
      <c r="H23" s="74" t="s">
        <v>87</v>
      </c>
      <c r="K23" s="107">
        <f>K22/$I$19</f>
        <v>1.02</v>
      </c>
      <c r="L23" s="107">
        <f t="shared" ref="L23:AX23" si="33">L22/$I$19</f>
        <v>1.0404000000000002</v>
      </c>
      <c r="M23" s="107">
        <f t="shared" si="33"/>
        <v>1.0612080000000002</v>
      </c>
      <c r="N23" s="107">
        <f t="shared" si="33"/>
        <v>1.0824321600000002</v>
      </c>
      <c r="O23" s="107">
        <f t="shared" si="33"/>
        <v>1.1040808032000002</v>
      </c>
      <c r="P23" s="107">
        <f t="shared" si="33"/>
        <v>1.1261624192640003</v>
      </c>
      <c r="Q23" s="107">
        <f t="shared" si="33"/>
        <v>1.1486856676492803</v>
      </c>
      <c r="R23" s="107">
        <f t="shared" si="33"/>
        <v>1.171659381002266</v>
      </c>
      <c r="S23" s="107">
        <f t="shared" si="33"/>
        <v>1.1950925686223111</v>
      </c>
      <c r="T23" s="107">
        <f t="shared" si="33"/>
        <v>1.2189944199947573</v>
      </c>
      <c r="U23" s="107">
        <f t="shared" si="33"/>
        <v>1.2433743083946525</v>
      </c>
      <c r="V23" s="107">
        <f t="shared" si="33"/>
        <v>1.2682417945625455</v>
      </c>
      <c r="W23" s="107">
        <f t="shared" si="33"/>
        <v>1.2936066304537965</v>
      </c>
      <c r="X23" s="107">
        <f t="shared" si="33"/>
        <v>1.3194787630628724</v>
      </c>
      <c r="Y23" s="107">
        <f t="shared" si="33"/>
        <v>1.3458683383241299</v>
      </c>
      <c r="Z23" s="107">
        <f t="shared" si="33"/>
        <v>1.3727857050906125</v>
      </c>
      <c r="AA23" s="107">
        <f t="shared" si="33"/>
        <v>1.4002414191924246</v>
      </c>
      <c r="AB23" s="107">
        <f t="shared" si="33"/>
        <v>1.4282462475762734</v>
      </c>
      <c r="AC23" s="107">
        <f t="shared" si="33"/>
        <v>1.4568111725277988</v>
      </c>
      <c r="AD23" s="107">
        <f t="shared" si="33"/>
        <v>1.4859473959783547</v>
      </c>
      <c r="AE23" s="107">
        <f t="shared" si="33"/>
        <v>1.5156663438979219</v>
      </c>
      <c r="AF23" s="107">
        <f t="shared" si="33"/>
        <v>1.5459796707758804</v>
      </c>
      <c r="AG23" s="107">
        <f t="shared" si="33"/>
        <v>1.5768992641913981</v>
      </c>
      <c r="AH23" s="107">
        <f t="shared" si="33"/>
        <v>1.6084372494752261</v>
      </c>
      <c r="AI23" s="107">
        <f t="shared" si="33"/>
        <v>1.6406059944647307</v>
      </c>
      <c r="AJ23" s="107">
        <f t="shared" si="33"/>
        <v>1.6734181143540252</v>
      </c>
      <c r="AK23" s="107">
        <f t="shared" si="33"/>
        <v>1.7068864766411058</v>
      </c>
      <c r="AL23" s="107">
        <f t="shared" si="33"/>
        <v>1.7410242061739278</v>
      </c>
      <c r="AM23" s="107">
        <f t="shared" si="33"/>
        <v>1.7758446902974065</v>
      </c>
      <c r="AN23" s="107">
        <f t="shared" si="33"/>
        <v>1.8113615841033548</v>
      </c>
      <c r="AO23" s="107">
        <f t="shared" si="33"/>
        <v>1.8475888157854219</v>
      </c>
      <c r="AP23" s="107">
        <f t="shared" si="33"/>
        <v>1.8845405921011302</v>
      </c>
      <c r="AQ23" s="107">
        <f t="shared" si="33"/>
        <v>1.9222314039431529</v>
      </c>
      <c r="AR23" s="107">
        <f t="shared" si="33"/>
        <v>1.9606760320220162</v>
      </c>
      <c r="AS23" s="107">
        <f t="shared" si="33"/>
        <v>1.9998895526624567</v>
      </c>
      <c r="AT23" s="107">
        <f t="shared" si="33"/>
        <v>2.0398873437157059</v>
      </c>
      <c r="AU23" s="107">
        <f t="shared" si="33"/>
        <v>2.0806850905900203</v>
      </c>
      <c r="AV23" s="107">
        <f t="shared" si="33"/>
        <v>2.1222987924018208</v>
      </c>
      <c r="AW23" s="107">
        <f t="shared" si="33"/>
        <v>2.1647447682498573</v>
      </c>
      <c r="AX23" s="107">
        <f t="shared" si="33"/>
        <v>2.2080396636148545</v>
      </c>
    </row>
    <row r="24" spans="1:51" ht="15" customHeight="1">
      <c r="A24"/>
      <c r="G24" s="74"/>
      <c r="H24" s="74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</row>
    <row r="25" spans="1:51" ht="15" customHeight="1">
      <c r="A25"/>
      <c r="G25" s="74"/>
      <c r="H25" s="74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</row>
    <row r="26" spans="1:51" ht="12.95">
      <c r="E26" s="11" t="str">
        <f>E15</f>
        <v>Development costs</v>
      </c>
      <c r="G26" s="1" t="str">
        <f>$I$6</f>
        <v>£m 2024 prices</v>
      </c>
      <c r="H26" s="64"/>
      <c r="K26" s="64">
        <f t="shared" ref="K26:AX26" si="34">K15/K$23</f>
        <v>9.8039215686274517</v>
      </c>
      <c r="L26" s="64">
        <f t="shared" si="34"/>
        <v>4.8058439061899261</v>
      </c>
      <c r="M26" s="64">
        <f t="shared" si="34"/>
        <v>0</v>
      </c>
      <c r="N26" s="64">
        <f t="shared" si="34"/>
        <v>0</v>
      </c>
      <c r="O26" s="64">
        <f t="shared" si="34"/>
        <v>0</v>
      </c>
      <c r="P26" s="64">
        <f t="shared" si="34"/>
        <v>0</v>
      </c>
      <c r="Q26" s="64">
        <f t="shared" si="34"/>
        <v>0</v>
      </c>
      <c r="R26" s="64">
        <f t="shared" si="34"/>
        <v>0</v>
      </c>
      <c r="S26" s="64">
        <f t="shared" si="34"/>
        <v>0</v>
      </c>
      <c r="T26" s="64">
        <f t="shared" si="34"/>
        <v>0</v>
      </c>
      <c r="U26" s="64">
        <f t="shared" si="34"/>
        <v>0</v>
      </c>
      <c r="V26" s="64">
        <f t="shared" si="34"/>
        <v>0</v>
      </c>
      <c r="W26" s="64">
        <f t="shared" si="34"/>
        <v>0</v>
      </c>
      <c r="X26" s="64">
        <f t="shared" si="34"/>
        <v>0</v>
      </c>
      <c r="Y26" s="64">
        <f t="shared" si="34"/>
        <v>0</v>
      </c>
      <c r="Z26" s="64">
        <f t="shared" si="34"/>
        <v>0</v>
      </c>
      <c r="AA26" s="64">
        <f t="shared" si="34"/>
        <v>0</v>
      </c>
      <c r="AB26" s="64">
        <f t="shared" si="34"/>
        <v>0</v>
      </c>
      <c r="AC26" s="64">
        <f t="shared" si="34"/>
        <v>0</v>
      </c>
      <c r="AD26" s="64">
        <f t="shared" si="34"/>
        <v>0</v>
      </c>
      <c r="AE26" s="64">
        <f t="shared" si="34"/>
        <v>0</v>
      </c>
      <c r="AF26" s="64">
        <f t="shared" si="34"/>
        <v>0</v>
      </c>
      <c r="AG26" s="64">
        <f t="shared" si="34"/>
        <v>0</v>
      </c>
      <c r="AH26" s="64">
        <f t="shared" si="34"/>
        <v>0</v>
      </c>
      <c r="AI26" s="64">
        <f t="shared" si="34"/>
        <v>0</v>
      </c>
      <c r="AJ26" s="64">
        <f t="shared" si="34"/>
        <v>0</v>
      </c>
      <c r="AK26" s="64">
        <f t="shared" si="34"/>
        <v>0</v>
      </c>
      <c r="AL26" s="64">
        <f t="shared" si="34"/>
        <v>0</v>
      </c>
      <c r="AM26" s="64">
        <f t="shared" si="34"/>
        <v>0</v>
      </c>
      <c r="AN26" s="64">
        <f t="shared" si="34"/>
        <v>0</v>
      </c>
      <c r="AO26" s="64">
        <f t="shared" si="34"/>
        <v>0</v>
      </c>
      <c r="AP26" s="64">
        <f t="shared" si="34"/>
        <v>0</v>
      </c>
      <c r="AQ26" s="64">
        <f t="shared" si="34"/>
        <v>0</v>
      </c>
      <c r="AR26" s="64">
        <f t="shared" si="34"/>
        <v>0</v>
      </c>
      <c r="AS26" s="64">
        <f t="shared" si="34"/>
        <v>0</v>
      </c>
      <c r="AT26" s="64">
        <f t="shared" si="34"/>
        <v>0</v>
      </c>
      <c r="AU26" s="64">
        <f t="shared" si="34"/>
        <v>0</v>
      </c>
      <c r="AV26" s="64">
        <f t="shared" si="34"/>
        <v>0</v>
      </c>
      <c r="AW26" s="64">
        <f t="shared" si="34"/>
        <v>0</v>
      </c>
      <c r="AX26" s="64">
        <f t="shared" si="34"/>
        <v>0</v>
      </c>
    </row>
    <row r="27" spans="1:51" ht="12.95">
      <c r="E27" s="11" t="str">
        <f>E16</f>
        <v>Capex</v>
      </c>
      <c r="G27" s="1" t="str">
        <f>$I$6</f>
        <v>£m 2024 prices</v>
      </c>
      <c r="H27" s="64"/>
      <c r="K27" s="64">
        <f t="shared" ref="K27:AX27" si="35">K16/K$23</f>
        <v>0</v>
      </c>
      <c r="L27" s="64">
        <f t="shared" si="35"/>
        <v>144.17531718569779</v>
      </c>
      <c r="M27" s="64">
        <f t="shared" si="35"/>
        <v>141.34835018205666</v>
      </c>
      <c r="N27" s="64">
        <f t="shared" si="35"/>
        <v>138.5768139039771</v>
      </c>
      <c r="O27" s="64">
        <f t="shared" si="35"/>
        <v>0</v>
      </c>
      <c r="P27" s="64">
        <f t="shared" si="35"/>
        <v>0</v>
      </c>
      <c r="Q27" s="64">
        <f t="shared" si="35"/>
        <v>0</v>
      </c>
      <c r="R27" s="64">
        <f t="shared" si="35"/>
        <v>0</v>
      </c>
      <c r="S27" s="64">
        <f t="shared" si="35"/>
        <v>0</v>
      </c>
      <c r="T27" s="64">
        <f t="shared" si="35"/>
        <v>0</v>
      </c>
      <c r="U27" s="64">
        <f t="shared" si="35"/>
        <v>0</v>
      </c>
      <c r="V27" s="64">
        <f t="shared" si="35"/>
        <v>0</v>
      </c>
      <c r="W27" s="64">
        <f t="shared" si="35"/>
        <v>0</v>
      </c>
      <c r="X27" s="64">
        <f t="shared" si="35"/>
        <v>0</v>
      </c>
      <c r="Y27" s="64">
        <f t="shared" si="35"/>
        <v>0</v>
      </c>
      <c r="Z27" s="64">
        <f t="shared" si="35"/>
        <v>0</v>
      </c>
      <c r="AA27" s="64">
        <f t="shared" si="35"/>
        <v>0</v>
      </c>
      <c r="AB27" s="64">
        <f t="shared" si="35"/>
        <v>0</v>
      </c>
      <c r="AC27" s="64">
        <f t="shared" si="35"/>
        <v>0</v>
      </c>
      <c r="AD27" s="64">
        <f t="shared" si="35"/>
        <v>0</v>
      </c>
      <c r="AE27" s="64">
        <f t="shared" si="35"/>
        <v>0</v>
      </c>
      <c r="AF27" s="64">
        <f t="shared" si="35"/>
        <v>0</v>
      </c>
      <c r="AG27" s="64">
        <f t="shared" si="35"/>
        <v>0</v>
      </c>
      <c r="AH27" s="64">
        <f t="shared" si="35"/>
        <v>0</v>
      </c>
      <c r="AI27" s="64">
        <f t="shared" si="35"/>
        <v>0</v>
      </c>
      <c r="AJ27" s="64">
        <f t="shared" si="35"/>
        <v>0</v>
      </c>
      <c r="AK27" s="64">
        <f t="shared" si="35"/>
        <v>0</v>
      </c>
      <c r="AL27" s="64">
        <f t="shared" si="35"/>
        <v>0</v>
      </c>
      <c r="AM27" s="64">
        <f t="shared" si="35"/>
        <v>0</v>
      </c>
      <c r="AN27" s="64">
        <f t="shared" si="35"/>
        <v>0</v>
      </c>
      <c r="AO27" s="64">
        <f t="shared" si="35"/>
        <v>0</v>
      </c>
      <c r="AP27" s="64">
        <f t="shared" si="35"/>
        <v>0</v>
      </c>
      <c r="AQ27" s="64">
        <f t="shared" si="35"/>
        <v>0</v>
      </c>
      <c r="AR27" s="64">
        <f t="shared" si="35"/>
        <v>0</v>
      </c>
      <c r="AS27" s="64">
        <f t="shared" si="35"/>
        <v>0</v>
      </c>
      <c r="AT27" s="64">
        <f t="shared" si="35"/>
        <v>0</v>
      </c>
      <c r="AU27" s="64">
        <f t="shared" si="35"/>
        <v>0</v>
      </c>
      <c r="AV27" s="64">
        <f t="shared" si="35"/>
        <v>0</v>
      </c>
      <c r="AW27" s="64">
        <f t="shared" si="35"/>
        <v>0</v>
      </c>
      <c r="AX27" s="64">
        <f t="shared" si="35"/>
        <v>0</v>
      </c>
    </row>
    <row r="28" spans="1:51" ht="12.95">
      <c r="E28" s="11" t="str">
        <f>E17</f>
        <v>Spares</v>
      </c>
      <c r="G28" s="1" t="str">
        <f>$I$6</f>
        <v>£m 2024 prices</v>
      </c>
      <c r="H28" s="64"/>
      <c r="K28" s="64">
        <f t="shared" ref="K28:AX28" si="36">K17/K$23</f>
        <v>0</v>
      </c>
      <c r="L28" s="64">
        <f t="shared" si="36"/>
        <v>0.96116878123798521</v>
      </c>
      <c r="M28" s="64">
        <f t="shared" si="36"/>
        <v>0.94232233454704439</v>
      </c>
      <c r="N28" s="64">
        <f t="shared" si="36"/>
        <v>0.92384542602651409</v>
      </c>
      <c r="O28" s="64">
        <f t="shared" si="36"/>
        <v>0.90573080982991572</v>
      </c>
      <c r="P28" s="64">
        <f t="shared" si="36"/>
        <v>0</v>
      </c>
      <c r="Q28" s="64">
        <f t="shared" si="36"/>
        <v>0</v>
      </c>
      <c r="R28" s="64">
        <f t="shared" si="36"/>
        <v>0</v>
      </c>
      <c r="S28" s="64">
        <f t="shared" si="36"/>
        <v>0</v>
      </c>
      <c r="T28" s="64">
        <f t="shared" si="36"/>
        <v>0</v>
      </c>
      <c r="U28" s="64">
        <f t="shared" si="36"/>
        <v>0</v>
      </c>
      <c r="V28" s="64">
        <f t="shared" si="36"/>
        <v>0</v>
      </c>
      <c r="W28" s="64">
        <f t="shared" si="36"/>
        <v>0</v>
      </c>
      <c r="X28" s="64">
        <f t="shared" si="36"/>
        <v>0</v>
      </c>
      <c r="Y28" s="64">
        <f t="shared" si="36"/>
        <v>0</v>
      </c>
      <c r="Z28" s="64">
        <f t="shared" si="36"/>
        <v>0</v>
      </c>
      <c r="AA28" s="64">
        <f t="shared" si="36"/>
        <v>0</v>
      </c>
      <c r="AB28" s="64">
        <f t="shared" si="36"/>
        <v>0</v>
      </c>
      <c r="AC28" s="64">
        <f t="shared" si="36"/>
        <v>0</v>
      </c>
      <c r="AD28" s="64">
        <f t="shared" si="36"/>
        <v>0</v>
      </c>
      <c r="AE28" s="64">
        <f t="shared" si="36"/>
        <v>0</v>
      </c>
      <c r="AF28" s="64">
        <f t="shared" si="36"/>
        <v>0</v>
      </c>
      <c r="AG28" s="64">
        <f t="shared" si="36"/>
        <v>0</v>
      </c>
      <c r="AH28" s="64">
        <f t="shared" si="36"/>
        <v>0</v>
      </c>
      <c r="AI28" s="64">
        <f t="shared" si="36"/>
        <v>0</v>
      </c>
      <c r="AJ28" s="64">
        <f t="shared" si="36"/>
        <v>0</v>
      </c>
      <c r="AK28" s="64">
        <f t="shared" si="36"/>
        <v>0</v>
      </c>
      <c r="AL28" s="64">
        <f t="shared" si="36"/>
        <v>0</v>
      </c>
      <c r="AM28" s="64">
        <f t="shared" si="36"/>
        <v>0</v>
      </c>
      <c r="AN28" s="64">
        <f t="shared" si="36"/>
        <v>0</v>
      </c>
      <c r="AO28" s="64">
        <f t="shared" si="36"/>
        <v>0</v>
      </c>
      <c r="AP28" s="64">
        <f t="shared" si="36"/>
        <v>0</v>
      </c>
      <c r="AQ28" s="64">
        <f t="shared" si="36"/>
        <v>0</v>
      </c>
      <c r="AR28" s="64">
        <f t="shared" si="36"/>
        <v>0</v>
      </c>
      <c r="AS28" s="64">
        <f t="shared" si="36"/>
        <v>0</v>
      </c>
      <c r="AT28" s="64">
        <f t="shared" si="36"/>
        <v>0</v>
      </c>
      <c r="AU28" s="64">
        <f t="shared" si="36"/>
        <v>0</v>
      </c>
      <c r="AV28" s="64">
        <f t="shared" si="36"/>
        <v>0</v>
      </c>
      <c r="AW28" s="64">
        <f t="shared" si="36"/>
        <v>0</v>
      </c>
      <c r="AX28" s="64">
        <f t="shared" si="36"/>
        <v>0</v>
      </c>
    </row>
    <row r="29" spans="1:51" ht="15" customHeight="1">
      <c r="E29" s="11" t="s">
        <v>88</v>
      </c>
      <c r="G29" s="1" t="str">
        <f>$I$6</f>
        <v>£m 2024 prices</v>
      </c>
      <c r="I29" s="209">
        <v>0</v>
      </c>
      <c r="N29" s="71"/>
    </row>
    <row r="30" spans="1:51" ht="15" customHeight="1">
      <c r="N30" s="71"/>
    </row>
    <row r="31" spans="1:51" ht="15" customHeight="1">
      <c r="C31" s="56" t="s">
        <v>89</v>
      </c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</row>
    <row r="32" spans="1:51" ht="15" customHeight="1"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</row>
    <row r="33" spans="1:50" ht="15" customHeight="1">
      <c r="A33" s="46"/>
      <c r="B33" s="46"/>
      <c r="C33" s="46"/>
      <c r="D33" s="46"/>
      <c r="E33" s="46" t="s">
        <v>90</v>
      </c>
      <c r="F33" s="48"/>
      <c r="G33" s="48"/>
      <c r="H33" s="48"/>
      <c r="I33" s="48"/>
      <c r="J33" s="46"/>
      <c r="K33" s="76" t="s">
        <v>91</v>
      </c>
      <c r="L33" s="76" t="s">
        <v>92</v>
      </c>
      <c r="M33" s="76" t="s">
        <v>93</v>
      </c>
      <c r="N33" s="76" t="s">
        <v>94</v>
      </c>
      <c r="O33" s="76" t="s">
        <v>95</v>
      </c>
      <c r="P33" s="76" t="s">
        <v>96</v>
      </c>
      <c r="Q33" s="76" t="s">
        <v>97</v>
      </c>
      <c r="R33" s="76" t="s">
        <v>98</v>
      </c>
      <c r="S33" s="76" t="s">
        <v>99</v>
      </c>
      <c r="T33" s="76" t="s">
        <v>100</v>
      </c>
      <c r="U33" s="76" t="s">
        <v>101</v>
      </c>
      <c r="V33" s="76" t="s">
        <v>102</v>
      </c>
      <c r="W33" s="76" t="s">
        <v>103</v>
      </c>
      <c r="X33" s="76" t="s">
        <v>104</v>
      </c>
      <c r="Y33" s="76" t="s">
        <v>105</v>
      </c>
      <c r="Z33" s="76" t="s">
        <v>106</v>
      </c>
      <c r="AA33" s="76" t="s">
        <v>107</v>
      </c>
      <c r="AB33" s="76" t="s">
        <v>108</v>
      </c>
      <c r="AC33" s="76" t="s">
        <v>109</v>
      </c>
      <c r="AD33" s="76" t="s">
        <v>110</v>
      </c>
      <c r="AE33" s="76" t="s">
        <v>111</v>
      </c>
      <c r="AF33" s="76" t="s">
        <v>112</v>
      </c>
      <c r="AG33" s="76" t="s">
        <v>113</v>
      </c>
      <c r="AH33" s="76" t="s">
        <v>114</v>
      </c>
      <c r="AI33" s="76" t="s">
        <v>115</v>
      </c>
      <c r="AJ33" s="76" t="s">
        <v>116</v>
      </c>
      <c r="AK33" s="76" t="s">
        <v>117</v>
      </c>
      <c r="AL33" s="76" t="s">
        <v>118</v>
      </c>
      <c r="AM33" s="76" t="s">
        <v>119</v>
      </c>
      <c r="AN33" s="76" t="s">
        <v>120</v>
      </c>
      <c r="AO33" s="76" t="s">
        <v>121</v>
      </c>
      <c r="AP33" s="76" t="s">
        <v>122</v>
      </c>
      <c r="AQ33" s="76" t="s">
        <v>123</v>
      </c>
      <c r="AR33" s="76" t="s">
        <v>124</v>
      </c>
      <c r="AS33" s="76" t="s">
        <v>125</v>
      </c>
      <c r="AT33" s="76" t="s">
        <v>126</v>
      </c>
      <c r="AU33" s="76" t="s">
        <v>127</v>
      </c>
      <c r="AV33" s="76" t="s">
        <v>128</v>
      </c>
      <c r="AW33" s="76" t="s">
        <v>129</v>
      </c>
      <c r="AX33" s="76" t="s">
        <v>130</v>
      </c>
    </row>
    <row r="34" spans="1:50" ht="15" customHeight="1"/>
    <row r="35" spans="1:50" ht="12.95">
      <c r="A35"/>
      <c r="E35" s="11" t="s">
        <v>131</v>
      </c>
      <c r="G35" s="1" t="str">
        <f>$I$6</f>
        <v>£m 2024 prices</v>
      </c>
      <c r="H35" s="64"/>
      <c r="I35" s="64"/>
      <c r="K35" s="65">
        <v>0</v>
      </c>
      <c r="L35" s="65">
        <v>0</v>
      </c>
      <c r="M35" s="65">
        <v>0</v>
      </c>
      <c r="N35" s="65">
        <v>0</v>
      </c>
      <c r="O35" s="65">
        <v>0</v>
      </c>
      <c r="P35" s="65">
        <v>0</v>
      </c>
      <c r="Q35" s="65">
        <v>0</v>
      </c>
      <c r="R35" s="65">
        <v>0.70636143174061439</v>
      </c>
      <c r="S35" s="65">
        <v>0.3786279389931741</v>
      </c>
      <c r="T35" s="65">
        <v>0.19516183788395905</v>
      </c>
      <c r="U35" s="65">
        <v>0.38240210092208138</v>
      </c>
      <c r="V35" s="65">
        <v>0.75803865981368157</v>
      </c>
      <c r="W35" s="65">
        <v>1.3952120623575672</v>
      </c>
      <c r="X35" s="65">
        <v>0.29116085134308672</v>
      </c>
      <c r="Y35" s="65">
        <v>0.2902041345224502</v>
      </c>
      <c r="Z35" s="65">
        <v>1.6171075568311293</v>
      </c>
      <c r="AA35" s="65">
        <v>0.2902041345224502</v>
      </c>
      <c r="AB35" s="65">
        <v>0.29116085134308672</v>
      </c>
      <c r="AC35" s="65">
        <v>0.2902041345224502</v>
      </c>
      <c r="AD35" s="65">
        <v>0.33708325873363693</v>
      </c>
      <c r="AE35" s="65">
        <v>0.85562377551860125</v>
      </c>
      <c r="AF35" s="65">
        <v>1.0403548868105208</v>
      </c>
      <c r="AG35" s="65">
        <v>0.2902041345224502</v>
      </c>
      <c r="AH35" s="65">
        <v>0.32464594006536301</v>
      </c>
      <c r="AI35" s="65">
        <v>1.0106119004617085</v>
      </c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</row>
    <row r="36" spans="1:50" ht="12.95">
      <c r="A36"/>
      <c r="E36" s="11" t="s">
        <v>132</v>
      </c>
      <c r="G36" s="1" t="str">
        <f>$I$6</f>
        <v>£m 2024 prices</v>
      </c>
      <c r="H36" s="64"/>
      <c r="I36" s="64"/>
      <c r="K36" s="65">
        <v>0</v>
      </c>
      <c r="L36" s="65">
        <v>0</v>
      </c>
      <c r="M36" s="65">
        <v>0</v>
      </c>
      <c r="N36" s="65">
        <v>0</v>
      </c>
      <c r="O36" s="65">
        <v>0</v>
      </c>
      <c r="P36" s="65">
        <v>0</v>
      </c>
      <c r="Q36" s="65">
        <v>0</v>
      </c>
      <c r="R36" s="65">
        <v>0</v>
      </c>
      <c r="S36" s="65">
        <v>0</v>
      </c>
      <c r="T36" s="65">
        <v>0</v>
      </c>
      <c r="U36" s="65">
        <v>0</v>
      </c>
      <c r="V36" s="65">
        <v>0</v>
      </c>
      <c r="W36" s="65">
        <v>0</v>
      </c>
      <c r="X36" s="65">
        <v>0</v>
      </c>
      <c r="Y36" s="65">
        <v>0</v>
      </c>
      <c r="Z36" s="65">
        <v>0</v>
      </c>
      <c r="AA36" s="65">
        <v>0</v>
      </c>
      <c r="AB36" s="65">
        <v>0</v>
      </c>
      <c r="AC36" s="65">
        <v>0</v>
      </c>
      <c r="AD36" s="65">
        <v>0</v>
      </c>
      <c r="AE36" s="65">
        <v>0</v>
      </c>
      <c r="AF36" s="65">
        <v>0</v>
      </c>
      <c r="AG36" s="65">
        <v>0</v>
      </c>
      <c r="AH36" s="65">
        <v>0</v>
      </c>
      <c r="AI36" s="65">
        <v>69.337011026225994</v>
      </c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</row>
    <row r="37" spans="1:50" ht="12.95">
      <c r="A37"/>
      <c r="E37" s="11" t="s">
        <v>133</v>
      </c>
      <c r="G37" s="1" t="str">
        <f>$I$6</f>
        <v>£m 2024 prices</v>
      </c>
      <c r="H37" s="64"/>
      <c r="I37" s="64"/>
      <c r="K37" s="65">
        <v>8</v>
      </c>
      <c r="L37" s="65">
        <v>8</v>
      </c>
      <c r="M37" s="65">
        <v>8</v>
      </c>
      <c r="N37" s="65">
        <v>8</v>
      </c>
      <c r="O37" s="65">
        <v>8</v>
      </c>
      <c r="P37" s="65">
        <v>8</v>
      </c>
      <c r="Q37" s="65">
        <v>8</v>
      </c>
      <c r="R37" s="65">
        <v>8</v>
      </c>
      <c r="S37" s="65">
        <v>8</v>
      </c>
      <c r="T37" s="65">
        <v>8</v>
      </c>
      <c r="U37" s="65">
        <v>8</v>
      </c>
      <c r="V37" s="65">
        <v>8</v>
      </c>
      <c r="W37" s="65">
        <v>8</v>
      </c>
      <c r="X37" s="65">
        <v>8</v>
      </c>
      <c r="Y37" s="65">
        <v>8</v>
      </c>
      <c r="Z37" s="65">
        <v>8</v>
      </c>
      <c r="AA37" s="65">
        <v>8</v>
      </c>
      <c r="AB37" s="65">
        <v>8</v>
      </c>
      <c r="AC37" s="65">
        <v>8</v>
      </c>
      <c r="AD37" s="65">
        <v>8</v>
      </c>
      <c r="AE37" s="65">
        <v>8</v>
      </c>
      <c r="AF37" s="65">
        <v>8</v>
      </c>
      <c r="AG37" s="65">
        <v>8</v>
      </c>
      <c r="AH37" s="65">
        <v>8</v>
      </c>
      <c r="AI37" s="65">
        <v>8</v>
      </c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</row>
    <row r="38" spans="1:50" ht="12.95">
      <c r="E38" s="11" t="s">
        <v>134</v>
      </c>
      <c r="G38" s="1" t="str">
        <f>$I$6</f>
        <v>£m 2024 prices</v>
      </c>
      <c r="H38" s="64"/>
      <c r="I38" s="64"/>
      <c r="K38" s="65">
        <v>0</v>
      </c>
      <c r="L38" s="65">
        <v>0</v>
      </c>
      <c r="M38" s="65">
        <v>0</v>
      </c>
      <c r="N38" s="65">
        <v>0</v>
      </c>
      <c r="O38" s="65">
        <v>0</v>
      </c>
      <c r="P38" s="65">
        <v>0</v>
      </c>
      <c r="Q38" s="65">
        <v>0</v>
      </c>
      <c r="R38" s="65">
        <v>0</v>
      </c>
      <c r="S38" s="65">
        <v>0</v>
      </c>
      <c r="T38" s="65">
        <v>0</v>
      </c>
      <c r="U38" s="65">
        <v>0</v>
      </c>
      <c r="V38" s="65">
        <v>0</v>
      </c>
      <c r="W38" s="65">
        <v>0</v>
      </c>
      <c r="X38" s="65">
        <v>0</v>
      </c>
      <c r="Y38" s="65">
        <v>0</v>
      </c>
      <c r="Z38" s="65">
        <v>0</v>
      </c>
      <c r="AA38" s="65">
        <v>0</v>
      </c>
      <c r="AB38" s="65">
        <v>0</v>
      </c>
      <c r="AC38" s="65">
        <v>0</v>
      </c>
      <c r="AD38" s="65">
        <v>0</v>
      </c>
      <c r="AE38" s="65">
        <v>0</v>
      </c>
      <c r="AF38" s="65">
        <v>0</v>
      </c>
      <c r="AG38" s="65">
        <v>0</v>
      </c>
      <c r="AH38" s="65">
        <v>0</v>
      </c>
      <c r="AI38" s="65">
        <v>0</v>
      </c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</row>
    <row r="39" spans="1:50" ht="15" customHeight="1">
      <c r="I39" s="64"/>
    </row>
    <row r="40" spans="1:50" ht="15" customHeight="1">
      <c r="A40" s="1"/>
      <c r="B40" s="12" t="s">
        <v>135</v>
      </c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</row>
    <row r="41" spans="1:50" ht="15" customHeight="1">
      <c r="A41" s="1"/>
      <c r="B41" s="1"/>
      <c r="C41" s="1"/>
      <c r="D41" s="1"/>
      <c r="E41" s="1"/>
      <c r="F41" s="1"/>
      <c r="G41" s="1"/>
      <c r="H41" s="1"/>
      <c r="I41" s="80"/>
      <c r="J41" s="80"/>
      <c r="K41" s="1"/>
      <c r="L41" s="1"/>
      <c r="M41" s="1"/>
      <c r="N41" s="1"/>
      <c r="O41" s="1"/>
      <c r="P41" s="80"/>
      <c r="Q41" s="80"/>
      <c r="R41" s="80"/>
      <c r="S41" s="1"/>
      <c r="T41" s="1"/>
      <c r="U41" s="1"/>
      <c r="V41" s="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</row>
    <row r="42" spans="1:50" ht="15" customHeight="1">
      <c r="A42" s="1"/>
      <c r="B42" s="1"/>
      <c r="C42" s="56" t="s">
        <v>28</v>
      </c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</row>
    <row r="43" spans="1:50" ht="15" customHeight="1">
      <c r="A43" s="1"/>
      <c r="B43" s="1"/>
      <c r="C43" s="1"/>
      <c r="D43" s="1"/>
      <c r="E43" s="1"/>
      <c r="F43" s="1"/>
      <c r="G43" s="1"/>
      <c r="H43" s="1"/>
      <c r="I43" s="80"/>
      <c r="J43" s="80"/>
      <c r="P43" s="80"/>
      <c r="Y43" s="81"/>
      <c r="Z43" s="81"/>
      <c r="AA43" s="81"/>
      <c r="AB43" s="81"/>
      <c r="AC43" s="81"/>
      <c r="AD43" s="81"/>
      <c r="AE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</row>
    <row r="44" spans="1:50" ht="12.95">
      <c r="A44"/>
      <c r="E44" s="11" t="s">
        <v>136</v>
      </c>
      <c r="G44" s="1" t="s">
        <v>137</v>
      </c>
      <c r="I44" s="82">
        <v>7.3099999999999998E-2</v>
      </c>
      <c r="P44" s="80"/>
    </row>
    <row r="45" spans="1:50" ht="15" customHeight="1">
      <c r="E45" s="11" t="s">
        <v>138</v>
      </c>
      <c r="F45" s="1"/>
      <c r="G45" s="1" t="s">
        <v>137</v>
      </c>
      <c r="I45" s="82">
        <v>4.4699999999999997E-2</v>
      </c>
      <c r="P45" s="80"/>
    </row>
    <row r="46" spans="1:50" ht="15" customHeight="1">
      <c r="E46" s="11" t="s">
        <v>139</v>
      </c>
      <c r="G46" s="1" t="s">
        <v>137</v>
      </c>
      <c r="I46" s="219">
        <f>I45</f>
        <v>4.4699999999999997E-2</v>
      </c>
      <c r="P46" s="80"/>
    </row>
    <row r="47" spans="1:50" ht="15" customHeight="1">
      <c r="F47" s="1"/>
      <c r="G47" s="1"/>
      <c r="P47" s="80"/>
    </row>
    <row r="48" spans="1:50" ht="15" customHeight="1">
      <c r="E48" s="11" t="s">
        <v>140</v>
      </c>
      <c r="G48" s="1" t="s">
        <v>137</v>
      </c>
      <c r="I48" s="82">
        <v>5.3800000000000001E-2</v>
      </c>
      <c r="P48" s="80"/>
    </row>
    <row r="49" spans="1:50" ht="15" customHeight="1">
      <c r="E49" s="11" t="s">
        <v>141</v>
      </c>
      <c r="G49" s="1" t="s">
        <v>142</v>
      </c>
      <c r="I49" s="82">
        <v>1.5E-3</v>
      </c>
      <c r="P49" s="80"/>
    </row>
    <row r="50" spans="1:50" ht="15" customHeight="1">
      <c r="E50" s="11" t="s">
        <v>143</v>
      </c>
      <c r="G50" s="1" t="s">
        <v>137</v>
      </c>
      <c r="I50" s="219" cm="1">
        <f t="array" ref="I50">_xlfn.IFS(I131="Yes",I48-(I49*I138),I131="No",I48)</f>
        <v>5.3800000000000001E-2</v>
      </c>
      <c r="P50" s="80"/>
    </row>
    <row r="51" spans="1:50" ht="15" customHeight="1">
      <c r="G51" s="1"/>
      <c r="I51" s="83"/>
      <c r="P51" s="80"/>
    </row>
    <row r="52" spans="1:50" ht="12.95">
      <c r="A52"/>
      <c r="E52" s="11" t="s">
        <v>144</v>
      </c>
      <c r="G52" s="1" t="s">
        <v>142</v>
      </c>
      <c r="I52" s="82">
        <v>0.375</v>
      </c>
      <c r="P52" s="80"/>
    </row>
    <row r="53" spans="1:50" ht="12.95">
      <c r="A53"/>
      <c r="E53" s="11" t="s">
        <v>145</v>
      </c>
      <c r="G53" s="1" t="s">
        <v>142</v>
      </c>
      <c r="I53" s="82">
        <v>0.5</v>
      </c>
      <c r="P53" s="80"/>
    </row>
    <row r="54" spans="1:50" ht="15" customHeight="1">
      <c r="E54" s="84"/>
      <c r="G54" s="1"/>
      <c r="I54" s="85"/>
      <c r="K54" s="52"/>
      <c r="P54" s="80"/>
      <c r="Q54" s="80"/>
    </row>
    <row r="55" spans="1:50" ht="15" customHeight="1">
      <c r="E55" s="11" t="s">
        <v>146</v>
      </c>
      <c r="G55" s="1" t="s">
        <v>142</v>
      </c>
      <c r="I55" s="82">
        <v>0.05</v>
      </c>
      <c r="K55" s="52"/>
      <c r="P55" s="80"/>
      <c r="Q55" s="80"/>
    </row>
    <row r="56" spans="1:50" ht="15" customHeight="1">
      <c r="E56" s="11" t="s">
        <v>147</v>
      </c>
      <c r="G56" s="1" t="s">
        <v>142</v>
      </c>
      <c r="I56" s="82">
        <v>2.5000000000000001E-2</v>
      </c>
      <c r="K56" s="52"/>
      <c r="P56" s="80"/>
      <c r="Q56" s="80"/>
    </row>
    <row r="57" spans="1:50" ht="15" customHeight="1">
      <c r="G57" s="1"/>
      <c r="I57" s="77"/>
      <c r="P57" s="80"/>
      <c r="Q57" s="80"/>
    </row>
    <row r="58" spans="1:50" ht="15" customHeight="1">
      <c r="A58" s="23"/>
      <c r="B58" s="1"/>
      <c r="C58" s="56" t="s">
        <v>148</v>
      </c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</row>
    <row r="59" spans="1:50" ht="15" customHeight="1">
      <c r="A59" s="86"/>
    </row>
    <row r="60" spans="1:50" ht="26.1">
      <c r="A60" s="86"/>
      <c r="E60" s="11" t="s">
        <v>149</v>
      </c>
      <c r="G60" s="74" t="s">
        <v>150</v>
      </c>
      <c r="I60" s="87">
        <v>1</v>
      </c>
    </row>
    <row r="61" spans="1:50" ht="15" customHeight="1">
      <c r="A61" s="86"/>
      <c r="E61" s="11" t="s">
        <v>151</v>
      </c>
      <c r="G61" s="11" t="s">
        <v>77</v>
      </c>
      <c r="I61" s="207">
        <v>500</v>
      </c>
    </row>
    <row r="62" spans="1:50" ht="15" customHeight="1">
      <c r="A62" s="86"/>
      <c r="E62" s="11" t="s">
        <v>152</v>
      </c>
      <c r="G62" s="11" t="s">
        <v>142</v>
      </c>
      <c r="I62" s="208">
        <v>0.8</v>
      </c>
    </row>
    <row r="63" spans="1:50" ht="15" customHeight="1">
      <c r="A63" s="86"/>
    </row>
    <row r="64" spans="1:50" ht="15" customHeight="1">
      <c r="A64" s="86"/>
      <c r="E64" s="1" t="s">
        <v>153</v>
      </c>
      <c r="G64" s="11" t="s">
        <v>142</v>
      </c>
      <c r="I64" s="82">
        <v>1</v>
      </c>
    </row>
    <row r="65" spans="1:50" ht="15" customHeight="1">
      <c r="A65" s="86"/>
    </row>
    <row r="66" spans="1:50" ht="15" customHeight="1">
      <c r="A66" s="86"/>
      <c r="E66" s="11" t="s">
        <v>154</v>
      </c>
      <c r="G66" s="11" t="s">
        <v>155</v>
      </c>
      <c r="I66" s="209">
        <v>25</v>
      </c>
    </row>
    <row r="67" spans="1:50" ht="15" customHeight="1">
      <c r="A67" s="86"/>
      <c r="E67" s="11" t="s">
        <v>156</v>
      </c>
      <c r="G67" s="11" t="s">
        <v>155</v>
      </c>
      <c r="I67" s="209">
        <v>2.0499999999999998</v>
      </c>
    </row>
    <row r="68" spans="1:50" ht="15" customHeight="1">
      <c r="A68" s="86"/>
      <c r="E68" s="11" t="s">
        <v>157</v>
      </c>
      <c r="G68" s="1" t="s">
        <v>158</v>
      </c>
      <c r="I68" s="209">
        <v>1.2</v>
      </c>
    </row>
    <row r="69" spans="1:50" ht="15" customHeight="1">
      <c r="A69" s="86"/>
    </row>
    <row r="70" spans="1:50" ht="15" customHeight="1">
      <c r="A70" s="86"/>
      <c r="E70" s="11" t="s">
        <v>159</v>
      </c>
      <c r="G70" s="1" t="s">
        <v>160</v>
      </c>
      <c r="I70" s="82">
        <v>0.04</v>
      </c>
      <c r="P70" s="80"/>
      <c r="Q70" s="80"/>
    </row>
    <row r="71" spans="1:50" ht="15" customHeight="1">
      <c r="A71" s="86"/>
      <c r="E71" s="11" t="s">
        <v>161</v>
      </c>
      <c r="G71" s="1" t="s">
        <v>160</v>
      </c>
      <c r="I71" s="82">
        <v>0.04</v>
      </c>
      <c r="P71" s="80"/>
      <c r="Q71" s="80"/>
    </row>
    <row r="72" spans="1:50" ht="15" customHeight="1">
      <c r="A72" s="86"/>
      <c r="I72" s="88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89"/>
      <c r="AD72" s="89"/>
      <c r="AE72" s="89"/>
      <c r="AF72" s="89"/>
      <c r="AG72" s="89"/>
      <c r="AH72" s="89"/>
      <c r="AI72" s="89"/>
      <c r="AJ72" s="89"/>
      <c r="AK72" s="89"/>
      <c r="AL72" s="89"/>
      <c r="AM72" s="89"/>
      <c r="AN72" s="89"/>
      <c r="AO72" s="89"/>
      <c r="AP72" s="89"/>
      <c r="AQ72" s="89"/>
      <c r="AR72" s="89"/>
      <c r="AS72" s="89"/>
      <c r="AT72" s="89"/>
      <c r="AU72" s="89"/>
      <c r="AV72" s="89"/>
      <c r="AW72" s="89"/>
      <c r="AX72" s="89"/>
    </row>
    <row r="73" spans="1:50" ht="15" customHeight="1">
      <c r="A73" s="86"/>
      <c r="E73" s="11" t="s">
        <v>162</v>
      </c>
      <c r="G73" s="1" t="s">
        <v>160</v>
      </c>
      <c r="I73" s="82">
        <v>1.7999999999999999E-2</v>
      </c>
    </row>
    <row r="74" spans="1:50" ht="15" customHeight="1">
      <c r="A74" s="86"/>
      <c r="E74" s="90" t="s">
        <v>163</v>
      </c>
      <c r="F74" s="90"/>
      <c r="G74" s="91" t="s">
        <v>160</v>
      </c>
      <c r="H74" s="90"/>
      <c r="I74" s="210">
        <v>2E-3</v>
      </c>
    </row>
    <row r="75" spans="1:50" ht="15" customHeight="1">
      <c r="A75" s="92"/>
      <c r="B75"/>
      <c r="C75"/>
      <c r="D75"/>
      <c r="E75" s="11" t="s">
        <v>164</v>
      </c>
      <c r="G75" s="1" t="s">
        <v>160</v>
      </c>
      <c r="I75" s="82">
        <v>1.4999999999999999E-2</v>
      </c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</row>
    <row r="76" spans="1:50" ht="15" customHeight="1">
      <c r="A76" s="86"/>
      <c r="E76" s="11" t="s">
        <v>165</v>
      </c>
      <c r="G76" s="1" t="s">
        <v>166</v>
      </c>
      <c r="I76" s="82">
        <v>0.35</v>
      </c>
      <c r="P76" s="80"/>
    </row>
    <row r="77" spans="1:50" ht="15" customHeight="1">
      <c r="A77" s="86"/>
      <c r="G77" s="1"/>
      <c r="I77" s="83"/>
      <c r="P77" s="80"/>
      <c r="U77"/>
      <c r="V77"/>
      <c r="W77"/>
      <c r="X77"/>
      <c r="Y77"/>
      <c r="Z77"/>
    </row>
    <row r="78" spans="1:50" ht="15" customHeight="1">
      <c r="A78" s="86"/>
      <c r="E78" s="11" t="s">
        <v>167</v>
      </c>
      <c r="G78" s="1" t="s">
        <v>168</v>
      </c>
      <c r="I78" s="83"/>
      <c r="K78" s="38">
        <v>1</v>
      </c>
      <c r="L78" s="38">
        <v>2</v>
      </c>
      <c r="M78" s="38">
        <v>3</v>
      </c>
      <c r="N78" s="38">
        <v>4</v>
      </c>
      <c r="O78" s="38">
        <v>5</v>
      </c>
      <c r="P78" s="38">
        <v>6</v>
      </c>
      <c r="Q78" s="38">
        <v>7</v>
      </c>
      <c r="R78" s="38">
        <v>8</v>
      </c>
      <c r="S78" s="38">
        <v>9</v>
      </c>
      <c r="T78" s="38">
        <v>10</v>
      </c>
      <c r="U78"/>
      <c r="V78"/>
      <c r="W78"/>
      <c r="X78"/>
      <c r="Y78"/>
      <c r="Z78"/>
    </row>
    <row r="79" spans="1:50" ht="15" customHeight="1">
      <c r="A79" s="86"/>
      <c r="E79" s="11" t="s">
        <v>169</v>
      </c>
      <c r="G79" s="1" t="s">
        <v>142</v>
      </c>
      <c r="I79" s="83"/>
      <c r="K79" s="82">
        <v>0.25</v>
      </c>
      <c r="L79" s="82">
        <v>0.3</v>
      </c>
      <c r="M79" s="82">
        <v>0.3</v>
      </c>
      <c r="N79" s="82">
        <v>0.15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/>
      <c r="V79"/>
      <c r="W79"/>
      <c r="X79"/>
      <c r="Y79"/>
      <c r="Z79"/>
    </row>
    <row r="80" spans="1:50" ht="15" customHeight="1">
      <c r="A80" s="92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</row>
    <row r="81" spans="1:50" ht="15" customHeight="1">
      <c r="A81" s="86"/>
      <c r="E81" s="1" t="s">
        <v>170</v>
      </c>
      <c r="G81" s="11" t="s">
        <v>77</v>
      </c>
      <c r="I81" s="211">
        <v>50</v>
      </c>
      <c r="U81"/>
      <c r="V81"/>
      <c r="W81"/>
      <c r="X81"/>
      <c r="Y81"/>
      <c r="Z81"/>
    </row>
    <row r="82" spans="1:50" ht="15" customHeight="1">
      <c r="A82" s="92"/>
      <c r="B82"/>
      <c r="C82"/>
      <c r="D82"/>
      <c r="E82" s="11" t="s">
        <v>171</v>
      </c>
      <c r="G82" s="1" t="s">
        <v>160</v>
      </c>
      <c r="I82" s="82">
        <v>1.4999999999999999E-2</v>
      </c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</row>
    <row r="83" spans="1:50" ht="15" customHeight="1">
      <c r="A83" s="92"/>
      <c r="B83"/>
      <c r="C83"/>
      <c r="D83"/>
      <c r="E83" s="11" t="s">
        <v>172</v>
      </c>
      <c r="G83" s="1" t="s">
        <v>160</v>
      </c>
      <c r="I83" s="82">
        <v>1.7999999999999999E-2</v>
      </c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</row>
    <row r="84" spans="1:50" ht="15" customHeight="1">
      <c r="A84" s="86"/>
      <c r="E84" s="11" t="s">
        <v>173</v>
      </c>
      <c r="G84" s="1" t="s">
        <v>166</v>
      </c>
      <c r="I84" s="82">
        <v>0.35</v>
      </c>
      <c r="P84" s="80"/>
    </row>
    <row r="85" spans="1:50" ht="15" customHeight="1">
      <c r="A85" s="92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</row>
    <row r="86" spans="1:50" ht="15" customHeight="1">
      <c r="A86" s="86"/>
      <c r="E86" s="1" t="s">
        <v>174</v>
      </c>
      <c r="G86" s="11" t="s">
        <v>77</v>
      </c>
      <c r="I86" s="211">
        <v>30</v>
      </c>
    </row>
    <row r="87" spans="1:50" ht="14.25" customHeight="1">
      <c r="A87" s="86"/>
      <c r="B87" s="93"/>
      <c r="C87" s="93"/>
      <c r="E87" s="1" t="s">
        <v>175</v>
      </c>
      <c r="G87" s="11" t="s">
        <v>77</v>
      </c>
      <c r="I87" s="87">
        <v>5</v>
      </c>
    </row>
    <row r="88" spans="1:50" ht="15" customHeight="1">
      <c r="A88" s="92"/>
      <c r="B88"/>
      <c r="C88"/>
      <c r="D88"/>
      <c r="E88" s="11" t="s">
        <v>176</v>
      </c>
      <c r="G88" s="1" t="s">
        <v>160</v>
      </c>
      <c r="I88" s="82">
        <v>1.4999999999999999E-2</v>
      </c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</row>
    <row r="89" spans="1:50" ht="15" customHeight="1">
      <c r="A89" s="92"/>
      <c r="B89"/>
      <c r="C89"/>
      <c r="D89"/>
      <c r="E89" s="11" t="s">
        <v>177</v>
      </c>
      <c r="G89" s="1" t="s">
        <v>160</v>
      </c>
      <c r="I89" s="82">
        <v>1.7999999999999999E-2</v>
      </c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</row>
    <row r="90" spans="1:50" ht="15" customHeight="1">
      <c r="A90" s="86"/>
      <c r="E90" s="11" t="s">
        <v>178</v>
      </c>
      <c r="G90" s="1" t="s">
        <v>166</v>
      </c>
      <c r="I90" s="82">
        <v>0.35</v>
      </c>
      <c r="P90" s="80"/>
    </row>
    <row r="91" spans="1:50" ht="15" customHeight="1">
      <c r="A91" s="92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</row>
    <row r="92" spans="1:50" ht="15" customHeight="1">
      <c r="A92" s="92"/>
      <c r="B92"/>
      <c r="C92"/>
      <c r="D92"/>
      <c r="E92" s="1" t="s">
        <v>179</v>
      </c>
      <c r="G92" s="11" t="s">
        <v>77</v>
      </c>
      <c r="I92" s="87">
        <v>40</v>
      </c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</row>
    <row r="93" spans="1:50" ht="15" customHeight="1">
      <c r="A93" s="92"/>
      <c r="B93"/>
      <c r="C93"/>
      <c r="D93"/>
      <c r="E93" s="11" t="s">
        <v>180</v>
      </c>
      <c r="G93" s="1" t="s">
        <v>160</v>
      </c>
      <c r="I93" s="82">
        <v>1.4999999999999999E-2</v>
      </c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</row>
    <row r="94" spans="1:50" ht="15" customHeight="1">
      <c r="A94" s="92"/>
      <c r="B94"/>
      <c r="C94"/>
      <c r="D94"/>
      <c r="E94" s="11" t="s">
        <v>181</v>
      </c>
      <c r="G94" s="1" t="s">
        <v>160</v>
      </c>
      <c r="I94" s="82">
        <v>1.6199999999999999E-2</v>
      </c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</row>
    <row r="95" spans="1:50" ht="15" customHeight="1">
      <c r="A95" s="92"/>
      <c r="B95"/>
      <c r="C95"/>
      <c r="D95"/>
      <c r="E95" s="11" t="s">
        <v>182</v>
      </c>
      <c r="G95" s="1" t="s">
        <v>166</v>
      </c>
      <c r="I95" s="82">
        <v>0.35</v>
      </c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</row>
    <row r="96" spans="1:50" ht="15" customHeight="1">
      <c r="A96" s="92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</row>
    <row r="97" spans="1:50" ht="15" customHeight="1">
      <c r="A97" s="92"/>
      <c r="B97"/>
      <c r="C97"/>
      <c r="D97"/>
      <c r="E97" s="11" t="s">
        <v>183</v>
      </c>
      <c r="G97" s="11" t="s">
        <v>77</v>
      </c>
      <c r="I97" s="87">
        <v>10</v>
      </c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</row>
    <row r="98" spans="1:50" ht="15" customHeight="1">
      <c r="A98" s="92"/>
      <c r="B98"/>
      <c r="C98"/>
      <c r="D98"/>
      <c r="E98" s="11" t="s">
        <v>184</v>
      </c>
      <c r="G98" s="11" t="s">
        <v>77</v>
      </c>
      <c r="I98" s="211">
        <v>5</v>
      </c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</row>
    <row r="99" spans="1:50" ht="15" customHeight="1">
      <c r="A99" s="92"/>
      <c r="B99"/>
      <c r="C99"/>
      <c r="D99"/>
      <c r="E99" s="11" t="s">
        <v>185</v>
      </c>
      <c r="G99" s="1" t="s">
        <v>160</v>
      </c>
      <c r="I99" s="212">
        <v>1.0999999999999999E-2</v>
      </c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</row>
    <row r="100" spans="1:50" ht="15" customHeight="1">
      <c r="A100" s="92"/>
      <c r="B100"/>
      <c r="C100"/>
      <c r="D100"/>
      <c r="E100" s="11" t="s">
        <v>186</v>
      </c>
      <c r="G100" s="1" t="s">
        <v>160</v>
      </c>
      <c r="I100" s="212">
        <v>1.0999999999999999E-2</v>
      </c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</row>
    <row r="101" spans="1:50" ht="15" customHeight="1">
      <c r="A101" s="92"/>
      <c r="B101"/>
      <c r="C101"/>
      <c r="D101"/>
      <c r="E101" s="11" t="s">
        <v>187</v>
      </c>
      <c r="G101" s="1" t="s">
        <v>166</v>
      </c>
      <c r="I101" s="212">
        <v>0.35</v>
      </c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</row>
    <row r="102" spans="1:50" ht="15" customHeight="1">
      <c r="A102" s="9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</row>
    <row r="103" spans="1:50" ht="15" customHeight="1">
      <c r="A103" s="92"/>
      <c r="B103"/>
      <c r="C103"/>
      <c r="D103"/>
      <c r="E103" s="1" t="s">
        <v>188</v>
      </c>
      <c r="G103" s="11" t="s">
        <v>77</v>
      </c>
      <c r="I103" s="87">
        <v>0</v>
      </c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</row>
    <row r="104" spans="1:50" ht="15" customHeight="1">
      <c r="A104" s="92"/>
      <c r="B104"/>
      <c r="C104"/>
      <c r="D104"/>
      <c r="E104" s="11" t="s">
        <v>189</v>
      </c>
      <c r="G104" s="1" t="s">
        <v>160</v>
      </c>
      <c r="I104" s="213">
        <v>0</v>
      </c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</row>
    <row r="105" spans="1:50" ht="15" customHeight="1">
      <c r="A105" s="92"/>
      <c r="B105"/>
      <c r="C105"/>
      <c r="D105"/>
      <c r="E105" s="11" t="s">
        <v>190</v>
      </c>
      <c r="G105" s="1" t="s">
        <v>160</v>
      </c>
      <c r="I105" s="213">
        <v>0</v>
      </c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</row>
    <row r="106" spans="1:50" ht="15" customHeight="1">
      <c r="A106" s="92"/>
      <c r="B106"/>
      <c r="C106"/>
      <c r="D106"/>
      <c r="E106" s="11" t="s">
        <v>191</v>
      </c>
      <c r="G106" s="1" t="s">
        <v>166</v>
      </c>
      <c r="I106" s="213">
        <v>0</v>
      </c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</row>
    <row r="107" spans="1:50" ht="15" customHeight="1">
      <c r="A107" s="92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</row>
    <row r="108" spans="1:50" ht="26.1">
      <c r="A108" s="92"/>
      <c r="B108"/>
      <c r="C108"/>
      <c r="D108"/>
      <c r="E108" s="11" t="s">
        <v>192</v>
      </c>
      <c r="G108" s="74" t="s">
        <v>193</v>
      </c>
      <c r="I108" s="87">
        <v>1</v>
      </c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</row>
    <row r="109" spans="1:50" ht="26.1">
      <c r="A109" s="92"/>
      <c r="B109"/>
      <c r="C109"/>
      <c r="D109"/>
      <c r="E109" s="11" t="s">
        <v>194</v>
      </c>
      <c r="G109" s="74" t="s">
        <v>195</v>
      </c>
      <c r="I109" s="87">
        <v>2</v>
      </c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</row>
    <row r="110" spans="1:50" ht="15" customHeight="1">
      <c r="A110" s="92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</row>
    <row r="111" spans="1:50" ht="15" customHeight="1">
      <c r="A111" s="57"/>
      <c r="B111" s="57"/>
      <c r="C111" s="57"/>
      <c r="D111" s="57"/>
      <c r="E111" s="58" t="s">
        <v>74</v>
      </c>
      <c r="F111" s="59"/>
      <c r="G111" s="59"/>
      <c r="H111" s="59"/>
      <c r="I111" s="59"/>
      <c r="J111" s="57"/>
      <c r="K111" s="60">
        <f>$I$133</f>
        <v>45658</v>
      </c>
      <c r="L111" s="61">
        <f t="shared" ref="L111:AX111" si="37">+K112+1</f>
        <v>46023</v>
      </c>
      <c r="M111" s="61">
        <f t="shared" si="37"/>
        <v>46388</v>
      </c>
      <c r="N111" s="61">
        <f t="shared" si="37"/>
        <v>46753</v>
      </c>
      <c r="O111" s="61">
        <f t="shared" si="37"/>
        <v>47119</v>
      </c>
      <c r="P111" s="61">
        <f t="shared" si="37"/>
        <v>47484</v>
      </c>
      <c r="Q111" s="61">
        <f t="shared" si="37"/>
        <v>47849</v>
      </c>
      <c r="R111" s="61">
        <f t="shared" si="37"/>
        <v>48214</v>
      </c>
      <c r="S111" s="61">
        <f t="shared" si="37"/>
        <v>48580</v>
      </c>
      <c r="T111" s="61">
        <f t="shared" si="37"/>
        <v>48945</v>
      </c>
      <c r="U111" s="61">
        <f t="shared" si="37"/>
        <v>49310</v>
      </c>
      <c r="V111" s="61">
        <f t="shared" si="37"/>
        <v>49675</v>
      </c>
      <c r="W111" s="61">
        <f t="shared" si="37"/>
        <v>50041</v>
      </c>
      <c r="X111" s="61">
        <f t="shared" si="37"/>
        <v>50406</v>
      </c>
      <c r="Y111" s="61">
        <f t="shared" si="37"/>
        <v>50771</v>
      </c>
      <c r="Z111" s="61">
        <f t="shared" si="37"/>
        <v>51136</v>
      </c>
      <c r="AA111" s="61">
        <f t="shared" si="37"/>
        <v>51502</v>
      </c>
      <c r="AB111" s="61">
        <f t="shared" si="37"/>
        <v>51867</v>
      </c>
      <c r="AC111" s="61">
        <f t="shared" si="37"/>
        <v>52232</v>
      </c>
      <c r="AD111" s="61">
        <f t="shared" si="37"/>
        <v>52597</v>
      </c>
      <c r="AE111" s="61">
        <f t="shared" si="37"/>
        <v>52963</v>
      </c>
      <c r="AF111" s="61">
        <f t="shared" si="37"/>
        <v>53328</v>
      </c>
      <c r="AG111" s="61">
        <f t="shared" si="37"/>
        <v>53693</v>
      </c>
      <c r="AH111" s="61">
        <f t="shared" si="37"/>
        <v>54058</v>
      </c>
      <c r="AI111" s="61">
        <f t="shared" si="37"/>
        <v>54424</v>
      </c>
      <c r="AJ111" s="61">
        <f t="shared" si="37"/>
        <v>54789</v>
      </c>
      <c r="AK111" s="61">
        <f t="shared" si="37"/>
        <v>55154</v>
      </c>
      <c r="AL111" s="61">
        <f t="shared" si="37"/>
        <v>55519</v>
      </c>
      <c r="AM111" s="61">
        <f t="shared" si="37"/>
        <v>55885</v>
      </c>
      <c r="AN111" s="61">
        <f t="shared" si="37"/>
        <v>56250</v>
      </c>
      <c r="AO111" s="61">
        <f t="shared" si="37"/>
        <v>56615</v>
      </c>
      <c r="AP111" s="61">
        <f t="shared" si="37"/>
        <v>56980</v>
      </c>
      <c r="AQ111" s="61">
        <f t="shared" si="37"/>
        <v>57346</v>
      </c>
      <c r="AR111" s="61">
        <f t="shared" si="37"/>
        <v>57711</v>
      </c>
      <c r="AS111" s="61">
        <f t="shared" si="37"/>
        <v>58076</v>
      </c>
      <c r="AT111" s="61">
        <f t="shared" si="37"/>
        <v>58441</v>
      </c>
      <c r="AU111" s="61">
        <f t="shared" si="37"/>
        <v>58807</v>
      </c>
      <c r="AV111" s="61">
        <f t="shared" si="37"/>
        <v>59172</v>
      </c>
      <c r="AW111" s="61">
        <f t="shared" si="37"/>
        <v>59537</v>
      </c>
      <c r="AX111" s="61">
        <f t="shared" si="37"/>
        <v>59902</v>
      </c>
    </row>
    <row r="112" spans="1:50" ht="15" customHeight="1">
      <c r="A112" s="62"/>
      <c r="B112" s="62"/>
      <c r="C112" s="62"/>
      <c r="D112" s="62"/>
      <c r="E112" s="58" t="s">
        <v>75</v>
      </c>
      <c r="F112" s="62"/>
      <c r="G112" s="62"/>
      <c r="H112" s="62"/>
      <c r="I112" s="63"/>
      <c r="J112" s="62"/>
      <c r="K112" s="60">
        <f>EOMONTH(K111,11)</f>
        <v>46022</v>
      </c>
      <c r="L112" s="61">
        <f t="shared" ref="L112:AX112" si="38">DATE(YEAR(K112) + 1, MONTH(K112), DAY(K112))</f>
        <v>46387</v>
      </c>
      <c r="M112" s="61">
        <f t="shared" si="38"/>
        <v>46752</v>
      </c>
      <c r="N112" s="61">
        <f t="shared" si="38"/>
        <v>47118</v>
      </c>
      <c r="O112" s="61">
        <f t="shared" si="38"/>
        <v>47483</v>
      </c>
      <c r="P112" s="61">
        <f t="shared" si="38"/>
        <v>47848</v>
      </c>
      <c r="Q112" s="61">
        <f t="shared" si="38"/>
        <v>48213</v>
      </c>
      <c r="R112" s="61">
        <f t="shared" si="38"/>
        <v>48579</v>
      </c>
      <c r="S112" s="61">
        <f t="shared" si="38"/>
        <v>48944</v>
      </c>
      <c r="T112" s="61">
        <f t="shared" si="38"/>
        <v>49309</v>
      </c>
      <c r="U112" s="61">
        <f t="shared" si="38"/>
        <v>49674</v>
      </c>
      <c r="V112" s="61">
        <f t="shared" si="38"/>
        <v>50040</v>
      </c>
      <c r="W112" s="61">
        <f t="shared" si="38"/>
        <v>50405</v>
      </c>
      <c r="X112" s="61">
        <f t="shared" si="38"/>
        <v>50770</v>
      </c>
      <c r="Y112" s="61">
        <f t="shared" si="38"/>
        <v>51135</v>
      </c>
      <c r="Z112" s="61">
        <f t="shared" si="38"/>
        <v>51501</v>
      </c>
      <c r="AA112" s="61">
        <f t="shared" si="38"/>
        <v>51866</v>
      </c>
      <c r="AB112" s="61">
        <f t="shared" si="38"/>
        <v>52231</v>
      </c>
      <c r="AC112" s="61">
        <f t="shared" si="38"/>
        <v>52596</v>
      </c>
      <c r="AD112" s="61">
        <f t="shared" si="38"/>
        <v>52962</v>
      </c>
      <c r="AE112" s="61">
        <f t="shared" si="38"/>
        <v>53327</v>
      </c>
      <c r="AF112" s="61">
        <f t="shared" si="38"/>
        <v>53692</v>
      </c>
      <c r="AG112" s="61">
        <f t="shared" si="38"/>
        <v>54057</v>
      </c>
      <c r="AH112" s="61">
        <f t="shared" si="38"/>
        <v>54423</v>
      </c>
      <c r="AI112" s="61">
        <f t="shared" si="38"/>
        <v>54788</v>
      </c>
      <c r="AJ112" s="61">
        <f t="shared" si="38"/>
        <v>55153</v>
      </c>
      <c r="AK112" s="61">
        <f t="shared" si="38"/>
        <v>55518</v>
      </c>
      <c r="AL112" s="61">
        <f t="shared" si="38"/>
        <v>55884</v>
      </c>
      <c r="AM112" s="61">
        <f t="shared" si="38"/>
        <v>56249</v>
      </c>
      <c r="AN112" s="61">
        <f t="shared" si="38"/>
        <v>56614</v>
      </c>
      <c r="AO112" s="61">
        <f t="shared" si="38"/>
        <v>56979</v>
      </c>
      <c r="AP112" s="61">
        <f t="shared" si="38"/>
        <v>57345</v>
      </c>
      <c r="AQ112" s="61">
        <f t="shared" si="38"/>
        <v>57710</v>
      </c>
      <c r="AR112" s="61">
        <f t="shared" si="38"/>
        <v>58075</v>
      </c>
      <c r="AS112" s="61">
        <f t="shared" si="38"/>
        <v>58440</v>
      </c>
      <c r="AT112" s="61">
        <f t="shared" si="38"/>
        <v>58806</v>
      </c>
      <c r="AU112" s="61">
        <f t="shared" si="38"/>
        <v>59171</v>
      </c>
      <c r="AV112" s="61">
        <f t="shared" si="38"/>
        <v>59536</v>
      </c>
      <c r="AW112" s="61">
        <f t="shared" si="38"/>
        <v>59901</v>
      </c>
      <c r="AX112" s="61">
        <f t="shared" si="38"/>
        <v>60267</v>
      </c>
    </row>
    <row r="113" spans="1:50" ht="1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</row>
    <row r="114" spans="1:50" ht="15" customHeight="1">
      <c r="A114" s="23"/>
      <c r="B114" s="94"/>
      <c r="C114" s="1"/>
      <c r="D114" s="1"/>
      <c r="E114" s="11" t="s">
        <v>196</v>
      </c>
      <c r="F114" s="95"/>
      <c r="G114" s="1" t="s">
        <v>168</v>
      </c>
      <c r="H114" s="95"/>
      <c r="I114" s="95"/>
      <c r="J114" s="1"/>
      <c r="K114" s="96">
        <f t="shared" ref="K114:AX114" si="39">K158</f>
        <v>0</v>
      </c>
      <c r="L114" s="96">
        <f t="shared" si="39"/>
        <v>0</v>
      </c>
      <c r="M114" s="96">
        <f t="shared" si="39"/>
        <v>0</v>
      </c>
      <c r="N114" s="96">
        <f t="shared" si="39"/>
        <v>0</v>
      </c>
      <c r="O114" s="96">
        <f t="shared" si="39"/>
        <v>0</v>
      </c>
      <c r="P114" s="96">
        <f t="shared" si="39"/>
        <v>0</v>
      </c>
      <c r="Q114" s="96">
        <f t="shared" si="39"/>
        <v>1</v>
      </c>
      <c r="R114" s="96">
        <f t="shared" si="39"/>
        <v>2</v>
      </c>
      <c r="S114" s="96">
        <f t="shared" si="39"/>
        <v>3</v>
      </c>
      <c r="T114" s="96">
        <f t="shared" si="39"/>
        <v>4</v>
      </c>
      <c r="U114" s="96">
        <f t="shared" si="39"/>
        <v>5</v>
      </c>
      <c r="V114" s="97">
        <f t="shared" si="39"/>
        <v>6</v>
      </c>
      <c r="W114" s="97">
        <f t="shared" si="39"/>
        <v>7</v>
      </c>
      <c r="X114" s="97">
        <f t="shared" si="39"/>
        <v>8</v>
      </c>
      <c r="Y114" s="97">
        <f t="shared" si="39"/>
        <v>9</v>
      </c>
      <c r="Z114" s="97">
        <f t="shared" si="39"/>
        <v>10</v>
      </c>
      <c r="AA114" s="97">
        <f t="shared" si="39"/>
        <v>11</v>
      </c>
      <c r="AB114" s="97">
        <f t="shared" si="39"/>
        <v>12</v>
      </c>
      <c r="AC114" s="97">
        <f t="shared" si="39"/>
        <v>13</v>
      </c>
      <c r="AD114" s="97">
        <f t="shared" si="39"/>
        <v>14</v>
      </c>
      <c r="AE114" s="97">
        <f t="shared" si="39"/>
        <v>15</v>
      </c>
      <c r="AF114" s="97">
        <f t="shared" si="39"/>
        <v>16</v>
      </c>
      <c r="AG114" s="97">
        <f t="shared" si="39"/>
        <v>17</v>
      </c>
      <c r="AH114" s="97">
        <f t="shared" si="39"/>
        <v>18</v>
      </c>
      <c r="AI114" s="97">
        <f t="shared" si="39"/>
        <v>19</v>
      </c>
      <c r="AJ114" s="97">
        <f t="shared" si="39"/>
        <v>20</v>
      </c>
      <c r="AK114" s="97">
        <f t="shared" si="39"/>
        <v>21</v>
      </c>
      <c r="AL114" s="97">
        <f t="shared" si="39"/>
        <v>22</v>
      </c>
      <c r="AM114" s="97">
        <f t="shared" si="39"/>
        <v>23</v>
      </c>
      <c r="AN114" s="97">
        <f t="shared" si="39"/>
        <v>24</v>
      </c>
      <c r="AO114" s="97">
        <f t="shared" si="39"/>
        <v>25</v>
      </c>
      <c r="AP114" s="97">
        <f t="shared" si="39"/>
        <v>0</v>
      </c>
      <c r="AQ114" s="96">
        <f t="shared" si="39"/>
        <v>0</v>
      </c>
      <c r="AR114" s="96">
        <f t="shared" si="39"/>
        <v>0</v>
      </c>
      <c r="AS114" s="96">
        <f t="shared" si="39"/>
        <v>0</v>
      </c>
      <c r="AT114" s="96">
        <f t="shared" si="39"/>
        <v>0</v>
      </c>
      <c r="AU114" s="96">
        <f t="shared" si="39"/>
        <v>0</v>
      </c>
      <c r="AV114" s="96">
        <f t="shared" si="39"/>
        <v>0</v>
      </c>
      <c r="AW114" s="96">
        <f t="shared" si="39"/>
        <v>0</v>
      </c>
      <c r="AX114" s="96">
        <f t="shared" si="39"/>
        <v>0</v>
      </c>
    </row>
    <row r="115" spans="1:50" ht="15" customHeight="1">
      <c r="A115" s="23"/>
      <c r="B115" s="1"/>
      <c r="C115" s="1"/>
      <c r="D115" s="1"/>
      <c r="E115" s="11" t="s">
        <v>197</v>
      </c>
      <c r="G115" s="1" t="s">
        <v>142</v>
      </c>
      <c r="H115" s="1"/>
      <c r="I115" s="1"/>
      <c r="J115" s="80"/>
      <c r="K115" s="98"/>
      <c r="L115" s="98"/>
      <c r="M115" s="98"/>
      <c r="N115" s="98"/>
      <c r="O115" s="82"/>
      <c r="P115" s="82">
        <v>0.04</v>
      </c>
      <c r="Q115" s="82">
        <v>0.04</v>
      </c>
      <c r="R115" s="82">
        <v>0.04</v>
      </c>
      <c r="S115" s="82">
        <v>0.04</v>
      </c>
      <c r="T115" s="82">
        <v>0.04</v>
      </c>
      <c r="U115" s="82">
        <v>0.04</v>
      </c>
      <c r="V115" s="82">
        <v>0.04</v>
      </c>
      <c r="W115" s="82">
        <v>0.04</v>
      </c>
      <c r="X115" s="82">
        <v>0.04</v>
      </c>
      <c r="Y115" s="82">
        <v>0.04</v>
      </c>
      <c r="Z115" s="82">
        <v>0.04</v>
      </c>
      <c r="AA115" s="82">
        <v>0.04</v>
      </c>
      <c r="AB115" s="82">
        <v>0.04</v>
      </c>
      <c r="AC115" s="82">
        <v>0.04</v>
      </c>
      <c r="AD115" s="82">
        <v>0.04</v>
      </c>
      <c r="AE115" s="82">
        <v>0.04</v>
      </c>
      <c r="AF115" s="82">
        <v>0.04</v>
      </c>
      <c r="AG115" s="82">
        <v>0.04</v>
      </c>
      <c r="AH115" s="82">
        <v>0.04</v>
      </c>
      <c r="AI115" s="82">
        <v>0.04</v>
      </c>
      <c r="AJ115" s="82">
        <v>0.04</v>
      </c>
      <c r="AK115" s="82">
        <v>0.04</v>
      </c>
      <c r="AL115" s="82">
        <v>0.04</v>
      </c>
      <c r="AM115" s="82">
        <v>0.04</v>
      </c>
      <c r="AN115" s="82">
        <v>0.04</v>
      </c>
      <c r="AO115" s="82"/>
      <c r="AP115" s="98"/>
      <c r="AQ115" s="98"/>
      <c r="AR115" s="98"/>
      <c r="AS115" s="98"/>
      <c r="AT115" s="98"/>
      <c r="AU115" s="98"/>
      <c r="AV115" s="98"/>
      <c r="AW115" s="98"/>
      <c r="AX115" s="98"/>
    </row>
    <row r="116" spans="1:50" ht="15" customHeight="1">
      <c r="A116" s="23"/>
      <c r="B116" s="1"/>
      <c r="C116" s="1"/>
      <c r="D116" s="1"/>
      <c r="E116" s="1"/>
      <c r="F116" s="1"/>
      <c r="G116" s="1"/>
      <c r="H116" s="1"/>
      <c r="I116" s="1"/>
      <c r="J116" s="80"/>
      <c r="K116" s="1"/>
      <c r="L116" s="1"/>
      <c r="M116" s="1"/>
      <c r="N116" s="1"/>
      <c r="O116" s="1"/>
      <c r="P116" s="80"/>
      <c r="Q116" s="80"/>
      <c r="R116" s="80"/>
      <c r="S116" s="1"/>
      <c r="T116" s="1"/>
      <c r="U116" s="1"/>
      <c r="V116" s="1"/>
      <c r="W116" s="1"/>
      <c r="X116" s="1"/>
      <c r="Y116" s="1"/>
      <c r="Z116" s="1"/>
      <c r="AA116" s="80"/>
      <c r="AB116" s="80"/>
      <c r="AC116" s="80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</row>
    <row r="117" spans="1:50" ht="15" customHeight="1">
      <c r="A117" s="23"/>
      <c r="B117" s="1"/>
      <c r="C117" s="1"/>
      <c r="D117" s="1"/>
      <c r="E117" s="11" t="s">
        <v>198</v>
      </c>
      <c r="G117" s="1" t="s">
        <v>160</v>
      </c>
      <c r="H117" s="1"/>
      <c r="I117" s="1"/>
      <c r="J117" s="80"/>
      <c r="K117" s="98"/>
      <c r="L117" s="98"/>
      <c r="M117" s="98"/>
      <c r="N117" s="98"/>
      <c r="O117" s="82">
        <v>2.4E-2</v>
      </c>
      <c r="P117" s="82">
        <v>2.4E-2</v>
      </c>
      <c r="Q117" s="82">
        <v>2.4E-2</v>
      </c>
      <c r="R117" s="82">
        <v>2.4E-2</v>
      </c>
      <c r="S117" s="82">
        <v>2.4E-2</v>
      </c>
      <c r="T117" s="82">
        <v>2.4E-2</v>
      </c>
      <c r="U117" s="82">
        <v>2.4E-2</v>
      </c>
      <c r="V117" s="82">
        <v>2.4E-2</v>
      </c>
      <c r="W117" s="82">
        <v>2.4E-2</v>
      </c>
      <c r="X117" s="82">
        <v>2.4E-2</v>
      </c>
      <c r="Y117" s="82">
        <v>2.4E-2</v>
      </c>
      <c r="Z117" s="82">
        <v>2.4E-2</v>
      </c>
      <c r="AA117" s="82">
        <v>2.4E-2</v>
      </c>
      <c r="AB117" s="82">
        <v>2.4E-2</v>
      </c>
      <c r="AC117" s="82">
        <v>2.4E-2</v>
      </c>
      <c r="AD117" s="82">
        <v>2.4E-2</v>
      </c>
      <c r="AE117" s="82">
        <v>2.4E-2</v>
      </c>
      <c r="AF117" s="82">
        <v>2.4E-2</v>
      </c>
      <c r="AG117" s="82">
        <v>2.4E-2</v>
      </c>
      <c r="AH117" s="82">
        <v>2.4E-2</v>
      </c>
      <c r="AI117" s="82">
        <v>2.4E-2</v>
      </c>
      <c r="AJ117" s="82">
        <v>2.4E-2</v>
      </c>
      <c r="AK117" s="82">
        <v>2.4E-2</v>
      </c>
      <c r="AL117" s="82">
        <v>2.4E-2</v>
      </c>
      <c r="AM117" s="82">
        <v>2.4E-2</v>
      </c>
      <c r="AN117" s="82">
        <v>2.4E-2</v>
      </c>
      <c r="AO117" s="82"/>
      <c r="AP117" s="98"/>
      <c r="AQ117" s="98"/>
      <c r="AR117" s="98"/>
      <c r="AS117" s="98"/>
      <c r="AT117" s="98"/>
      <c r="AU117" s="98"/>
      <c r="AV117" s="98"/>
      <c r="AW117" s="98"/>
      <c r="AX117" s="98"/>
    </row>
    <row r="118" spans="1:50" ht="15" customHeight="1">
      <c r="A118" s="23"/>
      <c r="B118" s="1"/>
      <c r="C118" s="1"/>
      <c r="D118" s="1"/>
      <c r="E118" s="11" t="s">
        <v>199</v>
      </c>
      <c r="G118" s="1" t="s">
        <v>160</v>
      </c>
      <c r="H118" s="1"/>
      <c r="I118" s="1"/>
      <c r="J118" s="80"/>
      <c r="K118" s="98"/>
      <c r="L118" s="98"/>
      <c r="M118" s="98"/>
      <c r="N118" s="98"/>
      <c r="O118" s="82">
        <v>2.4E-2</v>
      </c>
      <c r="P118" s="82">
        <v>2.4E-2</v>
      </c>
      <c r="Q118" s="82">
        <v>2.4E-2</v>
      </c>
      <c r="R118" s="82">
        <v>2.4E-2</v>
      </c>
      <c r="S118" s="82">
        <v>2.4E-2</v>
      </c>
      <c r="T118" s="82">
        <v>2.4E-2</v>
      </c>
      <c r="U118" s="82">
        <v>2.4E-2</v>
      </c>
      <c r="V118" s="82">
        <v>2.4E-2</v>
      </c>
      <c r="W118" s="82">
        <v>2.4E-2</v>
      </c>
      <c r="X118" s="82">
        <v>2.4E-2</v>
      </c>
      <c r="Y118" s="82">
        <v>2.4E-2</v>
      </c>
      <c r="Z118" s="82">
        <v>2.4E-2</v>
      </c>
      <c r="AA118" s="82">
        <v>2.4E-2</v>
      </c>
      <c r="AB118" s="82">
        <v>2.4E-2</v>
      </c>
      <c r="AC118" s="82">
        <v>2.4E-2</v>
      </c>
      <c r="AD118" s="82">
        <v>2.4E-2</v>
      </c>
      <c r="AE118" s="82">
        <v>2.4E-2</v>
      </c>
      <c r="AF118" s="82">
        <v>2.4E-2</v>
      </c>
      <c r="AG118" s="82">
        <v>2.4E-2</v>
      </c>
      <c r="AH118" s="82">
        <v>2.4E-2</v>
      </c>
      <c r="AI118" s="82">
        <v>2.4E-2</v>
      </c>
      <c r="AJ118" s="82">
        <v>2.4E-2</v>
      </c>
      <c r="AK118" s="82">
        <v>2.4E-2</v>
      </c>
      <c r="AL118" s="82">
        <v>2.4E-2</v>
      </c>
      <c r="AM118" s="82">
        <v>2.4E-2</v>
      </c>
      <c r="AN118" s="82">
        <v>2.4E-2</v>
      </c>
      <c r="AO118" s="82"/>
      <c r="AP118" s="98"/>
      <c r="AQ118" s="98"/>
      <c r="AR118" s="98"/>
      <c r="AS118" s="98"/>
      <c r="AT118" s="98"/>
      <c r="AU118" s="98"/>
      <c r="AV118" s="98"/>
      <c r="AW118" s="98"/>
      <c r="AX118" s="98"/>
    </row>
    <row r="119" spans="1:50" ht="15" customHeight="1">
      <c r="A119" s="23"/>
      <c r="B119" s="1"/>
      <c r="C119" s="1"/>
      <c r="D119" s="1"/>
      <c r="E119" s="11" t="s">
        <v>200</v>
      </c>
      <c r="G119" s="1" t="s">
        <v>160</v>
      </c>
      <c r="H119" s="1"/>
      <c r="I119" s="1"/>
      <c r="J119" s="80"/>
      <c r="K119" s="98"/>
      <c r="L119" s="98"/>
      <c r="M119" s="98"/>
      <c r="N119" s="98"/>
      <c r="O119" s="82">
        <v>2.4E-2</v>
      </c>
      <c r="P119" s="82">
        <v>2.4E-2</v>
      </c>
      <c r="Q119" s="82">
        <v>2.4E-2</v>
      </c>
      <c r="R119" s="82">
        <v>2.4E-2</v>
      </c>
      <c r="S119" s="82">
        <v>2.4E-2</v>
      </c>
      <c r="T119" s="82">
        <v>2.4E-2</v>
      </c>
      <c r="U119" s="82">
        <v>2.4E-2</v>
      </c>
      <c r="V119" s="82">
        <v>2.4E-2</v>
      </c>
      <c r="W119" s="82">
        <v>2.4E-2</v>
      </c>
      <c r="X119" s="82">
        <v>2.4E-2</v>
      </c>
      <c r="Y119" s="82">
        <v>2.4E-2</v>
      </c>
      <c r="Z119" s="82">
        <v>2.4E-2</v>
      </c>
      <c r="AA119" s="82">
        <v>2.4E-2</v>
      </c>
      <c r="AB119" s="82">
        <v>2.4E-2</v>
      </c>
      <c r="AC119" s="82">
        <v>2.4E-2</v>
      </c>
      <c r="AD119" s="82">
        <v>2.4E-2</v>
      </c>
      <c r="AE119" s="82">
        <v>2.4E-2</v>
      </c>
      <c r="AF119" s="82">
        <v>2.4E-2</v>
      </c>
      <c r="AG119" s="82">
        <v>2.4E-2</v>
      </c>
      <c r="AH119" s="82">
        <v>2.4E-2</v>
      </c>
      <c r="AI119" s="82">
        <v>2.4E-2</v>
      </c>
      <c r="AJ119" s="82">
        <v>2.4E-2</v>
      </c>
      <c r="AK119" s="82">
        <v>2.4E-2</v>
      </c>
      <c r="AL119" s="82">
        <v>2.4E-2</v>
      </c>
      <c r="AM119" s="82">
        <v>2.4E-2</v>
      </c>
      <c r="AN119" s="82">
        <v>2.4E-2</v>
      </c>
      <c r="AO119" s="82"/>
      <c r="AP119" s="98"/>
      <c r="AQ119" s="98"/>
      <c r="AR119" s="98"/>
      <c r="AS119" s="98"/>
      <c r="AT119" s="98"/>
      <c r="AU119" s="98"/>
      <c r="AV119" s="98"/>
      <c r="AW119" s="98"/>
      <c r="AX119" s="98"/>
    </row>
    <row r="120" spans="1:50" ht="15" customHeight="1">
      <c r="A120" s="23"/>
      <c r="B120" s="1"/>
      <c r="C120" s="1"/>
      <c r="D120" s="1"/>
      <c r="E120" s="11" t="s">
        <v>201</v>
      </c>
      <c r="G120" s="1" t="s">
        <v>160</v>
      </c>
      <c r="H120" s="1"/>
      <c r="I120" s="1"/>
      <c r="J120" s="80"/>
      <c r="K120" s="98"/>
      <c r="L120" s="98"/>
      <c r="M120" s="98"/>
      <c r="N120" s="98"/>
      <c r="O120" s="82">
        <v>2.4E-2</v>
      </c>
      <c r="P120" s="82">
        <v>2.4E-2</v>
      </c>
      <c r="Q120" s="82">
        <v>2.4E-2</v>
      </c>
      <c r="R120" s="82">
        <v>2.4E-2</v>
      </c>
      <c r="S120" s="82">
        <v>2.4E-2</v>
      </c>
      <c r="T120" s="82">
        <v>2.4E-2</v>
      </c>
      <c r="U120" s="82">
        <v>2.4E-2</v>
      </c>
      <c r="V120" s="82">
        <v>2.4E-2</v>
      </c>
      <c r="W120" s="82">
        <v>2.4E-2</v>
      </c>
      <c r="X120" s="82">
        <v>2.4E-2</v>
      </c>
      <c r="Y120" s="82">
        <v>2.4E-2</v>
      </c>
      <c r="Z120" s="82">
        <v>2.4E-2</v>
      </c>
      <c r="AA120" s="82">
        <v>2.4E-2</v>
      </c>
      <c r="AB120" s="82">
        <v>2.4E-2</v>
      </c>
      <c r="AC120" s="82">
        <v>2.4E-2</v>
      </c>
      <c r="AD120" s="82">
        <v>2.4E-2</v>
      </c>
      <c r="AE120" s="82">
        <v>2.4E-2</v>
      </c>
      <c r="AF120" s="82">
        <v>2.4E-2</v>
      </c>
      <c r="AG120" s="82">
        <v>2.4E-2</v>
      </c>
      <c r="AH120" s="82">
        <v>2.4E-2</v>
      </c>
      <c r="AI120" s="82">
        <v>2.4E-2</v>
      </c>
      <c r="AJ120" s="82">
        <v>2.4E-2</v>
      </c>
      <c r="AK120" s="82">
        <v>2.4E-2</v>
      </c>
      <c r="AL120" s="82">
        <v>2.4E-2</v>
      </c>
      <c r="AM120" s="82">
        <v>2.4E-2</v>
      </c>
      <c r="AN120" s="82">
        <v>2.4E-2</v>
      </c>
      <c r="AO120" s="82"/>
      <c r="AP120" s="98"/>
      <c r="AQ120" s="98"/>
      <c r="AR120" s="98"/>
      <c r="AS120" s="98"/>
      <c r="AT120" s="98"/>
      <c r="AU120" s="98"/>
      <c r="AV120" s="98"/>
      <c r="AW120" s="98"/>
      <c r="AX120" s="98"/>
    </row>
    <row r="121" spans="1:50" ht="15" customHeight="1">
      <c r="A121" s="23"/>
      <c r="B121" s="1"/>
      <c r="C121" s="1"/>
      <c r="D121" s="1"/>
      <c r="E121" s="11" t="s">
        <v>202</v>
      </c>
      <c r="G121" s="1" t="s">
        <v>160</v>
      </c>
      <c r="H121" s="1"/>
      <c r="I121" s="1"/>
      <c r="J121" s="80"/>
      <c r="K121" s="98"/>
      <c r="L121" s="98"/>
      <c r="M121" s="98"/>
      <c r="N121" s="98"/>
      <c r="O121" s="82">
        <v>2.4E-2</v>
      </c>
      <c r="P121" s="82">
        <v>2.4E-2</v>
      </c>
      <c r="Q121" s="82">
        <v>2.4E-2</v>
      </c>
      <c r="R121" s="82">
        <v>2.4E-2</v>
      </c>
      <c r="S121" s="82">
        <v>2.4E-2</v>
      </c>
      <c r="T121" s="82">
        <v>2.4E-2</v>
      </c>
      <c r="U121" s="82">
        <v>2.4E-2</v>
      </c>
      <c r="V121" s="82">
        <v>2.4E-2</v>
      </c>
      <c r="W121" s="82">
        <v>2.4E-2</v>
      </c>
      <c r="X121" s="82">
        <v>2.4E-2</v>
      </c>
      <c r="Y121" s="82">
        <v>2.4E-2</v>
      </c>
      <c r="Z121" s="82">
        <v>2.4E-2</v>
      </c>
      <c r="AA121" s="82">
        <v>2.4E-2</v>
      </c>
      <c r="AB121" s="82">
        <v>2.4E-2</v>
      </c>
      <c r="AC121" s="82">
        <v>2.4E-2</v>
      </c>
      <c r="AD121" s="82">
        <v>2.4E-2</v>
      </c>
      <c r="AE121" s="82">
        <v>2.4E-2</v>
      </c>
      <c r="AF121" s="82">
        <v>2.4E-2</v>
      </c>
      <c r="AG121" s="82">
        <v>2.4E-2</v>
      </c>
      <c r="AH121" s="82">
        <v>2.4E-2</v>
      </c>
      <c r="AI121" s="82">
        <v>2.4E-2</v>
      </c>
      <c r="AJ121" s="82">
        <v>2.4E-2</v>
      </c>
      <c r="AK121" s="82">
        <v>2.4E-2</v>
      </c>
      <c r="AL121" s="82">
        <v>2.4E-2</v>
      </c>
      <c r="AM121" s="82">
        <v>2.4E-2</v>
      </c>
      <c r="AN121" s="82">
        <v>2.4E-2</v>
      </c>
      <c r="AO121" s="82"/>
      <c r="AP121" s="98"/>
      <c r="AQ121" s="98"/>
      <c r="AR121" s="98"/>
      <c r="AS121" s="98"/>
      <c r="AT121" s="98"/>
      <c r="AU121" s="98"/>
      <c r="AV121" s="98"/>
      <c r="AW121" s="98"/>
      <c r="AX121" s="98"/>
    </row>
    <row r="122" spans="1:50" ht="15" customHeight="1">
      <c r="A122" s="23"/>
      <c r="B122" s="1"/>
      <c r="C122" s="1"/>
      <c r="D122" s="1"/>
      <c r="E122" s="11" t="s">
        <v>203</v>
      </c>
      <c r="G122" s="1" t="s">
        <v>160</v>
      </c>
      <c r="H122" s="1"/>
      <c r="I122" s="1"/>
      <c r="J122" s="80"/>
      <c r="K122" s="98"/>
      <c r="L122" s="98"/>
      <c r="M122" s="98"/>
      <c r="N122" s="98"/>
      <c r="O122" s="82">
        <v>1.2999999999999999E-2</v>
      </c>
      <c r="P122" s="82">
        <v>1.2999999999999999E-2</v>
      </c>
      <c r="Q122" s="82">
        <v>1.2999999999999999E-2</v>
      </c>
      <c r="R122" s="82">
        <v>1.2999999999999999E-2</v>
      </c>
      <c r="S122" s="82">
        <v>1.2999999999999999E-2</v>
      </c>
      <c r="T122" s="82">
        <v>1.2999999999999999E-2</v>
      </c>
      <c r="U122" s="82">
        <v>1.2999999999999999E-2</v>
      </c>
      <c r="V122" s="82">
        <v>1.2999999999999999E-2</v>
      </c>
      <c r="W122" s="82">
        <v>1.2999999999999999E-2</v>
      </c>
      <c r="X122" s="82">
        <v>1.2999999999999999E-2</v>
      </c>
      <c r="Y122" s="82">
        <v>1.2999999999999999E-2</v>
      </c>
      <c r="Z122" s="82">
        <v>1.2999999999999999E-2</v>
      </c>
      <c r="AA122" s="82">
        <v>1.2999999999999999E-2</v>
      </c>
      <c r="AB122" s="82">
        <v>1.2999999999999999E-2</v>
      </c>
      <c r="AC122" s="82">
        <v>1.2999999999999999E-2</v>
      </c>
      <c r="AD122" s="82">
        <v>1.2999999999999999E-2</v>
      </c>
      <c r="AE122" s="82">
        <v>1.2999999999999999E-2</v>
      </c>
      <c r="AF122" s="82">
        <v>1.2999999999999999E-2</v>
      </c>
      <c r="AG122" s="82">
        <v>1.2999999999999999E-2</v>
      </c>
      <c r="AH122" s="82">
        <v>1.2999999999999999E-2</v>
      </c>
      <c r="AI122" s="82">
        <v>1.2999999999999999E-2</v>
      </c>
      <c r="AJ122" s="82">
        <v>1.2999999999999999E-2</v>
      </c>
      <c r="AK122" s="82">
        <v>1.2999999999999999E-2</v>
      </c>
      <c r="AL122" s="82">
        <v>1.2999999999999999E-2</v>
      </c>
      <c r="AM122" s="82">
        <v>1.2999999999999999E-2</v>
      </c>
      <c r="AN122" s="82">
        <v>1.2999999999999999E-2</v>
      </c>
      <c r="AO122" s="82"/>
      <c r="AP122" s="98"/>
      <c r="AQ122" s="98"/>
      <c r="AR122" s="98"/>
      <c r="AS122" s="98"/>
      <c r="AT122" s="98"/>
      <c r="AU122" s="98"/>
      <c r="AV122" s="98"/>
      <c r="AW122" s="98"/>
      <c r="AX122" s="98"/>
    </row>
    <row r="123" spans="1:50" ht="15" customHeight="1">
      <c r="A123" s="23"/>
      <c r="B123" s="1"/>
      <c r="C123" s="1"/>
      <c r="D123" s="1"/>
      <c r="E123" s="1"/>
      <c r="F123" s="1"/>
      <c r="G123" s="1"/>
      <c r="H123" s="1"/>
      <c r="I123" s="1"/>
      <c r="J123" s="80"/>
      <c r="K123" s="1"/>
      <c r="L123" s="1"/>
      <c r="M123" s="1"/>
      <c r="N123" s="1"/>
      <c r="O123" s="1"/>
      <c r="P123" s="80"/>
      <c r="Q123" s="80"/>
      <c r="R123" s="80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</row>
    <row r="124" spans="1:50" ht="15" customHeight="1">
      <c r="A124" s="1"/>
      <c r="B124" s="1"/>
      <c r="C124" s="56" t="s">
        <v>204</v>
      </c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</row>
    <row r="125" spans="1:50" ht="15" customHeight="1">
      <c r="A125" s="1"/>
      <c r="B125" s="1"/>
      <c r="C125" s="90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99"/>
      <c r="V125" s="99"/>
      <c r="W125" s="99"/>
      <c r="X125" s="99"/>
      <c r="Y125" s="99"/>
      <c r="Z125" s="99"/>
      <c r="AA125" s="99"/>
      <c r="AB125" s="99"/>
      <c r="AC125" s="99"/>
      <c r="AD125" s="99"/>
      <c r="AE125" s="99"/>
      <c r="AF125" s="99"/>
      <c r="AG125" s="99"/>
      <c r="AH125" s="99"/>
      <c r="AI125" s="99"/>
    </row>
    <row r="126" spans="1:50" ht="15" customHeight="1">
      <c r="A126" s="57"/>
      <c r="B126" s="57"/>
      <c r="C126" s="57"/>
      <c r="D126" s="57"/>
      <c r="E126" s="58" t="s">
        <v>74</v>
      </c>
      <c r="F126" s="59"/>
      <c r="G126" s="59"/>
      <c r="H126" s="59"/>
      <c r="I126" s="59"/>
      <c r="J126" s="57"/>
      <c r="K126" s="60">
        <f>$I$133</f>
        <v>45658</v>
      </c>
      <c r="L126" s="61">
        <f t="shared" ref="L126:AX126" si="40">+K127+1</f>
        <v>46023</v>
      </c>
      <c r="M126" s="61">
        <f t="shared" si="40"/>
        <v>46388</v>
      </c>
      <c r="N126" s="61">
        <f t="shared" si="40"/>
        <v>46753</v>
      </c>
      <c r="O126" s="61">
        <f t="shared" si="40"/>
        <v>47119</v>
      </c>
      <c r="P126" s="61">
        <f t="shared" si="40"/>
        <v>47484</v>
      </c>
      <c r="Q126" s="61">
        <f t="shared" si="40"/>
        <v>47849</v>
      </c>
      <c r="R126" s="61">
        <f t="shared" si="40"/>
        <v>48214</v>
      </c>
      <c r="S126" s="61">
        <f t="shared" si="40"/>
        <v>48580</v>
      </c>
      <c r="T126" s="61">
        <f t="shared" si="40"/>
        <v>48945</v>
      </c>
      <c r="U126" s="61">
        <f t="shared" si="40"/>
        <v>49310</v>
      </c>
      <c r="V126" s="61">
        <f t="shared" si="40"/>
        <v>49675</v>
      </c>
      <c r="W126" s="61">
        <f t="shared" si="40"/>
        <v>50041</v>
      </c>
      <c r="X126" s="61">
        <f t="shared" si="40"/>
        <v>50406</v>
      </c>
      <c r="Y126" s="61">
        <f t="shared" si="40"/>
        <v>50771</v>
      </c>
      <c r="Z126" s="61">
        <f t="shared" si="40"/>
        <v>51136</v>
      </c>
      <c r="AA126" s="61">
        <f t="shared" si="40"/>
        <v>51502</v>
      </c>
      <c r="AB126" s="61">
        <f t="shared" si="40"/>
        <v>51867</v>
      </c>
      <c r="AC126" s="61">
        <f t="shared" si="40"/>
        <v>52232</v>
      </c>
      <c r="AD126" s="61">
        <f t="shared" si="40"/>
        <v>52597</v>
      </c>
      <c r="AE126" s="61">
        <f t="shared" si="40"/>
        <v>52963</v>
      </c>
      <c r="AF126" s="61">
        <f t="shared" si="40"/>
        <v>53328</v>
      </c>
      <c r="AG126" s="61">
        <f t="shared" si="40"/>
        <v>53693</v>
      </c>
      <c r="AH126" s="61">
        <f t="shared" si="40"/>
        <v>54058</v>
      </c>
      <c r="AI126" s="61">
        <f t="shared" si="40"/>
        <v>54424</v>
      </c>
      <c r="AJ126" s="61">
        <f t="shared" si="40"/>
        <v>54789</v>
      </c>
      <c r="AK126" s="61">
        <f t="shared" si="40"/>
        <v>55154</v>
      </c>
      <c r="AL126" s="61">
        <f t="shared" si="40"/>
        <v>55519</v>
      </c>
      <c r="AM126" s="61">
        <f t="shared" si="40"/>
        <v>55885</v>
      </c>
      <c r="AN126" s="61">
        <f t="shared" si="40"/>
        <v>56250</v>
      </c>
      <c r="AO126" s="61">
        <f t="shared" si="40"/>
        <v>56615</v>
      </c>
      <c r="AP126" s="61">
        <f t="shared" si="40"/>
        <v>56980</v>
      </c>
      <c r="AQ126" s="61">
        <f t="shared" si="40"/>
        <v>57346</v>
      </c>
      <c r="AR126" s="61">
        <f t="shared" si="40"/>
        <v>57711</v>
      </c>
      <c r="AS126" s="61">
        <f t="shared" si="40"/>
        <v>58076</v>
      </c>
      <c r="AT126" s="61">
        <f t="shared" si="40"/>
        <v>58441</v>
      </c>
      <c r="AU126" s="61">
        <f t="shared" si="40"/>
        <v>58807</v>
      </c>
      <c r="AV126" s="61">
        <f t="shared" si="40"/>
        <v>59172</v>
      </c>
      <c r="AW126" s="61">
        <f t="shared" si="40"/>
        <v>59537</v>
      </c>
      <c r="AX126" s="61">
        <f t="shared" si="40"/>
        <v>59902</v>
      </c>
    </row>
    <row r="127" spans="1:50" ht="15" customHeight="1">
      <c r="A127" s="62"/>
      <c r="B127" s="62"/>
      <c r="C127" s="62"/>
      <c r="D127" s="62"/>
      <c r="E127" s="58" t="s">
        <v>75</v>
      </c>
      <c r="F127" s="62"/>
      <c r="G127" s="62"/>
      <c r="H127" s="62"/>
      <c r="I127" s="63"/>
      <c r="J127" s="62"/>
      <c r="K127" s="60">
        <f>EOMONTH(K126,11)</f>
        <v>46022</v>
      </c>
      <c r="L127" s="61">
        <f t="shared" ref="L127:AX127" si="41">DATE(YEAR(K127) + 1, MONTH(K127), DAY(K127))</f>
        <v>46387</v>
      </c>
      <c r="M127" s="61">
        <f t="shared" si="41"/>
        <v>46752</v>
      </c>
      <c r="N127" s="61">
        <f t="shared" si="41"/>
        <v>47118</v>
      </c>
      <c r="O127" s="61">
        <f t="shared" si="41"/>
        <v>47483</v>
      </c>
      <c r="P127" s="61">
        <f t="shared" si="41"/>
        <v>47848</v>
      </c>
      <c r="Q127" s="61">
        <f t="shared" si="41"/>
        <v>48213</v>
      </c>
      <c r="R127" s="61">
        <f t="shared" si="41"/>
        <v>48579</v>
      </c>
      <c r="S127" s="61">
        <f t="shared" si="41"/>
        <v>48944</v>
      </c>
      <c r="T127" s="61">
        <f t="shared" si="41"/>
        <v>49309</v>
      </c>
      <c r="U127" s="61">
        <f t="shared" si="41"/>
        <v>49674</v>
      </c>
      <c r="V127" s="61">
        <f t="shared" si="41"/>
        <v>50040</v>
      </c>
      <c r="W127" s="61">
        <f t="shared" si="41"/>
        <v>50405</v>
      </c>
      <c r="X127" s="61">
        <f t="shared" si="41"/>
        <v>50770</v>
      </c>
      <c r="Y127" s="61">
        <f t="shared" si="41"/>
        <v>51135</v>
      </c>
      <c r="Z127" s="61">
        <f t="shared" si="41"/>
        <v>51501</v>
      </c>
      <c r="AA127" s="61">
        <f t="shared" si="41"/>
        <v>51866</v>
      </c>
      <c r="AB127" s="61">
        <f t="shared" si="41"/>
        <v>52231</v>
      </c>
      <c r="AC127" s="61">
        <f t="shared" si="41"/>
        <v>52596</v>
      </c>
      <c r="AD127" s="61">
        <f t="shared" si="41"/>
        <v>52962</v>
      </c>
      <c r="AE127" s="61">
        <f t="shared" si="41"/>
        <v>53327</v>
      </c>
      <c r="AF127" s="61">
        <f t="shared" si="41"/>
        <v>53692</v>
      </c>
      <c r="AG127" s="61">
        <f t="shared" si="41"/>
        <v>54057</v>
      </c>
      <c r="AH127" s="61">
        <f t="shared" si="41"/>
        <v>54423</v>
      </c>
      <c r="AI127" s="61">
        <f t="shared" si="41"/>
        <v>54788</v>
      </c>
      <c r="AJ127" s="61">
        <f t="shared" si="41"/>
        <v>55153</v>
      </c>
      <c r="AK127" s="61">
        <f t="shared" si="41"/>
        <v>55518</v>
      </c>
      <c r="AL127" s="61">
        <f t="shared" si="41"/>
        <v>55884</v>
      </c>
      <c r="AM127" s="61">
        <f t="shared" si="41"/>
        <v>56249</v>
      </c>
      <c r="AN127" s="61">
        <f t="shared" si="41"/>
        <v>56614</v>
      </c>
      <c r="AO127" s="61">
        <f t="shared" si="41"/>
        <v>56979</v>
      </c>
      <c r="AP127" s="61">
        <f t="shared" si="41"/>
        <v>57345</v>
      </c>
      <c r="AQ127" s="61">
        <f t="shared" si="41"/>
        <v>57710</v>
      </c>
      <c r="AR127" s="61">
        <f t="shared" si="41"/>
        <v>58075</v>
      </c>
      <c r="AS127" s="61">
        <f t="shared" si="41"/>
        <v>58440</v>
      </c>
      <c r="AT127" s="61">
        <f t="shared" si="41"/>
        <v>58806</v>
      </c>
      <c r="AU127" s="61">
        <f t="shared" si="41"/>
        <v>59171</v>
      </c>
      <c r="AV127" s="61">
        <f t="shared" si="41"/>
        <v>59536</v>
      </c>
      <c r="AW127" s="61">
        <f t="shared" si="41"/>
        <v>59901</v>
      </c>
      <c r="AX127" s="61">
        <f t="shared" si="41"/>
        <v>60267</v>
      </c>
    </row>
    <row r="128" spans="1:50" ht="15" customHeight="1"/>
    <row r="129" spans="5:11" ht="15" customHeight="1">
      <c r="E129" s="11" t="s">
        <v>205</v>
      </c>
      <c r="G129" s="1"/>
      <c r="I129" s="111" t="s">
        <v>206</v>
      </c>
    </row>
    <row r="130" spans="5:11" ht="15" customHeight="1">
      <c r="G130" s="1"/>
    </row>
    <row r="131" spans="5:11" ht="15" customHeight="1">
      <c r="E131" s="11" t="s">
        <v>207</v>
      </c>
      <c r="F131" s="1"/>
      <c r="G131" s="1"/>
      <c r="I131" s="111" t="s">
        <v>208</v>
      </c>
    </row>
    <row r="132" spans="5:11" ht="15" customHeight="1"/>
    <row r="133" spans="5:11" ht="15" customHeight="1">
      <c r="E133" s="11" t="s">
        <v>209</v>
      </c>
      <c r="G133" s="11" t="s">
        <v>210</v>
      </c>
      <c r="I133" s="100">
        <v>45658</v>
      </c>
      <c r="K133" s="52"/>
    </row>
    <row r="134" spans="5:11" ht="15" customHeight="1">
      <c r="E134" s="11" t="s">
        <v>211</v>
      </c>
      <c r="G134" s="11" t="s">
        <v>210</v>
      </c>
      <c r="I134" s="100">
        <v>47119</v>
      </c>
      <c r="K134" s="52"/>
    </row>
    <row r="135" spans="5:11" ht="15.6" customHeight="1">
      <c r="E135" s="11" t="s">
        <v>212</v>
      </c>
      <c r="G135" s="11" t="s">
        <v>210</v>
      </c>
      <c r="I135" s="101">
        <v>47118</v>
      </c>
      <c r="K135" s="52"/>
    </row>
    <row r="136" spans="5:11" ht="15.6" customHeight="1">
      <c r="E136" s="11" t="s">
        <v>213</v>
      </c>
      <c r="G136" s="11" t="s">
        <v>210</v>
      </c>
      <c r="I136" s="101">
        <v>47119</v>
      </c>
      <c r="K136" s="52"/>
    </row>
    <row r="137" spans="5:11" ht="15" customHeight="1">
      <c r="E137" s="11" t="s">
        <v>214</v>
      </c>
      <c r="G137" s="11" t="s">
        <v>210</v>
      </c>
      <c r="I137" s="101">
        <v>47849</v>
      </c>
      <c r="K137" s="52"/>
    </row>
    <row r="138" spans="5:11" ht="15" customHeight="1">
      <c r="E138" s="11" t="s">
        <v>215</v>
      </c>
      <c r="G138" s="11" t="s">
        <v>155</v>
      </c>
      <c r="I138" s="11" cm="1">
        <f t="array" ref="I138">_xlfn.IFS(I137&gt;I136,DATEDIF(I136,I137,"y"),I136&gt;I137,DATEDIF(I137,I136,"y")*(-1),I136=I137,0)</f>
        <v>2</v>
      </c>
      <c r="K138" s="52"/>
    </row>
    <row r="139" spans="5:11" ht="15" customHeight="1">
      <c r="E139" s="11" t="s">
        <v>216</v>
      </c>
      <c r="G139" s="11" t="s">
        <v>210</v>
      </c>
      <c r="I139" s="88">
        <f>DATE(YEAR($I$134)+I142,MONTH($I$134),DAY($I$134))-1</f>
        <v>56249</v>
      </c>
      <c r="K139" s="52"/>
    </row>
    <row r="140" spans="5:11" ht="15" customHeight="1">
      <c r="E140" s="11" t="s">
        <v>217</v>
      </c>
      <c r="G140" s="11" t="s">
        <v>210</v>
      </c>
      <c r="I140" s="88">
        <f>EOMONTH(I137-1,I66*12)</f>
        <v>56979</v>
      </c>
      <c r="K140" s="52"/>
    </row>
    <row r="141" spans="5:11" ht="15" customHeight="1">
      <c r="E141" s="11" t="s">
        <v>218</v>
      </c>
      <c r="G141" s="11" t="s">
        <v>210</v>
      </c>
      <c r="I141" s="88">
        <f>MIN(EOMONTH(I137-1,(I66+I67)*12),I139)</f>
        <v>56249</v>
      </c>
      <c r="K141" s="52"/>
    </row>
    <row r="142" spans="5:11" ht="15" customHeight="1">
      <c r="E142" s="11" t="s">
        <v>219</v>
      </c>
      <c r="G142" s="11" t="s">
        <v>155</v>
      </c>
      <c r="I142" s="87">
        <v>25</v>
      </c>
      <c r="K142" s="52"/>
    </row>
    <row r="143" spans="5:11" ht="15" customHeight="1"/>
    <row r="144" spans="5:11" ht="15" customHeight="1">
      <c r="E144" s="1" t="s">
        <v>220</v>
      </c>
      <c r="F144" s="1"/>
      <c r="G144" s="1" t="s">
        <v>221</v>
      </c>
      <c r="H144" s="1"/>
      <c r="I144" s="102" t="b">
        <f>I66&lt;=ROUND((I139-I137)/365.25,0)</f>
        <v>0</v>
      </c>
    </row>
    <row r="145" spans="1:50" ht="15" customHeight="1"/>
    <row r="146" spans="1:50" ht="15" customHeight="1">
      <c r="E146" s="11" t="s">
        <v>222</v>
      </c>
      <c r="G146" s="11" t="s">
        <v>223</v>
      </c>
      <c r="I146" s="88"/>
      <c r="K146" s="103">
        <f t="shared" ref="K146:AX146" si="42">K$127-K$126+1</f>
        <v>365</v>
      </c>
      <c r="L146" s="103">
        <f t="shared" si="42"/>
        <v>365</v>
      </c>
      <c r="M146" s="103">
        <f t="shared" si="42"/>
        <v>365</v>
      </c>
      <c r="N146" s="103">
        <f t="shared" si="42"/>
        <v>366</v>
      </c>
      <c r="O146" s="103">
        <f t="shared" si="42"/>
        <v>365</v>
      </c>
      <c r="P146" s="103">
        <f t="shared" si="42"/>
        <v>365</v>
      </c>
      <c r="Q146" s="103">
        <f t="shared" si="42"/>
        <v>365</v>
      </c>
      <c r="R146" s="103">
        <f t="shared" si="42"/>
        <v>366</v>
      </c>
      <c r="S146" s="103">
        <f t="shared" si="42"/>
        <v>365</v>
      </c>
      <c r="T146" s="103">
        <f t="shared" si="42"/>
        <v>365</v>
      </c>
      <c r="U146" s="103">
        <f t="shared" si="42"/>
        <v>365</v>
      </c>
      <c r="V146" s="103">
        <f t="shared" si="42"/>
        <v>366</v>
      </c>
      <c r="W146" s="103">
        <f t="shared" si="42"/>
        <v>365</v>
      </c>
      <c r="X146" s="103">
        <f t="shared" si="42"/>
        <v>365</v>
      </c>
      <c r="Y146" s="103">
        <f t="shared" si="42"/>
        <v>365</v>
      </c>
      <c r="Z146" s="103">
        <f t="shared" si="42"/>
        <v>366</v>
      </c>
      <c r="AA146" s="103">
        <f t="shared" si="42"/>
        <v>365</v>
      </c>
      <c r="AB146" s="103">
        <f t="shared" si="42"/>
        <v>365</v>
      </c>
      <c r="AC146" s="103">
        <f t="shared" si="42"/>
        <v>365</v>
      </c>
      <c r="AD146" s="103">
        <f t="shared" si="42"/>
        <v>366</v>
      </c>
      <c r="AE146" s="103">
        <f t="shared" si="42"/>
        <v>365</v>
      </c>
      <c r="AF146" s="103">
        <f t="shared" si="42"/>
        <v>365</v>
      </c>
      <c r="AG146" s="103">
        <f t="shared" si="42"/>
        <v>365</v>
      </c>
      <c r="AH146" s="103">
        <f t="shared" si="42"/>
        <v>366</v>
      </c>
      <c r="AI146" s="103">
        <f t="shared" si="42"/>
        <v>365</v>
      </c>
      <c r="AJ146" s="103">
        <f t="shared" si="42"/>
        <v>365</v>
      </c>
      <c r="AK146" s="103">
        <f t="shared" si="42"/>
        <v>365</v>
      </c>
      <c r="AL146" s="103">
        <f t="shared" si="42"/>
        <v>366</v>
      </c>
      <c r="AM146" s="103">
        <f t="shared" si="42"/>
        <v>365</v>
      </c>
      <c r="AN146" s="103">
        <f t="shared" si="42"/>
        <v>365</v>
      </c>
      <c r="AO146" s="103">
        <f t="shared" si="42"/>
        <v>365</v>
      </c>
      <c r="AP146" s="103">
        <f t="shared" si="42"/>
        <v>366</v>
      </c>
      <c r="AQ146" s="103">
        <f t="shared" si="42"/>
        <v>365</v>
      </c>
      <c r="AR146" s="103">
        <f t="shared" si="42"/>
        <v>365</v>
      </c>
      <c r="AS146" s="103">
        <f t="shared" si="42"/>
        <v>365</v>
      </c>
      <c r="AT146" s="103">
        <f t="shared" si="42"/>
        <v>366</v>
      </c>
      <c r="AU146" s="103">
        <f t="shared" si="42"/>
        <v>365</v>
      </c>
      <c r="AV146" s="103">
        <f t="shared" si="42"/>
        <v>365</v>
      </c>
      <c r="AW146" s="103">
        <f t="shared" si="42"/>
        <v>365</v>
      </c>
      <c r="AX146" s="103">
        <f t="shared" si="42"/>
        <v>366</v>
      </c>
    </row>
    <row r="147" spans="1:50" ht="15" customHeight="1">
      <c r="E147" s="11" t="s">
        <v>224</v>
      </c>
      <c r="G147" s="11" t="s">
        <v>225</v>
      </c>
      <c r="I147" s="88"/>
      <c r="K147" s="104">
        <f t="shared" ref="K147:AX147" si="43">IF($I$135&gt;=K$127,1,IF($I$135&gt;=K$126,($I$135-K$126+1)/K$146,0))</f>
        <v>1</v>
      </c>
      <c r="L147" s="104">
        <f t="shared" si="43"/>
        <v>1</v>
      </c>
      <c r="M147" s="104">
        <f t="shared" si="43"/>
        <v>1</v>
      </c>
      <c r="N147" s="104">
        <f t="shared" si="43"/>
        <v>1</v>
      </c>
      <c r="O147" s="104">
        <f t="shared" si="43"/>
        <v>0</v>
      </c>
      <c r="P147" s="104">
        <f t="shared" si="43"/>
        <v>0</v>
      </c>
      <c r="Q147" s="104">
        <f t="shared" si="43"/>
        <v>0</v>
      </c>
      <c r="R147" s="104">
        <f t="shared" si="43"/>
        <v>0</v>
      </c>
      <c r="S147" s="104">
        <f t="shared" si="43"/>
        <v>0</v>
      </c>
      <c r="T147" s="104">
        <f t="shared" si="43"/>
        <v>0</v>
      </c>
      <c r="U147" s="104">
        <f t="shared" si="43"/>
        <v>0</v>
      </c>
      <c r="V147" s="104">
        <f t="shared" si="43"/>
        <v>0</v>
      </c>
      <c r="W147" s="104">
        <f t="shared" si="43"/>
        <v>0</v>
      </c>
      <c r="X147" s="104">
        <f t="shared" si="43"/>
        <v>0</v>
      </c>
      <c r="Y147" s="104">
        <f t="shared" si="43"/>
        <v>0</v>
      </c>
      <c r="Z147" s="104">
        <f t="shared" si="43"/>
        <v>0</v>
      </c>
      <c r="AA147" s="104">
        <f t="shared" si="43"/>
        <v>0</v>
      </c>
      <c r="AB147" s="104">
        <f t="shared" si="43"/>
        <v>0</v>
      </c>
      <c r="AC147" s="104">
        <f t="shared" si="43"/>
        <v>0</v>
      </c>
      <c r="AD147" s="104">
        <f t="shared" si="43"/>
        <v>0</v>
      </c>
      <c r="AE147" s="104">
        <f t="shared" si="43"/>
        <v>0</v>
      </c>
      <c r="AF147" s="104">
        <f t="shared" si="43"/>
        <v>0</v>
      </c>
      <c r="AG147" s="104">
        <f t="shared" si="43"/>
        <v>0</v>
      </c>
      <c r="AH147" s="104">
        <f t="shared" si="43"/>
        <v>0</v>
      </c>
      <c r="AI147" s="104">
        <f t="shared" si="43"/>
        <v>0</v>
      </c>
      <c r="AJ147" s="104">
        <f t="shared" si="43"/>
        <v>0</v>
      </c>
      <c r="AK147" s="104">
        <f t="shared" si="43"/>
        <v>0</v>
      </c>
      <c r="AL147" s="104">
        <f t="shared" si="43"/>
        <v>0</v>
      </c>
      <c r="AM147" s="104">
        <f t="shared" si="43"/>
        <v>0</v>
      </c>
      <c r="AN147" s="104">
        <f t="shared" si="43"/>
        <v>0</v>
      </c>
      <c r="AO147" s="104">
        <f t="shared" si="43"/>
        <v>0</v>
      </c>
      <c r="AP147" s="104">
        <f t="shared" si="43"/>
        <v>0</v>
      </c>
      <c r="AQ147" s="104">
        <f t="shared" si="43"/>
        <v>0</v>
      </c>
      <c r="AR147" s="104">
        <f t="shared" si="43"/>
        <v>0</v>
      </c>
      <c r="AS147" s="104">
        <f t="shared" si="43"/>
        <v>0</v>
      </c>
      <c r="AT147" s="104">
        <f t="shared" si="43"/>
        <v>0</v>
      </c>
      <c r="AU147" s="104">
        <f t="shared" si="43"/>
        <v>0</v>
      </c>
      <c r="AV147" s="104">
        <f t="shared" si="43"/>
        <v>0</v>
      </c>
      <c r="AW147" s="104">
        <f t="shared" si="43"/>
        <v>0</v>
      </c>
      <c r="AX147" s="104">
        <f t="shared" si="43"/>
        <v>0</v>
      </c>
    </row>
    <row r="148" spans="1:50" ht="15" customHeight="1">
      <c r="E148" s="11" t="s">
        <v>226</v>
      </c>
      <c r="G148" s="11" t="s">
        <v>225</v>
      </c>
      <c r="I148" s="88"/>
      <c r="K148" s="104">
        <f t="shared" ref="K148:AX148" si="44">IF(OR(K147=1,K149=1),0,IF($I$137&lt;K126,0,IF($I$137&lt;K127,($I$137-(MAX($I$135+1,K126)))/K146,MIN(1,(K127-$I$135)/K146))))</f>
        <v>0</v>
      </c>
      <c r="L148" s="104">
        <f t="shared" si="44"/>
        <v>0</v>
      </c>
      <c r="M148" s="104">
        <f t="shared" si="44"/>
        <v>0</v>
      </c>
      <c r="N148" s="104">
        <f t="shared" si="44"/>
        <v>0</v>
      </c>
      <c r="O148" s="104">
        <f t="shared" si="44"/>
        <v>1</v>
      </c>
      <c r="P148" s="104">
        <f t="shared" si="44"/>
        <v>1</v>
      </c>
      <c r="Q148" s="104">
        <f t="shared" si="44"/>
        <v>0</v>
      </c>
      <c r="R148" s="104">
        <f t="shared" si="44"/>
        <v>0</v>
      </c>
      <c r="S148" s="104">
        <f t="shared" si="44"/>
        <v>0</v>
      </c>
      <c r="T148" s="104">
        <f t="shared" si="44"/>
        <v>0</v>
      </c>
      <c r="U148" s="104">
        <f t="shared" si="44"/>
        <v>0</v>
      </c>
      <c r="V148" s="104">
        <f t="shared" si="44"/>
        <v>0</v>
      </c>
      <c r="W148" s="104">
        <f t="shared" si="44"/>
        <v>0</v>
      </c>
      <c r="X148" s="104">
        <f t="shared" si="44"/>
        <v>0</v>
      </c>
      <c r="Y148" s="104">
        <f t="shared" si="44"/>
        <v>0</v>
      </c>
      <c r="Z148" s="104">
        <f t="shared" si="44"/>
        <v>0</v>
      </c>
      <c r="AA148" s="104">
        <f t="shared" si="44"/>
        <v>0</v>
      </c>
      <c r="AB148" s="104">
        <f t="shared" si="44"/>
        <v>0</v>
      </c>
      <c r="AC148" s="104">
        <f t="shared" si="44"/>
        <v>0</v>
      </c>
      <c r="AD148" s="104">
        <f t="shared" si="44"/>
        <v>0</v>
      </c>
      <c r="AE148" s="104">
        <f t="shared" si="44"/>
        <v>0</v>
      </c>
      <c r="AF148" s="104">
        <f t="shared" si="44"/>
        <v>0</v>
      </c>
      <c r="AG148" s="104">
        <f t="shared" si="44"/>
        <v>0</v>
      </c>
      <c r="AH148" s="104">
        <f t="shared" si="44"/>
        <v>0</v>
      </c>
      <c r="AI148" s="104">
        <f t="shared" si="44"/>
        <v>0</v>
      </c>
      <c r="AJ148" s="104">
        <f t="shared" si="44"/>
        <v>0</v>
      </c>
      <c r="AK148" s="104">
        <f t="shared" si="44"/>
        <v>0</v>
      </c>
      <c r="AL148" s="104">
        <f t="shared" si="44"/>
        <v>0</v>
      </c>
      <c r="AM148" s="104">
        <f t="shared" si="44"/>
        <v>0</v>
      </c>
      <c r="AN148" s="104">
        <f t="shared" si="44"/>
        <v>0</v>
      </c>
      <c r="AO148" s="104">
        <f t="shared" si="44"/>
        <v>0</v>
      </c>
      <c r="AP148" s="104">
        <f t="shared" si="44"/>
        <v>0</v>
      </c>
      <c r="AQ148" s="104">
        <f t="shared" si="44"/>
        <v>0</v>
      </c>
      <c r="AR148" s="104">
        <f t="shared" si="44"/>
        <v>0</v>
      </c>
      <c r="AS148" s="104">
        <f t="shared" si="44"/>
        <v>0</v>
      </c>
      <c r="AT148" s="104">
        <f t="shared" si="44"/>
        <v>0</v>
      </c>
      <c r="AU148" s="104">
        <f t="shared" si="44"/>
        <v>0</v>
      </c>
      <c r="AV148" s="104">
        <f t="shared" si="44"/>
        <v>0</v>
      </c>
      <c r="AW148" s="104">
        <f t="shared" si="44"/>
        <v>0</v>
      </c>
      <c r="AX148" s="104">
        <f t="shared" si="44"/>
        <v>0</v>
      </c>
    </row>
    <row r="149" spans="1:50" ht="15" customHeight="1">
      <c r="E149" s="11" t="s">
        <v>227</v>
      </c>
      <c r="G149" s="11" t="s">
        <v>225</v>
      </c>
      <c r="I149" s="88"/>
      <c r="K149" s="104">
        <f t="shared" ref="K149:AX149" si="45">IF(OR($I$137&gt;K$127,$I$139&lt;K$126),0,IF($I$137&gt;=K$126,(K$127-$I$137+1)/K$146,IF($I$139&lt;=K$127,($I$139-K$126+1)/K$146,1)))</f>
        <v>0</v>
      </c>
      <c r="L149" s="104">
        <f t="shared" si="45"/>
        <v>0</v>
      </c>
      <c r="M149" s="104">
        <f t="shared" si="45"/>
        <v>0</v>
      </c>
      <c r="N149" s="104">
        <f t="shared" si="45"/>
        <v>0</v>
      </c>
      <c r="O149" s="104">
        <f t="shared" si="45"/>
        <v>0</v>
      </c>
      <c r="P149" s="104">
        <f t="shared" si="45"/>
        <v>0</v>
      </c>
      <c r="Q149" s="104">
        <f t="shared" si="45"/>
        <v>1</v>
      </c>
      <c r="R149" s="104">
        <f t="shared" si="45"/>
        <v>1</v>
      </c>
      <c r="S149" s="104">
        <f t="shared" si="45"/>
        <v>1</v>
      </c>
      <c r="T149" s="104">
        <f t="shared" si="45"/>
        <v>1</v>
      </c>
      <c r="U149" s="104">
        <f t="shared" si="45"/>
        <v>1</v>
      </c>
      <c r="V149" s="104">
        <f t="shared" si="45"/>
        <v>1</v>
      </c>
      <c r="W149" s="104">
        <f t="shared" si="45"/>
        <v>1</v>
      </c>
      <c r="X149" s="104">
        <f t="shared" si="45"/>
        <v>1</v>
      </c>
      <c r="Y149" s="104">
        <f t="shared" si="45"/>
        <v>1</v>
      </c>
      <c r="Z149" s="104">
        <f t="shared" si="45"/>
        <v>1</v>
      </c>
      <c r="AA149" s="104">
        <f t="shared" si="45"/>
        <v>1</v>
      </c>
      <c r="AB149" s="104">
        <f t="shared" si="45"/>
        <v>1</v>
      </c>
      <c r="AC149" s="104">
        <f t="shared" si="45"/>
        <v>1</v>
      </c>
      <c r="AD149" s="104">
        <f t="shared" si="45"/>
        <v>1</v>
      </c>
      <c r="AE149" s="104">
        <f t="shared" si="45"/>
        <v>1</v>
      </c>
      <c r="AF149" s="104">
        <f t="shared" si="45"/>
        <v>1</v>
      </c>
      <c r="AG149" s="104">
        <f t="shared" si="45"/>
        <v>1</v>
      </c>
      <c r="AH149" s="104">
        <f t="shared" si="45"/>
        <v>1</v>
      </c>
      <c r="AI149" s="104">
        <f t="shared" si="45"/>
        <v>1</v>
      </c>
      <c r="AJ149" s="104">
        <f t="shared" si="45"/>
        <v>1</v>
      </c>
      <c r="AK149" s="104">
        <f t="shared" si="45"/>
        <v>1</v>
      </c>
      <c r="AL149" s="104">
        <f t="shared" si="45"/>
        <v>1</v>
      </c>
      <c r="AM149" s="104">
        <f t="shared" si="45"/>
        <v>1</v>
      </c>
      <c r="AN149" s="104">
        <f t="shared" si="45"/>
        <v>0</v>
      </c>
      <c r="AO149" s="104">
        <f t="shared" si="45"/>
        <v>0</v>
      </c>
      <c r="AP149" s="104">
        <f t="shared" si="45"/>
        <v>0</v>
      </c>
      <c r="AQ149" s="104">
        <f t="shared" si="45"/>
        <v>0</v>
      </c>
      <c r="AR149" s="104">
        <f t="shared" si="45"/>
        <v>0</v>
      </c>
      <c r="AS149" s="104">
        <f t="shared" si="45"/>
        <v>0</v>
      </c>
      <c r="AT149" s="104">
        <f t="shared" si="45"/>
        <v>0</v>
      </c>
      <c r="AU149" s="104">
        <f t="shared" si="45"/>
        <v>0</v>
      </c>
      <c r="AV149" s="104">
        <f t="shared" si="45"/>
        <v>0</v>
      </c>
      <c r="AW149" s="104">
        <f t="shared" si="45"/>
        <v>0</v>
      </c>
      <c r="AX149" s="104">
        <f t="shared" si="45"/>
        <v>0</v>
      </c>
    </row>
    <row r="150" spans="1:50" ht="15" customHeight="1">
      <c r="E150" s="11" t="s">
        <v>228</v>
      </c>
      <c r="G150" s="11" t="s">
        <v>225</v>
      </c>
      <c r="I150" s="88"/>
      <c r="K150" s="104">
        <f t="shared" ref="K150:AX150" si="46">IF(OR($I$134&gt;K$127,$I$139&lt;K$126),0,IF($I$134&gt;=K$126,(K$127-$I$134+1)/K$146,IF($I$139&lt;=K$127,($I$139-K$126+1)/K$146,1)))</f>
        <v>0</v>
      </c>
      <c r="L150" s="104">
        <f t="shared" si="46"/>
        <v>0</v>
      </c>
      <c r="M150" s="104">
        <f t="shared" si="46"/>
        <v>0</v>
      </c>
      <c r="N150" s="104">
        <f t="shared" si="46"/>
        <v>0</v>
      </c>
      <c r="O150" s="104">
        <f t="shared" si="46"/>
        <v>1</v>
      </c>
      <c r="P150" s="104">
        <f t="shared" si="46"/>
        <v>1</v>
      </c>
      <c r="Q150" s="104">
        <f t="shared" si="46"/>
        <v>1</v>
      </c>
      <c r="R150" s="104">
        <f t="shared" si="46"/>
        <v>1</v>
      </c>
      <c r="S150" s="104">
        <f t="shared" si="46"/>
        <v>1</v>
      </c>
      <c r="T150" s="104">
        <f t="shared" si="46"/>
        <v>1</v>
      </c>
      <c r="U150" s="104">
        <f t="shared" si="46"/>
        <v>1</v>
      </c>
      <c r="V150" s="104">
        <f t="shared" si="46"/>
        <v>1</v>
      </c>
      <c r="W150" s="104">
        <f t="shared" si="46"/>
        <v>1</v>
      </c>
      <c r="X150" s="104">
        <f t="shared" si="46"/>
        <v>1</v>
      </c>
      <c r="Y150" s="104">
        <f t="shared" si="46"/>
        <v>1</v>
      </c>
      <c r="Z150" s="104">
        <f t="shared" si="46"/>
        <v>1</v>
      </c>
      <c r="AA150" s="104">
        <f t="shared" si="46"/>
        <v>1</v>
      </c>
      <c r="AB150" s="104">
        <f t="shared" si="46"/>
        <v>1</v>
      </c>
      <c r="AC150" s="104">
        <f t="shared" si="46"/>
        <v>1</v>
      </c>
      <c r="AD150" s="104">
        <f t="shared" si="46"/>
        <v>1</v>
      </c>
      <c r="AE150" s="104">
        <f t="shared" si="46"/>
        <v>1</v>
      </c>
      <c r="AF150" s="104">
        <f t="shared" si="46"/>
        <v>1</v>
      </c>
      <c r="AG150" s="104">
        <f t="shared" si="46"/>
        <v>1</v>
      </c>
      <c r="AH150" s="104">
        <f t="shared" si="46"/>
        <v>1</v>
      </c>
      <c r="AI150" s="104">
        <f t="shared" si="46"/>
        <v>1</v>
      </c>
      <c r="AJ150" s="104">
        <f t="shared" si="46"/>
        <v>1</v>
      </c>
      <c r="AK150" s="104">
        <f t="shared" si="46"/>
        <v>1</v>
      </c>
      <c r="AL150" s="104">
        <f t="shared" si="46"/>
        <v>1</v>
      </c>
      <c r="AM150" s="104">
        <f t="shared" si="46"/>
        <v>1</v>
      </c>
      <c r="AN150" s="104">
        <f t="shared" si="46"/>
        <v>0</v>
      </c>
      <c r="AO150" s="104">
        <f t="shared" si="46"/>
        <v>0</v>
      </c>
      <c r="AP150" s="104">
        <f t="shared" si="46"/>
        <v>0</v>
      </c>
      <c r="AQ150" s="104">
        <f t="shared" si="46"/>
        <v>0</v>
      </c>
      <c r="AR150" s="104">
        <f t="shared" si="46"/>
        <v>0</v>
      </c>
      <c r="AS150" s="104">
        <f t="shared" si="46"/>
        <v>0</v>
      </c>
      <c r="AT150" s="104">
        <f t="shared" si="46"/>
        <v>0</v>
      </c>
      <c r="AU150" s="104">
        <f t="shared" si="46"/>
        <v>0</v>
      </c>
      <c r="AV150" s="104">
        <f t="shared" si="46"/>
        <v>0</v>
      </c>
      <c r="AW150" s="104">
        <f t="shared" si="46"/>
        <v>0</v>
      </c>
      <c r="AX150" s="104">
        <f t="shared" si="46"/>
        <v>0</v>
      </c>
    </row>
    <row r="151" spans="1:50" ht="15" customHeight="1">
      <c r="E151" s="11" t="s">
        <v>229</v>
      </c>
      <c r="G151" s="11" t="s">
        <v>230</v>
      </c>
      <c r="I151" s="88"/>
      <c r="K151" s="104">
        <f>ROUNDUP(SUM($K$150:K150)*(K150&lt;&gt;0),0)</f>
        <v>0</v>
      </c>
      <c r="L151" s="104">
        <f>ROUNDUP(SUM($K$150:L150)*(L150&lt;&gt;0),0)</f>
        <v>0</v>
      </c>
      <c r="M151" s="104">
        <f>ROUNDUP(SUM($K$150:M150)*(M150&lt;&gt;0),0)</f>
        <v>0</v>
      </c>
      <c r="N151" s="104">
        <f>ROUNDUP(SUM($K$150:N150)*(N150&lt;&gt;0),0)</f>
        <v>0</v>
      </c>
      <c r="O151" s="104">
        <f>ROUNDUP(SUM($K$150:O150)*(O150&lt;&gt;0),0)</f>
        <v>1</v>
      </c>
      <c r="P151" s="104">
        <f>ROUNDUP(SUM($K$150:P150)*(P150&lt;&gt;0),0)</f>
        <v>2</v>
      </c>
      <c r="Q151" s="104">
        <f>ROUNDUP(SUM($K$150:Q150)*(Q150&lt;&gt;0),0)</f>
        <v>3</v>
      </c>
      <c r="R151" s="104">
        <f>ROUNDUP(SUM($K$150:R150)*(R150&lt;&gt;0),0)</f>
        <v>4</v>
      </c>
      <c r="S151" s="104">
        <f>ROUNDUP(SUM($K$150:S150)*(S150&lt;&gt;0),0)</f>
        <v>5</v>
      </c>
      <c r="T151" s="104">
        <f>ROUNDUP(SUM($K$150:T150)*(T150&lt;&gt;0),0)</f>
        <v>6</v>
      </c>
      <c r="U151" s="104">
        <f>ROUNDUP(SUM($K$150:U150)*(U150&lt;&gt;0),0)</f>
        <v>7</v>
      </c>
      <c r="V151" s="104">
        <f>ROUNDUP(SUM($K$150:V150)*(V150&lt;&gt;0),0)</f>
        <v>8</v>
      </c>
      <c r="W151" s="104">
        <f>ROUNDUP(SUM($K$150:W150)*(W150&lt;&gt;0),0)</f>
        <v>9</v>
      </c>
      <c r="X151" s="104">
        <f>ROUNDUP(SUM($K$150:X150)*(X150&lt;&gt;0),0)</f>
        <v>10</v>
      </c>
      <c r="Y151" s="104">
        <f>ROUNDUP(SUM($K$150:Y150)*(Y150&lt;&gt;0),0)</f>
        <v>11</v>
      </c>
      <c r="Z151" s="104">
        <f>ROUNDUP(SUM($K$150:Z150)*(Z150&lt;&gt;0),0)</f>
        <v>12</v>
      </c>
      <c r="AA151" s="104">
        <f>ROUNDUP(SUM($K$150:AA150)*(AA150&lt;&gt;0),0)</f>
        <v>13</v>
      </c>
      <c r="AB151" s="104">
        <f>ROUNDUP(SUM($K$150:AB150)*(AB150&lt;&gt;0),0)</f>
        <v>14</v>
      </c>
      <c r="AC151" s="104">
        <f>ROUNDUP(SUM($K$150:AC150)*(AC150&lt;&gt;0),0)</f>
        <v>15</v>
      </c>
      <c r="AD151" s="104">
        <f>ROUNDUP(SUM($K$150:AD150)*(AD150&lt;&gt;0),0)</f>
        <v>16</v>
      </c>
      <c r="AE151" s="104">
        <f>ROUNDUP(SUM($K$150:AE150)*(AE150&lt;&gt;0),0)</f>
        <v>17</v>
      </c>
      <c r="AF151" s="104">
        <f>ROUNDUP(SUM($K$150:AF150)*(AF150&lt;&gt;0),0)</f>
        <v>18</v>
      </c>
      <c r="AG151" s="104">
        <f>ROUNDUP(SUM($K$150:AG150)*(AG150&lt;&gt;0),0)</f>
        <v>19</v>
      </c>
      <c r="AH151" s="104">
        <f>ROUNDUP(SUM($K$150:AH150)*(AH150&lt;&gt;0),0)</f>
        <v>20</v>
      </c>
      <c r="AI151" s="104">
        <f>ROUNDUP(SUM($K$150:AI150)*(AI150&lt;&gt;0),0)</f>
        <v>21</v>
      </c>
      <c r="AJ151" s="104">
        <f>ROUNDUP(SUM($K$150:AJ150)*(AJ150&lt;&gt;0),0)</f>
        <v>22</v>
      </c>
      <c r="AK151" s="104">
        <f>ROUNDUP(SUM($K$150:AK150)*(AK150&lt;&gt;0),0)</f>
        <v>23</v>
      </c>
      <c r="AL151" s="104">
        <f>ROUNDUP(SUM($K$150:AL150)*(AL150&lt;&gt;0),0)</f>
        <v>24</v>
      </c>
      <c r="AM151" s="104">
        <f>ROUNDUP(SUM($K$150:AM150)*(AM150&lt;&gt;0),0)</f>
        <v>25</v>
      </c>
      <c r="AN151" s="104">
        <f>ROUNDUP(SUM($K$150:AN150)*(AN150&lt;&gt;0),0)</f>
        <v>0</v>
      </c>
      <c r="AO151" s="104">
        <f>ROUNDUP(SUM($K$150:AO150)*(AO150&lt;&gt;0),0)</f>
        <v>0</v>
      </c>
      <c r="AP151" s="104">
        <f>ROUNDUP(SUM($K$150:AP150)*(AP150&lt;&gt;0),0)</f>
        <v>0</v>
      </c>
      <c r="AQ151" s="104">
        <f>ROUNDUP(SUM($K$150:AQ150)*(AQ150&lt;&gt;0),0)</f>
        <v>0</v>
      </c>
      <c r="AR151" s="104">
        <f>ROUNDUP(SUM($K$150:AR150)*(AR150&lt;&gt;0),0)</f>
        <v>0</v>
      </c>
      <c r="AS151" s="104">
        <f>ROUNDUP(SUM($K$150:AS150)*(AS150&lt;&gt;0),0)</f>
        <v>0</v>
      </c>
      <c r="AT151" s="104">
        <f>ROUNDUP(SUM($K$150:AT150)*(AT150&lt;&gt;0),0)</f>
        <v>0</v>
      </c>
      <c r="AU151" s="104">
        <f>ROUNDUP(SUM($K$150:AU150)*(AU150&lt;&gt;0),0)</f>
        <v>0</v>
      </c>
      <c r="AV151" s="104">
        <f>ROUNDUP(SUM($K$150:AV150)*(AV150&lt;&gt;0),0)</f>
        <v>0</v>
      </c>
      <c r="AW151" s="104">
        <f>ROUNDUP(SUM($K$150:AW150)*(AW150&lt;&gt;0),0)</f>
        <v>0</v>
      </c>
      <c r="AX151" s="104">
        <f>ROUNDUP(SUM($K$150:AX150)*(AX150&lt;&gt;0),0)</f>
        <v>0</v>
      </c>
    </row>
    <row r="152" spans="1:50" ht="15" customHeight="1">
      <c r="E152" s="11" t="s">
        <v>231</v>
      </c>
      <c r="G152" s="11" t="s">
        <v>225</v>
      </c>
      <c r="I152" s="88"/>
      <c r="K152" s="105">
        <f>IF(AND(SUM(K26:K28)&lt;&gt;0,SUM(L26:$AY28)=0),1,0)</f>
        <v>0</v>
      </c>
      <c r="L152" s="105">
        <f>IF(AND(SUM(L26:L28)&lt;&gt;0,SUM(M26:$AY28)=0),1,0)</f>
        <v>0</v>
      </c>
      <c r="M152" s="105">
        <f>IF(AND(SUM(M26:M28)&lt;&gt;0,SUM(N26:$AY28)=0),1,0)</f>
        <v>0</v>
      </c>
      <c r="N152" s="105">
        <f>IF(AND(SUM(N26:N28)&lt;&gt;0,SUM(O26:$AY28)=0),1,0)</f>
        <v>0</v>
      </c>
      <c r="O152" s="105">
        <f>IF(AND(SUM(O26:O28)&lt;&gt;0,SUM(P26:$AY28)=0),1,0)</f>
        <v>1</v>
      </c>
      <c r="P152" s="105">
        <f>IF(AND(SUM(P26:P28)&lt;&gt;0,SUM(Q26:$AY28)=0),1,0)</f>
        <v>0</v>
      </c>
      <c r="Q152" s="105">
        <f>IF(AND(SUM(Q26:Q28)&lt;&gt;0,SUM(R26:$AY28)=0),1,0)</f>
        <v>0</v>
      </c>
      <c r="R152" s="105">
        <f>IF(AND(SUM(R26:R28)&lt;&gt;0,SUM(S26:$AY28)=0),1,0)</f>
        <v>0</v>
      </c>
      <c r="S152" s="105">
        <f>IF(AND(SUM(S26:S28)&lt;&gt;0,SUM(T26:$AY28)=0),1,0)</f>
        <v>0</v>
      </c>
      <c r="T152" s="105">
        <f>IF(AND(SUM(T26:T28)&lt;&gt;0,SUM(U26:$AY28)=0),1,0)</f>
        <v>0</v>
      </c>
      <c r="U152" s="105">
        <f>IF(AND(SUM(U26:U28)&lt;&gt;0,SUM(V26:$AY28)=0),1,0)</f>
        <v>0</v>
      </c>
      <c r="V152" s="105">
        <f>IF(AND(SUM(V26:V28)&lt;&gt;0,SUM(W26:$AY28)=0),1,0)</f>
        <v>0</v>
      </c>
      <c r="W152" s="105">
        <f>IF(AND(SUM(W26:W28)&lt;&gt;0,SUM(X26:$AY28)=0),1,0)</f>
        <v>0</v>
      </c>
      <c r="X152" s="105">
        <f>IF(AND(SUM(X26:X28)&lt;&gt;0,SUM(Y26:$AY28)=0),1,0)</f>
        <v>0</v>
      </c>
      <c r="Y152" s="105">
        <f>IF(AND(SUM(Y26:Y28)&lt;&gt;0,SUM(Z26:$AY28)=0),1,0)</f>
        <v>0</v>
      </c>
      <c r="Z152" s="105">
        <f>IF(AND(SUM(Z26:Z28)&lt;&gt;0,SUM(AA26:$AY28)=0),1,0)</f>
        <v>0</v>
      </c>
      <c r="AA152" s="105">
        <f>IF(AND(SUM(AA26:AA28)&lt;&gt;0,SUM(AB26:$AY28)=0),1,0)</f>
        <v>0</v>
      </c>
      <c r="AB152" s="105">
        <f>IF(AND(SUM(AB26:AB28)&lt;&gt;0,SUM(AC26:$AY28)=0),1,0)</f>
        <v>0</v>
      </c>
      <c r="AC152" s="105">
        <f>IF(AND(SUM(AC26:AC28)&lt;&gt;0,SUM(AD26:$AY28)=0),1,0)</f>
        <v>0</v>
      </c>
      <c r="AD152" s="105">
        <f>IF(AND(SUM(AD26:AD28)&lt;&gt;0,SUM(AE26:$AY28)=0),1,0)</f>
        <v>0</v>
      </c>
      <c r="AE152" s="105">
        <f>IF(AND(SUM(AE26:AE28)&lt;&gt;0,SUM(AF26:$AY28)=0),1,0)</f>
        <v>0</v>
      </c>
      <c r="AF152" s="105">
        <f>IF(AND(SUM(AF26:AF28)&lt;&gt;0,SUM(AG26:$AY28)=0),1,0)</f>
        <v>0</v>
      </c>
      <c r="AG152" s="105">
        <f>IF(AND(SUM(AG26:AG28)&lt;&gt;0,SUM(AH26:$AY28)=0),1,0)</f>
        <v>0</v>
      </c>
      <c r="AH152" s="105">
        <f>IF(AND(SUM(AH26:AH28)&lt;&gt;0,SUM(AI26:$AY28)=0),1,0)</f>
        <v>0</v>
      </c>
      <c r="AI152" s="105">
        <f>IF(AND(SUM(AI26:AI28)&lt;&gt;0,SUM(AJ26:$AY28)=0),1,0)</f>
        <v>0</v>
      </c>
      <c r="AJ152" s="105">
        <f>IF(AND(SUM(AJ26:AJ28)&lt;&gt;0,SUM(AK26:$AY28)=0),1,0)</f>
        <v>0</v>
      </c>
      <c r="AK152" s="105">
        <f>IF(AND(SUM(AK26:AK28)&lt;&gt;0,SUM(AL26:$AY28)=0),1,0)</f>
        <v>0</v>
      </c>
      <c r="AL152" s="105">
        <f>IF(AND(SUM(AL26:AL28)&lt;&gt;0,SUM(AM26:$AY28)=0),1,0)</f>
        <v>0</v>
      </c>
      <c r="AM152" s="105">
        <f>IF(AND(SUM(AM26:AM28)&lt;&gt;0,SUM(AN26:$AY28)=0),1,0)</f>
        <v>0</v>
      </c>
      <c r="AN152" s="105">
        <f>IF(AND(SUM(AN26:AN28)&lt;&gt;0,SUM(AO26:$AY28)=0),1,0)</f>
        <v>0</v>
      </c>
      <c r="AO152" s="105">
        <f>IF(AND(SUM(AO26:AO28)&lt;&gt;0,SUM(AP26:$AY28)=0),1,0)</f>
        <v>0</v>
      </c>
      <c r="AP152" s="105">
        <f>IF(AND(SUM(AP26:AP28)&lt;&gt;0,SUM(AQ26:$AY28)=0),1,0)</f>
        <v>0</v>
      </c>
      <c r="AQ152" s="105">
        <f>IF(AND(SUM(AQ26:AQ28)&lt;&gt;0,SUM(AR26:$AY28)=0),1,0)</f>
        <v>0</v>
      </c>
      <c r="AR152" s="105">
        <f>IF(AND(SUM(AR26:AR28)&lt;&gt;0,SUM(AS26:$AY28)=0),1,0)</f>
        <v>0</v>
      </c>
      <c r="AS152" s="105">
        <f>IF(AND(SUM(AS26:AS28)&lt;&gt;0,SUM(AT26:$AY28)=0),1,0)</f>
        <v>0</v>
      </c>
      <c r="AT152" s="105">
        <f>IF(AND(SUM(AT26:AT28)&lt;&gt;0,SUM(AU26:$AY28)=0),1,0)</f>
        <v>0</v>
      </c>
      <c r="AU152" s="105">
        <f>IF(AND(SUM(AU26:AU28)&lt;&gt;0,SUM(AV26:$AY28)=0),1,0)</f>
        <v>0</v>
      </c>
      <c r="AV152" s="105">
        <f>IF(AND(SUM(AV26:AV28)&lt;&gt;0,SUM(AW26:$AY28)=0),1,0)</f>
        <v>0</v>
      </c>
      <c r="AW152" s="105">
        <f>IF(AND(SUM(AW26:AW28)&lt;&gt;0,SUM(AX26:$AY28)=0),1,0)</f>
        <v>0</v>
      </c>
      <c r="AX152" s="105">
        <f>IF(AND(SUM(AX26:AX28)&lt;&gt;0,SUM(AY26:$AY28)=0),1,0)</f>
        <v>0</v>
      </c>
    </row>
    <row r="153" spans="1:50" ht="14.25" customHeight="1">
      <c r="E153" s="11" t="s">
        <v>232</v>
      </c>
      <c r="G153" s="11" t="s">
        <v>225</v>
      </c>
      <c r="H153" s="11" t="s">
        <v>233</v>
      </c>
      <c r="I153" s="88"/>
      <c r="K153" s="104">
        <f t="shared" ref="K153:AX153" si="47">IF(AND($I$137&lt;=K$127,$I$137&gt;=K$126),1,0)</f>
        <v>0</v>
      </c>
      <c r="L153" s="104">
        <f t="shared" si="47"/>
        <v>0</v>
      </c>
      <c r="M153" s="104">
        <f t="shared" si="47"/>
        <v>0</v>
      </c>
      <c r="N153" s="104">
        <f t="shared" si="47"/>
        <v>0</v>
      </c>
      <c r="O153" s="104">
        <f t="shared" si="47"/>
        <v>0</v>
      </c>
      <c r="P153" s="104">
        <f t="shared" si="47"/>
        <v>0</v>
      </c>
      <c r="Q153" s="104">
        <f t="shared" si="47"/>
        <v>1</v>
      </c>
      <c r="R153" s="104">
        <f t="shared" si="47"/>
        <v>0</v>
      </c>
      <c r="S153" s="104">
        <f t="shared" si="47"/>
        <v>0</v>
      </c>
      <c r="T153" s="104">
        <f t="shared" si="47"/>
        <v>0</v>
      </c>
      <c r="U153" s="104">
        <f t="shared" si="47"/>
        <v>0</v>
      </c>
      <c r="V153" s="104">
        <f t="shared" si="47"/>
        <v>0</v>
      </c>
      <c r="W153" s="104">
        <f t="shared" si="47"/>
        <v>0</v>
      </c>
      <c r="X153" s="104">
        <f t="shared" si="47"/>
        <v>0</v>
      </c>
      <c r="Y153" s="104">
        <f t="shared" si="47"/>
        <v>0</v>
      </c>
      <c r="Z153" s="104">
        <f t="shared" si="47"/>
        <v>0</v>
      </c>
      <c r="AA153" s="104">
        <f t="shared" si="47"/>
        <v>0</v>
      </c>
      <c r="AB153" s="104">
        <f t="shared" si="47"/>
        <v>0</v>
      </c>
      <c r="AC153" s="104">
        <f t="shared" si="47"/>
        <v>0</v>
      </c>
      <c r="AD153" s="104">
        <f t="shared" si="47"/>
        <v>0</v>
      </c>
      <c r="AE153" s="104">
        <f t="shared" si="47"/>
        <v>0</v>
      </c>
      <c r="AF153" s="104">
        <f t="shared" si="47"/>
        <v>0</v>
      </c>
      <c r="AG153" s="104">
        <f t="shared" si="47"/>
        <v>0</v>
      </c>
      <c r="AH153" s="104">
        <f t="shared" si="47"/>
        <v>0</v>
      </c>
      <c r="AI153" s="104">
        <f t="shared" si="47"/>
        <v>0</v>
      </c>
      <c r="AJ153" s="104">
        <f t="shared" si="47"/>
        <v>0</v>
      </c>
      <c r="AK153" s="104">
        <f t="shared" si="47"/>
        <v>0</v>
      </c>
      <c r="AL153" s="104">
        <f t="shared" si="47"/>
        <v>0</v>
      </c>
      <c r="AM153" s="104">
        <f t="shared" si="47"/>
        <v>0</v>
      </c>
      <c r="AN153" s="104">
        <f t="shared" si="47"/>
        <v>0</v>
      </c>
      <c r="AO153" s="104">
        <f t="shared" si="47"/>
        <v>0</v>
      </c>
      <c r="AP153" s="104">
        <f t="shared" si="47"/>
        <v>0</v>
      </c>
      <c r="AQ153" s="104">
        <f t="shared" si="47"/>
        <v>0</v>
      </c>
      <c r="AR153" s="104">
        <f t="shared" si="47"/>
        <v>0</v>
      </c>
      <c r="AS153" s="104">
        <f t="shared" si="47"/>
        <v>0</v>
      </c>
      <c r="AT153" s="104">
        <f t="shared" si="47"/>
        <v>0</v>
      </c>
      <c r="AU153" s="104">
        <f t="shared" si="47"/>
        <v>0</v>
      </c>
      <c r="AV153" s="104">
        <f t="shared" si="47"/>
        <v>0</v>
      </c>
      <c r="AW153" s="104">
        <f t="shared" si="47"/>
        <v>0</v>
      </c>
      <c r="AX153" s="104">
        <f t="shared" si="47"/>
        <v>0</v>
      </c>
    </row>
    <row r="154" spans="1:50" ht="15" customHeight="1">
      <c r="E154" s="11" t="s">
        <v>234</v>
      </c>
      <c r="G154" s="11" t="s">
        <v>225</v>
      </c>
      <c r="I154" s="88"/>
      <c r="K154" s="104">
        <f>IF(AND(SUM($J27:K27)=0,L27&gt;0),1,0)</f>
        <v>1</v>
      </c>
      <c r="L154" s="104">
        <f>IF(AND(SUM($J27:L27)=0,M27&gt;0),1,0)</f>
        <v>0</v>
      </c>
      <c r="M154" s="104">
        <f>IF(AND(SUM($J27:M27)=0,N27&gt;0),1,0)</f>
        <v>0</v>
      </c>
      <c r="N154" s="104">
        <f>IF(AND(SUM($J27:N27)=0,O27&gt;0),1,0)</f>
        <v>0</v>
      </c>
      <c r="O154" s="104">
        <f>IF(AND(SUM($J27:O27)=0,P27&gt;0),1,0)</f>
        <v>0</v>
      </c>
      <c r="P154" s="104">
        <f>IF(AND(SUM($J27:P27)=0,Q27&gt;0),1,0)</f>
        <v>0</v>
      </c>
      <c r="Q154" s="104">
        <f>IF(AND(SUM($J27:Q27)=0,R27&gt;0),1,0)</f>
        <v>0</v>
      </c>
      <c r="R154" s="104">
        <f>IF(AND(SUM($J27:R27)=0,S27&gt;0),1,0)</f>
        <v>0</v>
      </c>
      <c r="S154" s="104">
        <f>IF(AND(SUM($J27:S27)=0,T27&gt;0),1,0)</f>
        <v>0</v>
      </c>
      <c r="T154" s="104">
        <f>IF(AND(SUM($J27:T27)=0,U27&gt;0),1,0)</f>
        <v>0</v>
      </c>
      <c r="U154" s="104">
        <f>IF(AND(SUM($J27:U27)=0,V27&gt;0),1,0)</f>
        <v>0</v>
      </c>
      <c r="V154" s="104">
        <f>IF(AND(SUM($J27:V27)=0,W27&gt;0),1,0)</f>
        <v>0</v>
      </c>
      <c r="W154" s="104">
        <f>IF(AND(SUM($J27:W27)=0,X27&gt;0),1,0)</f>
        <v>0</v>
      </c>
      <c r="X154" s="104">
        <f>IF(AND(SUM($J27:X27)=0,Y27&gt;0),1,0)</f>
        <v>0</v>
      </c>
      <c r="Y154" s="104">
        <f>IF(AND(SUM($J27:Y27)=0,Z27&gt;0),1,0)</f>
        <v>0</v>
      </c>
      <c r="Z154" s="104">
        <f>IF(AND(SUM($J27:Z27)=0,AA27&gt;0),1,0)</f>
        <v>0</v>
      </c>
      <c r="AA154" s="104">
        <f>IF(AND(SUM($J27:AA27)=0,AB27&gt;0),1,0)</f>
        <v>0</v>
      </c>
      <c r="AB154" s="104">
        <f>IF(AND(SUM($J27:AB27)=0,AC27&gt;0),1,0)</f>
        <v>0</v>
      </c>
      <c r="AC154" s="104">
        <f>IF(AND(SUM($J27:AC27)=0,AD27&gt;0),1,0)</f>
        <v>0</v>
      </c>
      <c r="AD154" s="104">
        <f>IF(AND(SUM($J27:AD27)=0,AE27&gt;0),1,0)</f>
        <v>0</v>
      </c>
      <c r="AE154" s="104">
        <f>IF(AND(SUM($J27:AE27)=0,AF27&gt;0),1,0)</f>
        <v>0</v>
      </c>
      <c r="AF154" s="104">
        <f>IF(AND(SUM($J27:AF27)=0,AG27&gt;0),1,0)</f>
        <v>0</v>
      </c>
      <c r="AG154" s="104">
        <f>IF(AND(SUM($J27:AG27)=0,AH27&gt;0),1,0)</f>
        <v>0</v>
      </c>
      <c r="AH154" s="104">
        <f>IF(AND(SUM($J27:AH27)=0,AI27&gt;0),1,0)</f>
        <v>0</v>
      </c>
      <c r="AI154" s="104">
        <f>IF(AND(SUM($J27:AI27)=0,AJ27&gt;0),1,0)</f>
        <v>0</v>
      </c>
      <c r="AJ154" s="104">
        <f>IF(AND(SUM($J27:AJ27)=0,AK27&gt;0),1,0)</f>
        <v>0</v>
      </c>
      <c r="AK154" s="104">
        <f>IF(AND(SUM($J27:AK27)=0,AL27&gt;0),1,0)</f>
        <v>0</v>
      </c>
      <c r="AL154" s="104">
        <f>IF(AND(SUM($J27:AL27)=0,AM27&gt;0),1,0)</f>
        <v>0</v>
      </c>
      <c r="AM154" s="104">
        <f>IF(AND(SUM($J27:AM27)=0,AN27&gt;0),1,0)</f>
        <v>0</v>
      </c>
      <c r="AN154" s="104">
        <f>IF(AND(SUM($J27:AN27)=0,AO27&gt;0),1,0)</f>
        <v>0</v>
      </c>
      <c r="AO154" s="104">
        <f>IF(AND(SUM($J27:AO27)=0,AP27&gt;0),1,0)</f>
        <v>0</v>
      </c>
      <c r="AP154" s="104">
        <f>IF(AND(SUM($J27:AP27)=0,AQ27&gt;0),1,0)</f>
        <v>0</v>
      </c>
      <c r="AQ154" s="104">
        <f>IF(AND(SUM($J27:AQ27)=0,AR27&gt;0),1,0)</f>
        <v>0</v>
      </c>
      <c r="AR154" s="104">
        <f>IF(AND(SUM($J27:AR27)=0,AS27&gt;0),1,0)</f>
        <v>0</v>
      </c>
      <c r="AS154" s="104">
        <f>IF(AND(SUM($J27:AS27)=0,AT27&gt;0),1,0)</f>
        <v>0</v>
      </c>
      <c r="AT154" s="104">
        <f>IF(AND(SUM($J27:AT27)=0,AU27&gt;0),1,0)</f>
        <v>0</v>
      </c>
      <c r="AU154" s="104">
        <f>IF(AND(SUM($J27:AU27)=0,AV27&gt;0),1,0)</f>
        <v>0</v>
      </c>
      <c r="AV154" s="104">
        <f>IF(AND(SUM($J27:AV27)=0,AW27&gt;0),1,0)</f>
        <v>0</v>
      </c>
      <c r="AW154" s="104">
        <f>IF(AND(SUM($J27:AW27)=0,AX27&gt;0),1,0)</f>
        <v>0</v>
      </c>
      <c r="AX154" s="104">
        <f>IF(AND(SUM($J27:AX27)=0,AY27&gt;0),1,0)</f>
        <v>0</v>
      </c>
    </row>
    <row r="155" spans="1:50" ht="15" customHeight="1">
      <c r="A155" s="86"/>
      <c r="E155" s="11" t="s">
        <v>235</v>
      </c>
      <c r="G155" s="11" t="s">
        <v>225</v>
      </c>
      <c r="I155" s="88"/>
      <c r="K155" s="105">
        <f>IF(AND(SUM($J27:J27)=0,K27&gt;0),1,0)</f>
        <v>0</v>
      </c>
      <c r="L155" s="105">
        <f>IF(AND(SUM($J27:K27)=0,L27&gt;0),1,0)</f>
        <v>1</v>
      </c>
      <c r="M155" s="105">
        <f>IF(AND(SUM($J27:L27)=0,M27&gt;0),1,0)</f>
        <v>0</v>
      </c>
      <c r="N155" s="105">
        <f>IF(AND(SUM($J27:M27)=0,N27&gt;0),1,0)</f>
        <v>0</v>
      </c>
      <c r="O155" s="105">
        <f>IF(AND(SUM($J27:N27)=0,O27&gt;0),1,0)</f>
        <v>0</v>
      </c>
      <c r="P155" s="105">
        <f>IF(AND(SUM($J27:O27)=0,P27&gt;0),1,0)</f>
        <v>0</v>
      </c>
      <c r="Q155" s="105">
        <f>IF(AND(SUM($J27:P27)=0,Q27&gt;0),1,0)</f>
        <v>0</v>
      </c>
      <c r="R155" s="105">
        <f>IF(AND(SUM($J27:Q27)=0,R27&gt;0),1,0)</f>
        <v>0</v>
      </c>
      <c r="S155" s="105">
        <f>IF(AND(SUM($J27:R27)=0,S27&gt;0),1,0)</f>
        <v>0</v>
      </c>
      <c r="T155" s="105">
        <f>IF(AND(SUM($J27:S27)=0,T27&gt;0),1,0)</f>
        <v>0</v>
      </c>
      <c r="U155" s="105">
        <f>IF(AND(SUM($J27:T27)=0,U27&gt;0),1,0)</f>
        <v>0</v>
      </c>
      <c r="V155" s="105">
        <f>IF(AND(SUM($J27:U27)=0,V27&gt;0),1,0)</f>
        <v>0</v>
      </c>
      <c r="W155" s="105">
        <f>IF(AND(SUM($J27:V27)=0,W27&gt;0),1,0)</f>
        <v>0</v>
      </c>
      <c r="X155" s="105">
        <f>IF(AND(SUM($J27:W27)=0,X27&gt;0),1,0)</f>
        <v>0</v>
      </c>
      <c r="Y155" s="105">
        <f>IF(AND(SUM($J27:X27)=0,Y27&gt;0),1,0)</f>
        <v>0</v>
      </c>
      <c r="Z155" s="105">
        <f>IF(AND(SUM($J27:Y27)=0,Z27&gt;0),1,0)</f>
        <v>0</v>
      </c>
      <c r="AA155" s="105">
        <f>IF(AND(SUM($J27:Z27)=0,AA27&gt;0),1,0)</f>
        <v>0</v>
      </c>
      <c r="AB155" s="105">
        <f>IF(AND(SUM($J27:AA27)=0,AB27&gt;0),1,0)</f>
        <v>0</v>
      </c>
      <c r="AC155" s="105">
        <f>IF(AND(SUM($J27:AB27)=0,AC27&gt;0),1,0)</f>
        <v>0</v>
      </c>
      <c r="AD155" s="105">
        <f>IF(AND(SUM($J27:AC27)=0,AD27&gt;0),1,0)</f>
        <v>0</v>
      </c>
      <c r="AE155" s="105">
        <f>IF(AND(SUM($J27:AD27)=0,AE27&gt;0),1,0)</f>
        <v>0</v>
      </c>
      <c r="AF155" s="105">
        <f>IF(AND(SUM($J27:AE27)=0,AF27&gt;0),1,0)</f>
        <v>0</v>
      </c>
      <c r="AG155" s="105">
        <f>IF(AND(SUM($J27:AF27)=0,AG27&gt;0),1,0)</f>
        <v>0</v>
      </c>
      <c r="AH155" s="105">
        <f>IF(AND(SUM($J27:AG27)=0,AH27&gt;0),1,0)</f>
        <v>0</v>
      </c>
      <c r="AI155" s="105">
        <f>IF(AND(SUM($J27:AH27)=0,AI27&gt;0),1,0)</f>
        <v>0</v>
      </c>
      <c r="AJ155" s="105">
        <f>IF(AND(SUM($J27:AI27)=0,AJ27&gt;0),1,0)</f>
        <v>0</v>
      </c>
      <c r="AK155" s="105">
        <f>IF(AND(SUM($J27:AJ27)=0,AK27&gt;0),1,0)</f>
        <v>0</v>
      </c>
      <c r="AL155" s="105">
        <f>IF(AND(SUM($J27:AK27)=0,AL27&gt;0),1,0)</f>
        <v>0</v>
      </c>
      <c r="AM155" s="105">
        <f>IF(AND(SUM($J27:AL27)=0,AM27&gt;0),1,0)</f>
        <v>0</v>
      </c>
      <c r="AN155" s="105">
        <f>IF(AND(SUM($J27:AM27)=0,AN27&gt;0),1,0)</f>
        <v>0</v>
      </c>
      <c r="AO155" s="105">
        <f>IF(AND(SUM($J27:AN27)=0,AO27&gt;0),1,0)</f>
        <v>0</v>
      </c>
      <c r="AP155" s="105">
        <f>IF(AND(SUM($J27:AO27)=0,AP27&gt;0),1,0)</f>
        <v>0</v>
      </c>
      <c r="AQ155" s="105">
        <f>IF(AND(SUM($J27:AP27)=0,AQ27&gt;0),1,0)</f>
        <v>0</v>
      </c>
      <c r="AR155" s="105">
        <f>IF(AND(SUM($J27:AQ27)=0,AR27&gt;0),1,0)</f>
        <v>0</v>
      </c>
      <c r="AS155" s="105">
        <f>IF(AND(SUM($J27:AR27)=0,AS27&gt;0),1,0)</f>
        <v>0</v>
      </c>
      <c r="AT155" s="105">
        <f>IF(AND(SUM($J27:AS27)=0,AT27&gt;0),1,0)</f>
        <v>0</v>
      </c>
      <c r="AU155" s="105">
        <f>IF(AND(SUM($J27:AT27)=0,AU27&gt;0),1,0)</f>
        <v>0</v>
      </c>
      <c r="AV155" s="105">
        <f>IF(AND(SUM($J27:AU27)=0,AV27&gt;0),1,0)</f>
        <v>0</v>
      </c>
      <c r="AW155" s="105">
        <f>IF(AND(SUM($J27:AV27)=0,AW27&gt;0),1,0)</f>
        <v>0</v>
      </c>
      <c r="AX155" s="105">
        <f>IF(AND(SUM($J27:AW27)=0,AX27&gt;0),1,0)</f>
        <v>0</v>
      </c>
    </row>
    <row r="156" spans="1:50" ht="15" customHeight="1">
      <c r="A156" s="86"/>
      <c r="E156" s="11" t="s">
        <v>236</v>
      </c>
      <c r="G156" s="11" t="s">
        <v>225</v>
      </c>
      <c r="I156" s="88"/>
      <c r="K156" s="105">
        <f>(SUM($J$155:K155)&gt;=1)*(SUM($J$153:K153)&lt;1)</f>
        <v>0</v>
      </c>
      <c r="L156" s="105">
        <f>(SUM($J$155:L155)&gt;=1)*(SUM($J$153:L153)&lt;1)</f>
        <v>1</v>
      </c>
      <c r="M156" s="105">
        <f>(SUM($J$155:M155)&gt;=1)*(SUM($J$153:M153)&lt;1)</f>
        <v>1</v>
      </c>
      <c r="N156" s="105">
        <f>(SUM($J$155:N155)&gt;=1)*(SUM($J$153:N153)&lt;1)</f>
        <v>1</v>
      </c>
      <c r="O156" s="105">
        <f>(SUM($J$155:O155)&gt;=1)*(SUM($J$153:O153)&lt;1)</f>
        <v>1</v>
      </c>
      <c r="P156" s="105">
        <f>(SUM($J$155:P155)&gt;=1)*(SUM($J$153:P153)&lt;1)</f>
        <v>1</v>
      </c>
      <c r="Q156" s="105">
        <f>(SUM($J$155:Q155)&gt;=1)*(SUM($J$153:Q153)&lt;1)</f>
        <v>0</v>
      </c>
      <c r="R156" s="105">
        <f>(SUM($J$155:R155)&gt;=1)*(SUM($J$153:R153)&lt;1)</f>
        <v>0</v>
      </c>
      <c r="S156" s="105">
        <f>(SUM($J$155:S155)&gt;=1)*(SUM($J$153:S153)&lt;1)</f>
        <v>0</v>
      </c>
      <c r="T156" s="105">
        <f>(SUM($J$155:T155)&gt;=1)*(SUM($J$153:T153)&lt;1)</f>
        <v>0</v>
      </c>
      <c r="U156" s="105">
        <f>(SUM($J$155:U155)&gt;=1)*(SUM($J$153:U153)&lt;1)</f>
        <v>0</v>
      </c>
      <c r="V156" s="105">
        <f>(SUM($J$155:V155)&gt;=1)*(SUM($J$153:V153)&lt;1)</f>
        <v>0</v>
      </c>
      <c r="W156" s="105">
        <f>(SUM($J$155:W155)&gt;=1)*(SUM($J$153:W153)&lt;1)</f>
        <v>0</v>
      </c>
      <c r="X156" s="105">
        <f>(SUM($J$155:X155)&gt;=1)*(SUM($J$153:X153)&lt;1)</f>
        <v>0</v>
      </c>
      <c r="Y156" s="105">
        <f>(SUM($J$155:Y155)&gt;=1)*(SUM($J$153:Y153)&lt;1)</f>
        <v>0</v>
      </c>
      <c r="Z156" s="105">
        <f>(SUM($J$155:Z155)&gt;=1)*(SUM($J$153:Z153)&lt;1)</f>
        <v>0</v>
      </c>
      <c r="AA156" s="105">
        <f>(SUM($J$155:AA155)&gt;=1)*(SUM($J$153:AA153)&lt;1)</f>
        <v>0</v>
      </c>
      <c r="AB156" s="105">
        <f>(SUM($J$155:AB155)&gt;=1)*(SUM($J$153:AB153)&lt;1)</f>
        <v>0</v>
      </c>
      <c r="AC156" s="105">
        <f>(SUM($J$155:AC155)&gt;=1)*(SUM($J$153:AC153)&lt;1)</f>
        <v>0</v>
      </c>
      <c r="AD156" s="105">
        <f>(SUM($J$155:AD155)&gt;=1)*(SUM($J$153:AD153)&lt;1)</f>
        <v>0</v>
      </c>
      <c r="AE156" s="105">
        <f>(SUM($J$155:AE155)&gt;=1)*(SUM($J$153:AE153)&lt;1)</f>
        <v>0</v>
      </c>
      <c r="AF156" s="105">
        <f>(SUM($J$155:AF155)&gt;=1)*(SUM($J$153:AF153)&lt;1)</f>
        <v>0</v>
      </c>
      <c r="AG156" s="105">
        <f>(SUM($J$155:AG155)&gt;=1)*(SUM($J$153:AG153)&lt;1)</f>
        <v>0</v>
      </c>
      <c r="AH156" s="105">
        <f>(SUM($J$155:AH155)&gt;=1)*(SUM($J$153:AH153)&lt;1)</f>
        <v>0</v>
      </c>
      <c r="AI156" s="105">
        <f>(SUM($J$155:AI155)&gt;=1)*(SUM($J$153:AI153)&lt;1)</f>
        <v>0</v>
      </c>
      <c r="AJ156" s="105">
        <f>(SUM($J$155:AJ155)&gt;=1)*(SUM($J$153:AJ153)&lt;1)</f>
        <v>0</v>
      </c>
      <c r="AK156" s="105">
        <f>(SUM($J$155:AK155)&gt;=1)*(SUM($J$153:AK153)&lt;1)</f>
        <v>0</v>
      </c>
      <c r="AL156" s="105">
        <f>(SUM($J$155:AL155)&gt;=1)*(SUM($J$153:AL153)&lt;1)</f>
        <v>0</v>
      </c>
      <c r="AM156" s="105">
        <f>(SUM($J$155:AM155)&gt;=1)*(SUM($J$153:AM153)&lt;1)</f>
        <v>0</v>
      </c>
      <c r="AN156" s="105">
        <f>(SUM($J$155:AN155)&gt;=1)*(SUM($J$153:AN153)&lt;1)</f>
        <v>0</v>
      </c>
      <c r="AO156" s="105">
        <f>(SUM($J$155:AO155)&gt;=1)*(SUM($J$153:AO153)&lt;1)</f>
        <v>0</v>
      </c>
      <c r="AP156" s="105">
        <f>(SUM($J$155:AP155)&gt;=1)*(SUM($J$153:AP153)&lt;1)</f>
        <v>0</v>
      </c>
      <c r="AQ156" s="105">
        <f>(SUM($J$155:AQ155)&gt;=1)*(SUM($J$153:AQ153)&lt;1)</f>
        <v>0</v>
      </c>
      <c r="AR156" s="105">
        <f>(SUM($J$155:AR155)&gt;=1)*(SUM($J$153:AR153)&lt;1)</f>
        <v>0</v>
      </c>
      <c r="AS156" s="105">
        <f>(SUM($J$155:AS155)&gt;=1)*(SUM($J$153:AS153)&lt;1)</f>
        <v>0</v>
      </c>
      <c r="AT156" s="105">
        <f>(SUM($J$155:AT155)&gt;=1)*(SUM($J$153:AT153)&lt;1)</f>
        <v>0</v>
      </c>
      <c r="AU156" s="105">
        <f>(SUM($J$155:AU155)&gt;=1)*(SUM($J$153:AU153)&lt;1)</f>
        <v>0</v>
      </c>
      <c r="AV156" s="105">
        <f>(SUM($J$155:AV155)&gt;=1)*(SUM($J$153:AV153)&lt;1)</f>
        <v>0</v>
      </c>
      <c r="AW156" s="105">
        <f>(SUM($J$155:AW155)&gt;=1)*(SUM($J$153:AW153)&lt;1)</f>
        <v>0</v>
      </c>
      <c r="AX156" s="105">
        <f>(SUM($J$155:AX155)&gt;=1)*(SUM($J$153:AX153)&lt;1)</f>
        <v>0</v>
      </c>
    </row>
    <row r="157" spans="1:50" ht="15" customHeight="1">
      <c r="A157" s="86"/>
      <c r="E157" s="11" t="s">
        <v>237</v>
      </c>
      <c r="G157" s="11" t="s">
        <v>225</v>
      </c>
      <c r="I157" s="88"/>
      <c r="K157" s="105">
        <f t="shared" ref="K157:AX157" si="48">IF(OR($I$137&gt;K$127,$I$140&lt;K$126),0,IF($I$137&gt;=K$126,(K$127-$I$137+1)/K$146,IF($I$140&lt;=K$127,($I$140-K$126+1)/K$146,1)))</f>
        <v>0</v>
      </c>
      <c r="L157" s="105">
        <f t="shared" si="48"/>
        <v>0</v>
      </c>
      <c r="M157" s="105">
        <f t="shared" si="48"/>
        <v>0</v>
      </c>
      <c r="N157" s="105">
        <f t="shared" si="48"/>
        <v>0</v>
      </c>
      <c r="O157" s="105">
        <f t="shared" si="48"/>
        <v>0</v>
      </c>
      <c r="P157" s="105">
        <f t="shared" si="48"/>
        <v>0</v>
      </c>
      <c r="Q157" s="105">
        <f t="shared" si="48"/>
        <v>1</v>
      </c>
      <c r="R157" s="105">
        <f t="shared" si="48"/>
        <v>1</v>
      </c>
      <c r="S157" s="105">
        <f t="shared" si="48"/>
        <v>1</v>
      </c>
      <c r="T157" s="105">
        <f t="shared" si="48"/>
        <v>1</v>
      </c>
      <c r="U157" s="105">
        <f t="shared" si="48"/>
        <v>1</v>
      </c>
      <c r="V157" s="105">
        <f t="shared" si="48"/>
        <v>1</v>
      </c>
      <c r="W157" s="105">
        <f t="shared" si="48"/>
        <v>1</v>
      </c>
      <c r="X157" s="105">
        <f t="shared" si="48"/>
        <v>1</v>
      </c>
      <c r="Y157" s="105">
        <f t="shared" si="48"/>
        <v>1</v>
      </c>
      <c r="Z157" s="105">
        <f t="shared" si="48"/>
        <v>1</v>
      </c>
      <c r="AA157" s="105">
        <f t="shared" si="48"/>
        <v>1</v>
      </c>
      <c r="AB157" s="105">
        <f t="shared" si="48"/>
        <v>1</v>
      </c>
      <c r="AC157" s="105">
        <f t="shared" si="48"/>
        <v>1</v>
      </c>
      <c r="AD157" s="105">
        <f t="shared" si="48"/>
        <v>1</v>
      </c>
      <c r="AE157" s="105">
        <f t="shared" si="48"/>
        <v>1</v>
      </c>
      <c r="AF157" s="105">
        <f t="shared" si="48"/>
        <v>1</v>
      </c>
      <c r="AG157" s="105">
        <f t="shared" si="48"/>
        <v>1</v>
      </c>
      <c r="AH157" s="105">
        <f t="shared" si="48"/>
        <v>1</v>
      </c>
      <c r="AI157" s="105">
        <f t="shared" si="48"/>
        <v>1</v>
      </c>
      <c r="AJ157" s="105">
        <f t="shared" si="48"/>
        <v>1</v>
      </c>
      <c r="AK157" s="105">
        <f t="shared" si="48"/>
        <v>1</v>
      </c>
      <c r="AL157" s="105">
        <f t="shared" si="48"/>
        <v>1</v>
      </c>
      <c r="AM157" s="105">
        <f t="shared" si="48"/>
        <v>1</v>
      </c>
      <c r="AN157" s="105">
        <f t="shared" si="48"/>
        <v>1</v>
      </c>
      <c r="AO157" s="105">
        <f t="shared" si="48"/>
        <v>1</v>
      </c>
      <c r="AP157" s="105">
        <f t="shared" si="48"/>
        <v>0</v>
      </c>
      <c r="AQ157" s="105">
        <f t="shared" si="48"/>
        <v>0</v>
      </c>
      <c r="AR157" s="105">
        <f t="shared" si="48"/>
        <v>0</v>
      </c>
      <c r="AS157" s="105">
        <f t="shared" si="48"/>
        <v>0</v>
      </c>
      <c r="AT157" s="105">
        <f t="shared" si="48"/>
        <v>0</v>
      </c>
      <c r="AU157" s="105">
        <f t="shared" si="48"/>
        <v>0</v>
      </c>
      <c r="AV157" s="105">
        <f t="shared" si="48"/>
        <v>0</v>
      </c>
      <c r="AW157" s="105">
        <f t="shared" si="48"/>
        <v>0</v>
      </c>
      <c r="AX157" s="105">
        <f t="shared" si="48"/>
        <v>0</v>
      </c>
    </row>
    <row r="158" spans="1:50" ht="15" customHeight="1">
      <c r="A158" s="86"/>
      <c r="E158" s="11" t="s">
        <v>238</v>
      </c>
      <c r="G158" s="11" t="s">
        <v>230</v>
      </c>
      <c r="I158" s="88"/>
      <c r="K158" s="104">
        <f>SUM($K$157:K157)*(K157&lt;&gt;0)</f>
        <v>0</v>
      </c>
      <c r="L158" s="104">
        <f>SUM($K$157:L157)*(L157&lt;&gt;0)</f>
        <v>0</v>
      </c>
      <c r="M158" s="104">
        <f>SUM($K$157:M157)*(M157&lt;&gt;0)</f>
        <v>0</v>
      </c>
      <c r="N158" s="104">
        <f>SUM($K$157:N157)*(N157&lt;&gt;0)</f>
        <v>0</v>
      </c>
      <c r="O158" s="104">
        <f>SUM($K$157:O157)*(O157&lt;&gt;0)</f>
        <v>0</v>
      </c>
      <c r="P158" s="104">
        <f>SUM($K$157:P157)*(P157&lt;&gt;0)</f>
        <v>0</v>
      </c>
      <c r="Q158" s="104">
        <f>SUM($K$157:Q157)*(Q157&lt;&gt;0)</f>
        <v>1</v>
      </c>
      <c r="R158" s="104">
        <f>SUM($K$157:R157)*(R157&lt;&gt;0)</f>
        <v>2</v>
      </c>
      <c r="S158" s="104">
        <f>SUM($K$157:S157)*(S157&lt;&gt;0)</f>
        <v>3</v>
      </c>
      <c r="T158" s="104">
        <f>SUM($K$157:T157)*(T157&lt;&gt;0)</f>
        <v>4</v>
      </c>
      <c r="U158" s="104">
        <f>SUM($K$157:U157)*(U157&lt;&gt;0)</f>
        <v>5</v>
      </c>
      <c r="V158" s="104">
        <f>SUM($K$157:V157)*(V157&lt;&gt;0)</f>
        <v>6</v>
      </c>
      <c r="W158" s="104">
        <f>SUM($K$157:W157)*(W157&lt;&gt;0)</f>
        <v>7</v>
      </c>
      <c r="X158" s="104">
        <f>SUM($K$157:X157)*(X157&lt;&gt;0)</f>
        <v>8</v>
      </c>
      <c r="Y158" s="104">
        <f>SUM($K$157:Y157)*(Y157&lt;&gt;0)</f>
        <v>9</v>
      </c>
      <c r="Z158" s="104">
        <f>SUM($K$157:Z157)*(Z157&lt;&gt;0)</f>
        <v>10</v>
      </c>
      <c r="AA158" s="104">
        <f>SUM($K$157:AA157)*(AA157&lt;&gt;0)</f>
        <v>11</v>
      </c>
      <c r="AB158" s="104">
        <f>SUM($K$157:AB157)*(AB157&lt;&gt;0)</f>
        <v>12</v>
      </c>
      <c r="AC158" s="104">
        <f>SUM($K$157:AC157)*(AC157&lt;&gt;0)</f>
        <v>13</v>
      </c>
      <c r="AD158" s="104">
        <f>SUM($K$157:AD157)*(AD157&lt;&gt;0)</f>
        <v>14</v>
      </c>
      <c r="AE158" s="104">
        <f>SUM($K$157:AE157)*(AE157&lt;&gt;0)</f>
        <v>15</v>
      </c>
      <c r="AF158" s="104">
        <f>SUM($K$157:AF157)*(AF157&lt;&gt;0)</f>
        <v>16</v>
      </c>
      <c r="AG158" s="104">
        <f>SUM($K$157:AG157)*(AG157&lt;&gt;0)</f>
        <v>17</v>
      </c>
      <c r="AH158" s="104">
        <f>SUM($K$157:AH157)*(AH157&lt;&gt;0)</f>
        <v>18</v>
      </c>
      <c r="AI158" s="104">
        <f>SUM($K$157:AI157)*(AI157&lt;&gt;0)</f>
        <v>19</v>
      </c>
      <c r="AJ158" s="104">
        <f>SUM($K$157:AJ157)*(AJ157&lt;&gt;0)</f>
        <v>20</v>
      </c>
      <c r="AK158" s="104">
        <f>SUM($K$157:AK157)*(AK157&lt;&gt;0)</f>
        <v>21</v>
      </c>
      <c r="AL158" s="104">
        <f>SUM($K$157:AL157)*(AL157&lt;&gt;0)</f>
        <v>22</v>
      </c>
      <c r="AM158" s="104">
        <f>SUM($K$157:AM157)*(AM157&lt;&gt;0)</f>
        <v>23</v>
      </c>
      <c r="AN158" s="104">
        <f>SUM($K$157:AN157)*(AN157&lt;&gt;0)</f>
        <v>24</v>
      </c>
      <c r="AO158" s="104">
        <f>SUM($K$157:AO157)*(AO157&lt;&gt;0)</f>
        <v>25</v>
      </c>
      <c r="AP158" s="104">
        <f>SUM($K$157:AP157)*(AP157&lt;&gt;0)</f>
        <v>0</v>
      </c>
      <c r="AQ158" s="104">
        <f>SUM($K$157:AQ157)*(AQ157&lt;&gt;0)</f>
        <v>0</v>
      </c>
      <c r="AR158" s="104">
        <f>SUM($K$157:AR157)*(AR157&lt;&gt;0)</f>
        <v>0</v>
      </c>
      <c r="AS158" s="104">
        <f>SUM($K$157:AS157)*(AS157&lt;&gt;0)</f>
        <v>0</v>
      </c>
      <c r="AT158" s="104">
        <f>SUM($K$157:AT157)*(AT157&lt;&gt;0)</f>
        <v>0</v>
      </c>
      <c r="AU158" s="104">
        <f>SUM($K$157:AU157)*(AU157&lt;&gt;0)</f>
        <v>0</v>
      </c>
      <c r="AV158" s="104">
        <f>SUM($K$157:AV157)*(AV157&lt;&gt;0)</f>
        <v>0</v>
      </c>
      <c r="AW158" s="104">
        <f>SUM($K$157:AW157)*(AW157&lt;&gt;0)</f>
        <v>0</v>
      </c>
      <c r="AX158" s="104">
        <f>SUM($K$157:AX157)*(AX157&lt;&gt;0)</f>
        <v>0</v>
      </c>
    </row>
    <row r="159" spans="1:50" ht="15" customHeight="1">
      <c r="A159" s="86"/>
      <c r="E159" s="11" t="s">
        <v>239</v>
      </c>
      <c r="G159" s="11" t="s">
        <v>225</v>
      </c>
      <c r="I159" s="88"/>
      <c r="K159" s="105">
        <f t="shared" ref="K159:AX159" si="49">IF(OR($I$137&gt;K$127,$I$141&lt;K$126),0,IF($I$137&gt;=K$126,(K$127-$I$137+1)/K$146,IF($I$141&lt;=K$127,($I$141-K$126+1)/K$146,1)))-K157</f>
        <v>0</v>
      </c>
      <c r="L159" s="105">
        <f t="shared" si="49"/>
        <v>0</v>
      </c>
      <c r="M159" s="105">
        <f t="shared" si="49"/>
        <v>0</v>
      </c>
      <c r="N159" s="105">
        <f t="shared" si="49"/>
        <v>0</v>
      </c>
      <c r="O159" s="105">
        <f t="shared" si="49"/>
        <v>0</v>
      </c>
      <c r="P159" s="105">
        <f t="shared" si="49"/>
        <v>0</v>
      </c>
      <c r="Q159" s="105">
        <f t="shared" si="49"/>
        <v>0</v>
      </c>
      <c r="R159" s="105">
        <f t="shared" si="49"/>
        <v>0</v>
      </c>
      <c r="S159" s="105">
        <f t="shared" si="49"/>
        <v>0</v>
      </c>
      <c r="T159" s="105">
        <f t="shared" si="49"/>
        <v>0</v>
      </c>
      <c r="U159" s="105">
        <f t="shared" si="49"/>
        <v>0</v>
      </c>
      <c r="V159" s="105">
        <f t="shared" si="49"/>
        <v>0</v>
      </c>
      <c r="W159" s="105">
        <f t="shared" si="49"/>
        <v>0</v>
      </c>
      <c r="X159" s="105">
        <f t="shared" si="49"/>
        <v>0</v>
      </c>
      <c r="Y159" s="105">
        <f t="shared" si="49"/>
        <v>0</v>
      </c>
      <c r="Z159" s="105">
        <f t="shared" si="49"/>
        <v>0</v>
      </c>
      <c r="AA159" s="105">
        <f t="shared" si="49"/>
        <v>0</v>
      </c>
      <c r="AB159" s="105">
        <f t="shared" si="49"/>
        <v>0</v>
      </c>
      <c r="AC159" s="105">
        <f t="shared" si="49"/>
        <v>0</v>
      </c>
      <c r="AD159" s="105">
        <f t="shared" si="49"/>
        <v>0</v>
      </c>
      <c r="AE159" s="105">
        <f t="shared" si="49"/>
        <v>0</v>
      </c>
      <c r="AF159" s="105">
        <f t="shared" si="49"/>
        <v>0</v>
      </c>
      <c r="AG159" s="105">
        <f t="shared" si="49"/>
        <v>0</v>
      </c>
      <c r="AH159" s="105">
        <f t="shared" si="49"/>
        <v>0</v>
      </c>
      <c r="AI159" s="105">
        <f t="shared" si="49"/>
        <v>0</v>
      </c>
      <c r="AJ159" s="105">
        <f t="shared" si="49"/>
        <v>0</v>
      </c>
      <c r="AK159" s="105">
        <f t="shared" si="49"/>
        <v>0</v>
      </c>
      <c r="AL159" s="105">
        <f t="shared" si="49"/>
        <v>0</v>
      </c>
      <c r="AM159" s="105">
        <f t="shared" si="49"/>
        <v>0</v>
      </c>
      <c r="AN159" s="105">
        <f t="shared" si="49"/>
        <v>-1</v>
      </c>
      <c r="AO159" s="105">
        <f t="shared" si="49"/>
        <v>-1</v>
      </c>
      <c r="AP159" s="105">
        <f t="shared" si="49"/>
        <v>0</v>
      </c>
      <c r="AQ159" s="105">
        <f t="shared" si="49"/>
        <v>0</v>
      </c>
      <c r="AR159" s="105">
        <f t="shared" si="49"/>
        <v>0</v>
      </c>
      <c r="AS159" s="105">
        <f t="shared" si="49"/>
        <v>0</v>
      </c>
      <c r="AT159" s="105">
        <f t="shared" si="49"/>
        <v>0</v>
      </c>
      <c r="AU159" s="105">
        <f t="shared" si="49"/>
        <v>0</v>
      </c>
      <c r="AV159" s="105">
        <f t="shared" si="49"/>
        <v>0</v>
      </c>
      <c r="AW159" s="105">
        <f t="shared" si="49"/>
        <v>0</v>
      </c>
      <c r="AX159" s="105">
        <f t="shared" si="49"/>
        <v>0</v>
      </c>
    </row>
    <row r="160" spans="1:50" ht="15" customHeight="1">
      <c r="I160" s="88"/>
      <c r="K160" s="89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  <c r="AA160" s="89"/>
      <c r="AB160" s="89"/>
      <c r="AC160" s="89"/>
      <c r="AD160" s="89"/>
      <c r="AE160" s="89"/>
      <c r="AF160" s="89"/>
      <c r="AG160" s="89"/>
      <c r="AH160" s="89"/>
      <c r="AI160" s="89"/>
      <c r="AJ160" s="89"/>
      <c r="AK160" s="89"/>
      <c r="AL160" s="89"/>
      <c r="AM160" s="89"/>
      <c r="AN160" s="89"/>
      <c r="AO160" s="89"/>
      <c r="AP160" s="89"/>
      <c r="AQ160" s="89"/>
      <c r="AR160" s="89"/>
      <c r="AS160" s="89"/>
      <c r="AT160" s="89"/>
      <c r="AU160" s="89"/>
      <c r="AV160" s="89"/>
      <c r="AW160" s="89"/>
      <c r="AX160" s="89"/>
    </row>
    <row r="161" spans="1:50" ht="15" customHeight="1">
      <c r="A161" s="1"/>
      <c r="B161" s="1"/>
      <c r="C161" s="56" t="s">
        <v>240</v>
      </c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</row>
    <row r="162" spans="1:50" ht="15" customHeight="1">
      <c r="A162" s="1"/>
      <c r="B162" s="1"/>
      <c r="C162" s="1"/>
      <c r="D162" s="1"/>
      <c r="E162" s="1"/>
      <c r="F162" s="1"/>
      <c r="G162" s="1"/>
      <c r="H162" s="1"/>
      <c r="I162" s="1"/>
      <c r="J162" s="80"/>
      <c r="K162" s="1"/>
      <c r="L162" s="1"/>
      <c r="M162" s="1"/>
      <c r="N162" s="1"/>
      <c r="O162" s="1"/>
      <c r="P162" s="80"/>
      <c r="Q162" s="80"/>
      <c r="R162" s="80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</row>
    <row r="163" spans="1:50" ht="15" customHeight="1">
      <c r="A163" s="46"/>
      <c r="B163" s="46"/>
      <c r="C163" s="46"/>
      <c r="D163" s="46"/>
      <c r="E163" s="46" t="s">
        <v>90</v>
      </c>
      <c r="F163" s="48"/>
      <c r="G163" s="48"/>
      <c r="H163" s="48"/>
      <c r="I163" s="48"/>
      <c r="J163" s="46"/>
      <c r="K163" s="76" t="s">
        <v>91</v>
      </c>
      <c r="L163" s="76" t="s">
        <v>92</v>
      </c>
      <c r="M163" s="76" t="s">
        <v>93</v>
      </c>
      <c r="N163" s="76" t="s">
        <v>94</v>
      </c>
      <c r="O163" s="76" t="s">
        <v>95</v>
      </c>
      <c r="P163" s="76" t="s">
        <v>96</v>
      </c>
      <c r="Q163" s="76" t="s">
        <v>97</v>
      </c>
      <c r="R163" s="76" t="s">
        <v>98</v>
      </c>
      <c r="S163" s="76" t="s">
        <v>99</v>
      </c>
      <c r="T163" s="76" t="s">
        <v>100</v>
      </c>
      <c r="U163" s="76" t="s">
        <v>101</v>
      </c>
      <c r="V163" s="76" t="s">
        <v>102</v>
      </c>
      <c r="W163" s="76" t="s">
        <v>103</v>
      </c>
      <c r="X163" s="76" t="s">
        <v>104</v>
      </c>
      <c r="Y163" s="76" t="s">
        <v>105</v>
      </c>
      <c r="Z163" s="76" t="s">
        <v>106</v>
      </c>
      <c r="AA163" s="76" t="s">
        <v>107</v>
      </c>
      <c r="AB163" s="76" t="s">
        <v>108</v>
      </c>
      <c r="AC163" s="76" t="s">
        <v>109</v>
      </c>
      <c r="AD163" s="76" t="s">
        <v>110</v>
      </c>
      <c r="AE163" s="76" t="s">
        <v>111</v>
      </c>
      <c r="AF163" s="76" t="s">
        <v>112</v>
      </c>
      <c r="AG163" s="76" t="s">
        <v>113</v>
      </c>
      <c r="AH163" s="76" t="s">
        <v>114</v>
      </c>
      <c r="AI163" s="76" t="s">
        <v>115</v>
      </c>
      <c r="AJ163" s="76" t="s">
        <v>116</v>
      </c>
      <c r="AK163" s="76" t="s">
        <v>117</v>
      </c>
      <c r="AL163" s="76" t="s">
        <v>118</v>
      </c>
      <c r="AM163" s="76" t="s">
        <v>119</v>
      </c>
      <c r="AN163" s="76" t="s">
        <v>120</v>
      </c>
      <c r="AO163" s="76" t="s">
        <v>121</v>
      </c>
      <c r="AP163" s="76" t="s">
        <v>122</v>
      </c>
      <c r="AQ163" s="76" t="s">
        <v>123</v>
      </c>
      <c r="AR163" s="76" t="s">
        <v>124</v>
      </c>
      <c r="AS163" s="76" t="s">
        <v>125</v>
      </c>
      <c r="AT163" s="76" t="s">
        <v>126</v>
      </c>
      <c r="AU163" s="76" t="s">
        <v>127</v>
      </c>
      <c r="AV163" s="76" t="s">
        <v>128</v>
      </c>
      <c r="AW163" s="76" t="s">
        <v>129</v>
      </c>
      <c r="AX163" s="76" t="s">
        <v>130</v>
      </c>
    </row>
    <row r="164" spans="1:50" ht="15" customHeight="1">
      <c r="A164" s="1"/>
      <c r="B164" s="1"/>
      <c r="C164" s="1"/>
      <c r="D164" s="1"/>
      <c r="E164" s="1"/>
      <c r="F164" s="1"/>
      <c r="G164" s="1"/>
      <c r="H164" s="1"/>
      <c r="I164" s="1"/>
      <c r="J164" s="80"/>
      <c r="K164" s="1"/>
      <c r="L164" s="1"/>
      <c r="M164" s="1"/>
      <c r="N164" s="1"/>
      <c r="O164" s="1"/>
      <c r="P164" s="80"/>
      <c r="Q164" s="80"/>
      <c r="R164" s="80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</row>
    <row r="165" spans="1:50" ht="15" customHeight="1">
      <c r="A165" s="1"/>
      <c r="B165" s="1"/>
      <c r="C165" s="1"/>
      <c r="D165" s="1"/>
      <c r="E165" s="11" t="s">
        <v>241</v>
      </c>
      <c r="G165" s="1" t="s">
        <v>142</v>
      </c>
      <c r="H165" s="1"/>
      <c r="I165" s="108"/>
      <c r="J165" s="80"/>
      <c r="K165" s="82">
        <v>0.25</v>
      </c>
      <c r="L165" s="82">
        <v>0.25</v>
      </c>
      <c r="M165" s="82">
        <v>0.25</v>
      </c>
      <c r="N165" s="82">
        <v>0.25</v>
      </c>
      <c r="O165" s="82">
        <v>0.25</v>
      </c>
      <c r="P165" s="82">
        <v>0.25</v>
      </c>
      <c r="Q165" s="82">
        <v>0.25</v>
      </c>
      <c r="R165" s="82">
        <v>0.25</v>
      </c>
      <c r="S165" s="82">
        <v>0.25</v>
      </c>
      <c r="T165" s="82">
        <v>0.25</v>
      </c>
      <c r="U165" s="82">
        <v>0.25</v>
      </c>
      <c r="V165" s="82">
        <v>0.25</v>
      </c>
      <c r="W165" s="82">
        <v>0.25</v>
      </c>
      <c r="X165" s="82">
        <v>0.25</v>
      </c>
      <c r="Y165" s="82">
        <v>0.25</v>
      </c>
      <c r="Z165" s="82">
        <v>0.25</v>
      </c>
      <c r="AA165" s="82">
        <v>0.25</v>
      </c>
      <c r="AB165" s="82">
        <v>0.25</v>
      </c>
      <c r="AC165" s="82">
        <v>0.25</v>
      </c>
      <c r="AD165" s="82">
        <v>0.25</v>
      </c>
      <c r="AE165" s="82">
        <v>0.25</v>
      </c>
      <c r="AF165" s="82">
        <v>0.25</v>
      </c>
      <c r="AG165" s="82">
        <v>0.25</v>
      </c>
      <c r="AH165" s="82">
        <v>0.25</v>
      </c>
      <c r="AI165" s="82">
        <v>0.25</v>
      </c>
      <c r="AJ165" s="82">
        <v>0.25</v>
      </c>
      <c r="AK165" s="82">
        <v>0.25</v>
      </c>
      <c r="AL165" s="82">
        <v>0.25</v>
      </c>
      <c r="AM165" s="82">
        <v>0.25</v>
      </c>
      <c r="AN165" s="82">
        <v>0.25</v>
      </c>
      <c r="AO165" s="82">
        <v>0.25</v>
      </c>
      <c r="AP165" s="82">
        <v>0.25</v>
      </c>
      <c r="AQ165" s="82">
        <v>0.25</v>
      </c>
      <c r="AR165" s="82">
        <v>0.25</v>
      </c>
      <c r="AS165" s="82">
        <v>0.25</v>
      </c>
      <c r="AT165" s="82">
        <v>0.25</v>
      </c>
      <c r="AU165" s="82">
        <v>0.25</v>
      </c>
      <c r="AV165" s="82">
        <v>0.25</v>
      </c>
      <c r="AW165" s="82">
        <v>0.25</v>
      </c>
      <c r="AX165" s="82">
        <v>0.25</v>
      </c>
    </row>
    <row r="166" spans="1:50" ht="15" customHeight="1">
      <c r="A166" s="1"/>
      <c r="B166" s="1"/>
      <c r="C166" s="1"/>
      <c r="D166" s="1"/>
      <c r="E166" s="11" t="s">
        <v>242</v>
      </c>
      <c r="G166" s="11" t="s">
        <v>142</v>
      </c>
      <c r="H166" s="1"/>
      <c r="I166" s="108"/>
      <c r="J166" s="80"/>
      <c r="K166" s="82">
        <v>0.06</v>
      </c>
      <c r="L166" s="82">
        <v>0.06</v>
      </c>
      <c r="M166" s="82">
        <v>0.06</v>
      </c>
      <c r="N166" s="82">
        <v>0.06</v>
      </c>
      <c r="O166" s="82">
        <v>0.06</v>
      </c>
      <c r="P166" s="82">
        <v>0.06</v>
      </c>
      <c r="Q166" s="82">
        <v>0.06</v>
      </c>
      <c r="R166" s="82">
        <v>0.06</v>
      </c>
      <c r="S166" s="82">
        <v>0.06</v>
      </c>
      <c r="T166" s="82">
        <v>0.06</v>
      </c>
      <c r="U166" s="82">
        <v>0.06</v>
      </c>
      <c r="V166" s="82">
        <v>0.06</v>
      </c>
      <c r="W166" s="82">
        <v>0.06</v>
      </c>
      <c r="X166" s="82">
        <v>0.06</v>
      </c>
      <c r="Y166" s="82">
        <v>0.06</v>
      </c>
      <c r="Z166" s="82">
        <v>0.06</v>
      </c>
      <c r="AA166" s="82">
        <v>0.06</v>
      </c>
      <c r="AB166" s="82">
        <v>0.06</v>
      </c>
      <c r="AC166" s="82">
        <v>0.06</v>
      </c>
      <c r="AD166" s="82">
        <v>0.06</v>
      </c>
      <c r="AE166" s="82">
        <v>0.06</v>
      </c>
      <c r="AF166" s="82">
        <v>0.06</v>
      </c>
      <c r="AG166" s="82">
        <v>0.06</v>
      </c>
      <c r="AH166" s="82">
        <v>0.06</v>
      </c>
      <c r="AI166" s="82">
        <v>0.06</v>
      </c>
      <c r="AJ166" s="82">
        <v>0.06</v>
      </c>
      <c r="AK166" s="82">
        <v>0.06</v>
      </c>
      <c r="AL166" s="82">
        <v>0.06</v>
      </c>
      <c r="AM166" s="82">
        <v>0.06</v>
      </c>
      <c r="AN166" s="82">
        <v>0.06</v>
      </c>
      <c r="AO166" s="82">
        <v>0.06</v>
      </c>
      <c r="AP166" s="82">
        <v>0.06</v>
      </c>
      <c r="AQ166" s="82">
        <v>0.06</v>
      </c>
      <c r="AR166" s="82">
        <v>0.06</v>
      </c>
      <c r="AS166" s="82">
        <v>0.06</v>
      </c>
      <c r="AT166" s="82">
        <v>0.06</v>
      </c>
      <c r="AU166" s="82">
        <v>0.06</v>
      </c>
      <c r="AV166" s="82">
        <v>0.06</v>
      </c>
      <c r="AW166" s="82">
        <v>0.06</v>
      </c>
      <c r="AX166" s="82">
        <v>0.06</v>
      </c>
    </row>
    <row r="167" spans="1:50" ht="15" customHeight="1">
      <c r="A167" s="1"/>
      <c r="B167" s="1"/>
      <c r="C167" s="1"/>
      <c r="D167" s="1"/>
      <c r="E167" s="1"/>
      <c r="F167" s="1"/>
      <c r="G167" s="1"/>
      <c r="H167" s="1"/>
      <c r="I167" s="1"/>
      <c r="J167" s="80"/>
      <c r="K167" s="1"/>
      <c r="L167" s="1"/>
      <c r="M167" s="1"/>
      <c r="N167" s="1"/>
      <c r="O167" s="1"/>
      <c r="P167" s="80"/>
      <c r="Q167" s="80"/>
      <c r="R167" s="80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</row>
    <row r="168" spans="1:50" ht="15" customHeight="1">
      <c r="A168" s="1"/>
      <c r="B168" s="1"/>
      <c r="C168" s="56" t="s">
        <v>243</v>
      </c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</row>
    <row r="169" spans="1:50" ht="1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</row>
    <row r="170" spans="1:50" ht="15" customHeight="1">
      <c r="A170" s="1"/>
      <c r="B170" s="1"/>
      <c r="C170" s="1"/>
      <c r="D170" s="1"/>
      <c r="E170" s="1" t="s">
        <v>244</v>
      </c>
      <c r="F170" s="1"/>
      <c r="G170" s="1"/>
      <c r="H170" s="1"/>
      <c r="I170" s="1"/>
      <c r="J170" s="1"/>
      <c r="K170" s="158">
        <f t="shared" ref="K170:AX170" si="50">K151</f>
        <v>0</v>
      </c>
      <c r="L170" s="158">
        <f t="shared" si="50"/>
        <v>0</v>
      </c>
      <c r="M170" s="158">
        <f t="shared" si="50"/>
        <v>0</v>
      </c>
      <c r="N170" s="158">
        <f t="shared" si="50"/>
        <v>0</v>
      </c>
      <c r="O170" s="158">
        <f>O151</f>
        <v>1</v>
      </c>
      <c r="P170" s="158">
        <f t="shared" si="50"/>
        <v>2</v>
      </c>
      <c r="Q170" s="158">
        <f t="shared" si="50"/>
        <v>3</v>
      </c>
      <c r="R170" s="158">
        <f t="shared" si="50"/>
        <v>4</v>
      </c>
      <c r="S170" s="158">
        <f t="shared" si="50"/>
        <v>5</v>
      </c>
      <c r="T170" s="158">
        <f t="shared" si="50"/>
        <v>6</v>
      </c>
      <c r="U170" s="158">
        <f t="shared" si="50"/>
        <v>7</v>
      </c>
      <c r="V170" s="158">
        <f t="shared" si="50"/>
        <v>8</v>
      </c>
      <c r="W170" s="158">
        <f t="shared" si="50"/>
        <v>9</v>
      </c>
      <c r="X170" s="158">
        <f t="shared" si="50"/>
        <v>10</v>
      </c>
      <c r="Y170" s="158">
        <f t="shared" si="50"/>
        <v>11</v>
      </c>
      <c r="Z170" s="158">
        <f t="shared" si="50"/>
        <v>12</v>
      </c>
      <c r="AA170" s="158">
        <f t="shared" si="50"/>
        <v>13</v>
      </c>
      <c r="AB170" s="158">
        <f t="shared" si="50"/>
        <v>14</v>
      </c>
      <c r="AC170" s="158">
        <f t="shared" si="50"/>
        <v>15</v>
      </c>
      <c r="AD170" s="158">
        <f t="shared" si="50"/>
        <v>16</v>
      </c>
      <c r="AE170" s="158">
        <f t="shared" si="50"/>
        <v>17</v>
      </c>
      <c r="AF170" s="158">
        <f t="shared" si="50"/>
        <v>18</v>
      </c>
      <c r="AG170" s="158">
        <f t="shared" si="50"/>
        <v>19</v>
      </c>
      <c r="AH170" s="158">
        <f t="shared" si="50"/>
        <v>20</v>
      </c>
      <c r="AI170" s="158">
        <f t="shared" si="50"/>
        <v>21</v>
      </c>
      <c r="AJ170" s="158">
        <f t="shared" si="50"/>
        <v>22</v>
      </c>
      <c r="AK170" s="158">
        <f t="shared" si="50"/>
        <v>23</v>
      </c>
      <c r="AL170" s="158">
        <f t="shared" si="50"/>
        <v>24</v>
      </c>
      <c r="AM170" s="158">
        <f t="shared" si="50"/>
        <v>25</v>
      </c>
      <c r="AN170" s="158">
        <f t="shared" si="50"/>
        <v>0</v>
      </c>
      <c r="AO170" s="158">
        <f t="shared" si="50"/>
        <v>0</v>
      </c>
      <c r="AP170" s="158">
        <f t="shared" si="50"/>
        <v>0</v>
      </c>
      <c r="AQ170" s="158">
        <f t="shared" si="50"/>
        <v>0</v>
      </c>
      <c r="AR170" s="158">
        <f t="shared" si="50"/>
        <v>0</v>
      </c>
      <c r="AS170" s="158">
        <f t="shared" si="50"/>
        <v>0</v>
      </c>
      <c r="AT170" s="158">
        <f t="shared" si="50"/>
        <v>0</v>
      </c>
      <c r="AU170" s="158">
        <f t="shared" si="50"/>
        <v>0</v>
      </c>
      <c r="AV170" s="158">
        <f t="shared" si="50"/>
        <v>0</v>
      </c>
      <c r="AW170" s="158">
        <f t="shared" si="50"/>
        <v>0</v>
      </c>
      <c r="AX170" s="158">
        <f t="shared" si="50"/>
        <v>0</v>
      </c>
    </row>
    <row r="171" spans="1:50" ht="15" customHeight="1">
      <c r="A171" s="1"/>
      <c r="B171" s="1"/>
      <c r="C171" s="1"/>
      <c r="D171" s="1"/>
      <c r="E171" s="11" t="s">
        <v>83</v>
      </c>
      <c r="F171" s="1"/>
      <c r="G171" s="1"/>
      <c r="H171" s="1"/>
      <c r="I171" s="1"/>
      <c r="J171" s="80"/>
      <c r="K171" s="218">
        <f>K21</f>
        <v>0.02</v>
      </c>
      <c r="L171" s="218">
        <f t="shared" ref="L171:AX171" si="51">L21</f>
        <v>0.02</v>
      </c>
      <c r="M171" s="218">
        <f t="shared" si="51"/>
        <v>0.02</v>
      </c>
      <c r="N171" s="218">
        <f t="shared" si="51"/>
        <v>0.02</v>
      </c>
      <c r="O171" s="218">
        <f t="shared" si="51"/>
        <v>0.02</v>
      </c>
      <c r="P171" s="218">
        <f t="shared" si="51"/>
        <v>0.02</v>
      </c>
      <c r="Q171" s="218">
        <f t="shared" si="51"/>
        <v>0.02</v>
      </c>
      <c r="R171" s="218">
        <f t="shared" si="51"/>
        <v>0.02</v>
      </c>
      <c r="S171" s="218">
        <f t="shared" si="51"/>
        <v>0.02</v>
      </c>
      <c r="T171" s="218">
        <f t="shared" si="51"/>
        <v>0.02</v>
      </c>
      <c r="U171" s="218">
        <f t="shared" si="51"/>
        <v>0.02</v>
      </c>
      <c r="V171" s="218">
        <f t="shared" si="51"/>
        <v>0.02</v>
      </c>
      <c r="W171" s="218">
        <f t="shared" si="51"/>
        <v>0.02</v>
      </c>
      <c r="X171" s="218">
        <f t="shared" si="51"/>
        <v>0.02</v>
      </c>
      <c r="Y171" s="218">
        <f t="shared" si="51"/>
        <v>0.02</v>
      </c>
      <c r="Z171" s="218">
        <f t="shared" si="51"/>
        <v>0.02</v>
      </c>
      <c r="AA171" s="218">
        <f t="shared" si="51"/>
        <v>0.02</v>
      </c>
      <c r="AB171" s="218">
        <f t="shared" si="51"/>
        <v>0.02</v>
      </c>
      <c r="AC171" s="218">
        <f t="shared" si="51"/>
        <v>0.02</v>
      </c>
      <c r="AD171" s="218">
        <f t="shared" si="51"/>
        <v>0.02</v>
      </c>
      <c r="AE171" s="218">
        <f t="shared" si="51"/>
        <v>0.02</v>
      </c>
      <c r="AF171" s="218">
        <f t="shared" si="51"/>
        <v>0.02</v>
      </c>
      <c r="AG171" s="218">
        <f t="shared" si="51"/>
        <v>0.02</v>
      </c>
      <c r="AH171" s="218">
        <f t="shared" si="51"/>
        <v>0.02</v>
      </c>
      <c r="AI171" s="218">
        <f t="shared" si="51"/>
        <v>0.02</v>
      </c>
      <c r="AJ171" s="218">
        <f t="shared" si="51"/>
        <v>0.02</v>
      </c>
      <c r="AK171" s="218">
        <f t="shared" si="51"/>
        <v>0.02</v>
      </c>
      <c r="AL171" s="218">
        <f t="shared" si="51"/>
        <v>0.02</v>
      </c>
      <c r="AM171" s="218">
        <f t="shared" si="51"/>
        <v>0.02</v>
      </c>
      <c r="AN171" s="218">
        <f t="shared" si="51"/>
        <v>0.02</v>
      </c>
      <c r="AO171" s="218">
        <f t="shared" si="51"/>
        <v>0.02</v>
      </c>
      <c r="AP171" s="218">
        <f t="shared" si="51"/>
        <v>0.02</v>
      </c>
      <c r="AQ171" s="218">
        <f t="shared" si="51"/>
        <v>0.02</v>
      </c>
      <c r="AR171" s="218">
        <f t="shared" si="51"/>
        <v>0.02</v>
      </c>
      <c r="AS171" s="218">
        <f t="shared" si="51"/>
        <v>0.02</v>
      </c>
      <c r="AT171" s="218">
        <f t="shared" si="51"/>
        <v>0.02</v>
      </c>
      <c r="AU171" s="218">
        <f t="shared" si="51"/>
        <v>0.02</v>
      </c>
      <c r="AV171" s="218">
        <f t="shared" si="51"/>
        <v>0.02</v>
      </c>
      <c r="AW171" s="218">
        <f t="shared" si="51"/>
        <v>0.02</v>
      </c>
      <c r="AX171" s="218">
        <f t="shared" si="51"/>
        <v>0.02</v>
      </c>
    </row>
    <row r="172" spans="1:50" ht="15" customHeight="1">
      <c r="A172" s="1"/>
      <c r="B172" s="1"/>
      <c r="C172" s="1"/>
      <c r="D172" s="1"/>
      <c r="F172" s="1"/>
      <c r="G172" s="1"/>
      <c r="H172" s="1"/>
      <c r="I172" s="1"/>
      <c r="J172" s="80"/>
      <c r="K172" s="1"/>
      <c r="L172" s="1"/>
      <c r="M172" s="1"/>
      <c r="N172" s="1"/>
      <c r="O172" s="1"/>
      <c r="P172" s="80"/>
      <c r="Q172" s="80"/>
      <c r="R172" s="80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</row>
    <row r="173" spans="1:50" ht="15" customHeight="1">
      <c r="B173" s="90"/>
      <c r="E173" s="11" t="s">
        <v>245</v>
      </c>
      <c r="G173" s="1" t="s">
        <v>142</v>
      </c>
      <c r="I173" s="106">
        <v>0.02</v>
      </c>
      <c r="J173" s="103"/>
      <c r="L173" s="103"/>
      <c r="M173" s="103"/>
      <c r="N173" s="103"/>
      <c r="O173" s="103"/>
      <c r="P173" s="103"/>
      <c r="Q173" s="103"/>
      <c r="R173" s="103"/>
      <c r="S173" s="103"/>
      <c r="T173" s="103"/>
      <c r="U173" s="103"/>
      <c r="V173" s="103"/>
      <c r="W173" s="103"/>
      <c r="X173" s="103"/>
      <c r="Y173" s="103"/>
      <c r="Z173" s="103"/>
      <c r="AA173" s="103"/>
      <c r="AB173" s="103"/>
      <c r="AC173" s="103"/>
      <c r="AD173" s="103"/>
      <c r="AE173" s="103"/>
      <c r="AF173" s="103"/>
      <c r="AG173" s="103"/>
      <c r="AH173" s="103"/>
      <c r="AI173" s="103"/>
      <c r="AJ173" s="103"/>
      <c r="AK173" s="103"/>
      <c r="AL173" s="103"/>
      <c r="AM173" s="103"/>
      <c r="AN173" s="103"/>
      <c r="AO173" s="103"/>
      <c r="AP173" s="103"/>
      <c r="AQ173" s="103"/>
      <c r="AR173" s="103"/>
      <c r="AS173" s="103"/>
      <c r="AT173" s="103"/>
      <c r="AU173" s="103"/>
      <c r="AV173" s="103"/>
      <c r="AW173" s="103"/>
      <c r="AX173" s="103"/>
    </row>
    <row r="174" spans="1:50" ht="15" customHeight="1">
      <c r="A174"/>
      <c r="B174" s="90"/>
      <c r="E174" s="11" t="s">
        <v>246</v>
      </c>
      <c r="G174" s="1" t="s">
        <v>210</v>
      </c>
      <c r="I174" s="109">
        <v>45292</v>
      </c>
      <c r="J174" s="103"/>
      <c r="L174" s="103"/>
      <c r="M174" s="103"/>
      <c r="N174" s="103"/>
      <c r="O174" s="103"/>
      <c r="P174" s="103"/>
      <c r="Q174" s="103"/>
      <c r="R174" s="103"/>
      <c r="S174" s="103"/>
      <c r="T174" s="103"/>
      <c r="U174" s="103"/>
      <c r="V174" s="103"/>
      <c r="W174" s="103"/>
      <c r="X174" s="103"/>
      <c r="Y174" s="103"/>
      <c r="Z174" s="103"/>
      <c r="AA174" s="103"/>
      <c r="AB174" s="103"/>
      <c r="AC174" s="103"/>
      <c r="AD174" s="103"/>
      <c r="AE174" s="103"/>
      <c r="AF174" s="103"/>
      <c r="AG174" s="103"/>
      <c r="AH174" s="103"/>
      <c r="AI174" s="103"/>
      <c r="AJ174" s="103"/>
      <c r="AK174" s="103"/>
      <c r="AL174" s="103"/>
      <c r="AM174" s="103"/>
      <c r="AN174" s="103"/>
      <c r="AO174" s="103"/>
      <c r="AP174" s="103"/>
      <c r="AQ174" s="103"/>
      <c r="AR174" s="103"/>
      <c r="AS174" s="103"/>
      <c r="AT174" s="103"/>
      <c r="AU174" s="103"/>
      <c r="AV174" s="103"/>
      <c r="AW174" s="103"/>
      <c r="AX174" s="103"/>
    </row>
    <row r="175" spans="1:50" ht="15" customHeight="1">
      <c r="A175"/>
      <c r="B175" s="90"/>
      <c r="E175" s="11" t="s">
        <v>247</v>
      </c>
      <c r="G175" s="1" t="s">
        <v>210</v>
      </c>
      <c r="I175" s="88">
        <f>EOMONTH(I174,11)</f>
        <v>45657</v>
      </c>
      <c r="J175" s="103"/>
      <c r="L175" s="103"/>
      <c r="M175" s="103"/>
      <c r="N175" s="103"/>
      <c r="O175" s="103"/>
      <c r="P175" s="103"/>
      <c r="Q175" s="103"/>
      <c r="R175" s="103"/>
      <c r="S175" s="103"/>
      <c r="T175" s="103"/>
      <c r="U175" s="103"/>
      <c r="V175" s="103"/>
      <c r="W175" s="103"/>
      <c r="X175" s="103"/>
      <c r="Y175" s="103"/>
      <c r="Z175" s="103"/>
      <c r="AA175" s="103"/>
      <c r="AB175" s="103"/>
      <c r="AC175" s="103"/>
      <c r="AD175" s="103"/>
      <c r="AE175" s="103"/>
      <c r="AF175" s="103"/>
      <c r="AG175" s="103"/>
      <c r="AH175" s="103"/>
      <c r="AI175" s="103"/>
      <c r="AJ175" s="103"/>
      <c r="AK175" s="103"/>
      <c r="AL175" s="103"/>
      <c r="AM175" s="103"/>
      <c r="AN175" s="103"/>
      <c r="AO175" s="103"/>
      <c r="AP175" s="103"/>
      <c r="AQ175" s="103"/>
      <c r="AR175" s="103"/>
      <c r="AS175" s="103"/>
      <c r="AT175" s="103"/>
      <c r="AU175" s="103"/>
      <c r="AV175" s="103"/>
      <c r="AW175" s="103"/>
      <c r="AX175" s="103"/>
    </row>
    <row r="176" spans="1:50" ht="15" customHeight="1">
      <c r="B176" s="90"/>
      <c r="E176" s="11" t="s">
        <v>248</v>
      </c>
      <c r="G176" s="11" t="s">
        <v>249</v>
      </c>
      <c r="I176" s="110" cm="1">
        <f t="array" ref="I176">INDEX($K$23:$AX$23,MATCH(1,IF(I134&gt;=$K$12:$AX$12,IF(I134&lt;=$K$13:$AX$13,1)),0))</f>
        <v>1.1040808032000002</v>
      </c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7"/>
      <c r="AV176" s="107"/>
      <c r="AW176" s="107"/>
      <c r="AX176" s="107"/>
    </row>
    <row r="177" spans="1:50" ht="15" customHeight="1">
      <c r="B177" s="90"/>
      <c r="I177" s="110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7"/>
      <c r="AV177" s="107"/>
      <c r="AW177" s="107"/>
      <c r="AX177" s="107"/>
    </row>
    <row r="178" spans="1:50" ht="15" customHeight="1">
      <c r="B178" s="90"/>
      <c r="I178" s="110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7"/>
      <c r="AV178" s="107"/>
      <c r="AW178" s="107"/>
      <c r="AX178" s="107"/>
    </row>
    <row r="179" spans="1:50" ht="15" customHeight="1">
      <c r="B179" s="90"/>
      <c r="I179" s="110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7"/>
      <c r="AV179" s="107"/>
      <c r="AW179" s="107"/>
      <c r="AX179" s="107"/>
    </row>
    <row r="180" spans="1:50" ht="15" customHeight="1">
      <c r="G180" s="1"/>
      <c r="I180" s="75"/>
      <c r="P180" s="80"/>
      <c r="Q180" s="80"/>
    </row>
    <row r="181" spans="1:50" ht="15" customHeight="1">
      <c r="B181" s="12" t="s">
        <v>49</v>
      </c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  <c r="AT181" s="51"/>
      <c r="AU181" s="51"/>
      <c r="AV181" s="51"/>
      <c r="AW181" s="51"/>
      <c r="AX181" s="51"/>
    </row>
    <row r="182" spans="1:50" ht="15" customHeight="1">
      <c r="A182" s="1"/>
      <c r="B182" s="1"/>
      <c r="C182" s="1"/>
      <c r="D182" s="1"/>
      <c r="H182" s="1"/>
      <c r="I182" s="108"/>
      <c r="J182" s="80"/>
      <c r="K182" s="214"/>
      <c r="L182" s="214"/>
      <c r="M182" s="214"/>
      <c r="N182" s="214"/>
      <c r="O182" s="214"/>
      <c r="P182" s="214"/>
      <c r="Q182" s="214"/>
      <c r="R182" s="214"/>
      <c r="S182" s="214"/>
      <c r="T182" s="214"/>
      <c r="U182" s="214"/>
      <c r="V182" s="214"/>
      <c r="W182" s="214"/>
      <c r="X182" s="214"/>
      <c r="Y182" s="214"/>
      <c r="Z182" s="214"/>
      <c r="AA182" s="214"/>
      <c r="AB182" s="214"/>
      <c r="AC182" s="214"/>
      <c r="AD182" s="214"/>
      <c r="AE182" s="214"/>
      <c r="AF182" s="214"/>
      <c r="AG182" s="214"/>
      <c r="AH182" s="214"/>
      <c r="AI182" s="214"/>
      <c r="AJ182" s="214"/>
      <c r="AK182" s="214"/>
      <c r="AL182" s="214"/>
      <c r="AM182" s="214"/>
      <c r="AN182" s="214"/>
      <c r="AO182" s="214"/>
      <c r="AP182" s="214"/>
      <c r="AQ182" s="214"/>
      <c r="AR182" s="214"/>
      <c r="AS182" s="214"/>
      <c r="AT182" s="214"/>
      <c r="AU182" s="214"/>
      <c r="AV182" s="214"/>
      <c r="AW182" s="214"/>
      <c r="AX182" s="214"/>
    </row>
    <row r="188" spans="1:50" ht="15" hidden="1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</row>
    <row r="189" spans="1:50" ht="15" hidden="1" customHeight="1"/>
    <row r="190" spans="1:50" ht="15" hidden="1" customHeight="1"/>
    <row r="191" spans="1:50" ht="15" hidden="1" customHeight="1"/>
    <row r="192" spans="1:50" ht="15" hidden="1" customHeight="1"/>
    <row r="193" ht="15" hidden="1" customHeight="1"/>
    <row r="194" ht="15" hidden="1" customHeight="1"/>
    <row r="195" ht="15" hidden="1" customHeight="1"/>
    <row r="196" ht="15" hidden="1" customHeight="1"/>
    <row r="197" ht="15" hidden="1" customHeight="1"/>
    <row r="198" ht="15" hidden="1" customHeight="1"/>
    <row r="199" ht="15" hidden="1" customHeight="1"/>
    <row r="200" ht="15" hidden="1" customHeight="1"/>
    <row r="201" ht="15" hidden="1" customHeight="1"/>
    <row r="202" ht="15" hidden="1" customHeight="1"/>
    <row r="203" ht="15" hidden="1" customHeight="1"/>
    <row r="204" ht="15" hidden="1" customHeight="1"/>
    <row r="205" ht="15" hidden="1" customHeight="1"/>
    <row r="206" ht="15" hidden="1" customHeight="1"/>
    <row r="207" ht="15" hidden="1" customHeight="1"/>
    <row r="208" ht="15" hidden="1" customHeight="1"/>
    <row r="209" ht="15" hidden="1" customHeight="1"/>
    <row r="210" ht="15" hidden="1" customHeight="1"/>
    <row r="211" ht="15" hidden="1" customHeight="1"/>
    <row r="212" ht="15" hidden="1" customHeight="1"/>
    <row r="213" ht="15" hidden="1" customHeight="1"/>
    <row r="214" ht="15" hidden="1" customHeight="1"/>
    <row r="215" ht="15" hidden="1" customHeight="1"/>
    <row r="216" ht="15" hidden="1" customHeight="1"/>
    <row r="217" ht="15" hidden="1" customHeight="1"/>
    <row r="218" ht="15" hidden="1" customHeight="1"/>
    <row r="219" ht="15" hidden="1" customHeight="1"/>
    <row r="220" ht="15" hidden="1" customHeight="1"/>
    <row r="221" ht="15" hidden="1" customHeight="1"/>
    <row r="222" ht="15" hidden="1" customHeight="1"/>
    <row r="223" ht="15" hidden="1" customHeight="1"/>
    <row r="224" ht="15" hidden="1" customHeight="1"/>
    <row r="225" ht="15" hidden="1" customHeight="1"/>
    <row r="226" ht="15" hidden="1" customHeight="1"/>
    <row r="227" ht="15" hidden="1" customHeight="1"/>
    <row r="228" ht="15" hidden="1" customHeight="1"/>
    <row r="229" ht="15" hidden="1" customHeight="1"/>
    <row r="230" ht="15" hidden="1" customHeight="1"/>
    <row r="231" ht="15" hidden="1" customHeight="1"/>
    <row r="232" ht="15" hidden="1" customHeight="1"/>
    <row r="233" ht="15" hidden="1" customHeight="1"/>
    <row r="234" ht="15" hidden="1" customHeight="1"/>
    <row r="235" ht="15" hidden="1" customHeight="1"/>
    <row r="236" ht="15" hidden="1" customHeight="1"/>
    <row r="237" ht="15" hidden="1" customHeight="1"/>
    <row r="238" ht="15" hidden="1" customHeight="1"/>
    <row r="239" ht="15" hidden="1" customHeight="1"/>
    <row r="240" ht="15" hidden="1" customHeight="1"/>
    <row r="241" ht="15" hidden="1" customHeight="1"/>
    <row r="242" ht="15" hidden="1" customHeight="1"/>
    <row r="243" ht="15" hidden="1" customHeight="1"/>
    <row r="244" ht="15" hidden="1" customHeight="1"/>
    <row r="245" ht="15" hidden="1" customHeight="1"/>
    <row r="246" ht="15" hidden="1" customHeight="1"/>
    <row r="247" ht="15" hidden="1" customHeight="1"/>
    <row r="248" ht="15" hidden="1" customHeight="1"/>
    <row r="249" ht="15" hidden="1" customHeight="1"/>
    <row r="250" ht="15" hidden="1" customHeight="1"/>
    <row r="251" ht="15" hidden="1" customHeight="1"/>
    <row r="252" ht="15" hidden="1" customHeight="1"/>
    <row r="253" ht="15" hidden="1" customHeight="1"/>
    <row r="254" ht="15" hidden="1" customHeight="1"/>
    <row r="255" ht="15" hidden="1" customHeight="1"/>
    <row r="256" ht="15" hidden="1" customHeight="1"/>
    <row r="257" ht="15" hidden="1" customHeight="1"/>
    <row r="258" ht="15" hidden="1" customHeight="1"/>
    <row r="259" ht="15" hidden="1" customHeight="1"/>
    <row r="260" ht="15" hidden="1" customHeight="1"/>
    <row r="261" ht="15" hidden="1" customHeight="1"/>
    <row r="262" ht="15" hidden="1" customHeight="1"/>
    <row r="263" ht="15" hidden="1" customHeight="1"/>
    <row r="264" ht="15" hidden="1" customHeight="1"/>
    <row r="265" ht="15" hidden="1" customHeight="1"/>
    <row r="266" ht="15" hidden="1" customHeight="1"/>
    <row r="267" ht="15" hidden="1" customHeight="1"/>
    <row r="268" ht="15" hidden="1" customHeight="1"/>
    <row r="269" ht="15" hidden="1" customHeight="1"/>
    <row r="270" ht="15" hidden="1" customHeight="1"/>
    <row r="271" ht="15" hidden="1" customHeight="1"/>
  </sheetData>
  <phoneticPr fontId="65" type="noConversion"/>
  <dataValidations count="2">
    <dataValidation type="list" allowBlank="1" showInputMessage="1" showErrorMessage="1" sqref="I131 I129" xr:uid="{00000000-0002-0000-0200-000002000000}">
      <formula1>"Yes,No"</formula1>
    </dataValidation>
    <dataValidation type="list" allowBlank="1" showInputMessage="1" showErrorMessage="1" sqref="I60 I108:I109" xr:uid="{00000000-0002-0000-0200-000003000000}">
      <formula1>"1,2"</formula1>
    </dataValidation>
  </dataValidations>
  <pageMargins left="0.23622047244094502" right="0.23622047244094502" top="0.74803149606299213" bottom="0.74803149606299213" header="0.31496062992126012" footer="0.31496062992126012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CC"/>
    <pageSetUpPr fitToPage="1"/>
  </sheetPr>
  <dimension ref="A1:AZ189"/>
  <sheetViews>
    <sheetView zoomScale="80" zoomScaleNormal="80" workbookViewId="0">
      <selection activeCell="A12" sqref="A12"/>
    </sheetView>
  </sheetViews>
  <sheetFormatPr defaultColWidth="0" defaultRowHeight="0" customHeight="1" zeroHeight="1"/>
  <cols>
    <col min="1" max="4" width="2.5703125" style="11" customWidth="1"/>
    <col min="5" max="5" width="54.140625" style="11" bestFit="1" customWidth="1"/>
    <col min="6" max="6" width="1.5703125" style="11" customWidth="1"/>
    <col min="7" max="7" width="21.140625" style="11" customWidth="1"/>
    <col min="8" max="8" width="22.42578125" style="11" bestFit="1" customWidth="1"/>
    <col min="9" max="9" width="16.140625" style="11" bestFit="1" customWidth="1"/>
    <col min="10" max="10" width="1.5703125" style="11" customWidth="1"/>
    <col min="11" max="11" width="51.42578125" style="116" bestFit="1" customWidth="1"/>
    <col min="12" max="12" width="40.140625" style="116" customWidth="1"/>
    <col min="13" max="13" width="3.140625" style="11" customWidth="1"/>
    <col min="14" max="31" width="10.5703125" style="11" hidden="1" customWidth="1"/>
    <col min="32" max="32" width="11.5703125" style="11" hidden="1" customWidth="1"/>
    <col min="33" max="48" width="10.5703125" style="11" hidden="1" customWidth="1"/>
    <col min="49" max="50" width="10.7109375" style="11" hidden="1" customWidth="1"/>
    <col min="51" max="52" width="10.140625" style="11" hidden="1" customWidth="1"/>
    <col min="53" max="53" width="9.140625" style="11" hidden="1" customWidth="1"/>
    <col min="54" max="16384" width="9.140625" style="11" hidden="1"/>
  </cols>
  <sheetData>
    <row r="1" spans="1:12" ht="14.45">
      <c r="A1" s="45" t="s">
        <v>24</v>
      </c>
      <c r="B1" s="46"/>
      <c r="C1" s="46"/>
      <c r="D1" s="46"/>
      <c r="E1" s="46"/>
      <c r="F1" s="46"/>
      <c r="G1" s="46"/>
      <c r="H1" s="46" t="s">
        <v>64</v>
      </c>
      <c r="I1" s="112" t="s">
        <v>250</v>
      </c>
      <c r="J1" s="47"/>
      <c r="K1" s="113"/>
      <c r="L1" s="113"/>
    </row>
    <row r="2" spans="1:12" ht="15" customHeight="1">
      <c r="A2" s="46"/>
      <c r="B2" s="46"/>
      <c r="C2" s="46"/>
      <c r="D2" s="46"/>
      <c r="E2" s="48" t="s">
        <v>65</v>
      </c>
      <c r="F2" s="48"/>
      <c r="G2" s="48" t="s">
        <v>66</v>
      </c>
      <c r="H2" s="48" t="s">
        <v>67</v>
      </c>
      <c r="I2" s="114" t="s">
        <v>251</v>
      </c>
      <c r="J2" s="46"/>
      <c r="K2" s="115" t="s">
        <v>252</v>
      </c>
      <c r="L2" s="115" t="s">
        <v>253</v>
      </c>
    </row>
    <row r="3" spans="1:12" ht="15" customHeight="1"/>
    <row r="4" spans="1:12" ht="15" customHeight="1">
      <c r="B4" s="12" t="s">
        <v>254</v>
      </c>
      <c r="C4" s="50"/>
      <c r="D4" s="50"/>
      <c r="E4" s="50"/>
      <c r="F4" s="51"/>
      <c r="G4" s="51"/>
      <c r="H4" s="51"/>
      <c r="I4" s="117"/>
      <c r="J4" s="51"/>
      <c r="K4" s="118"/>
      <c r="L4" s="118"/>
    </row>
    <row r="5" spans="1:12" ht="15" customHeight="1">
      <c r="I5" s="119"/>
    </row>
    <row r="6" spans="1:12" ht="15" customHeight="1">
      <c r="E6" s="11" t="str">
        <f>Inputs!E6</f>
        <v>Base year price term</v>
      </c>
      <c r="G6" s="11" t="str">
        <f>Inputs!G6</f>
        <v>£m 2024 prices</v>
      </c>
      <c r="I6" s="120">
        <f>ROW(Inputs!E6)</f>
        <v>6</v>
      </c>
      <c r="K6" s="121" t="s">
        <v>255</v>
      </c>
      <c r="L6" s="122"/>
    </row>
    <row r="7" spans="1:12" ht="15" customHeight="1">
      <c r="I7" s="123"/>
    </row>
    <row r="8" spans="1:12" ht="15" customHeight="1">
      <c r="B8" s="12" t="s">
        <v>72</v>
      </c>
      <c r="C8" s="50"/>
      <c r="D8" s="50"/>
      <c r="E8" s="50"/>
      <c r="F8" s="51"/>
      <c r="G8" s="51"/>
      <c r="H8" s="51"/>
      <c r="I8" s="117"/>
      <c r="J8" s="51"/>
      <c r="K8" s="118"/>
      <c r="L8" s="118"/>
    </row>
    <row r="9" spans="1:12" ht="15" customHeight="1">
      <c r="I9" s="119"/>
    </row>
    <row r="10" spans="1:12" ht="15" customHeight="1">
      <c r="C10" s="56" t="s">
        <v>73</v>
      </c>
      <c r="D10" s="56"/>
      <c r="E10" s="56"/>
      <c r="F10" s="56"/>
      <c r="G10" s="56"/>
      <c r="H10" s="56"/>
      <c r="I10" s="124"/>
      <c r="J10" s="56"/>
      <c r="K10" s="125"/>
      <c r="L10" s="125"/>
    </row>
    <row r="11" spans="1:12" ht="15" customHeight="1">
      <c r="I11" s="119"/>
    </row>
    <row r="12" spans="1:12" ht="15" customHeight="1">
      <c r="E12" s="11" t="str">
        <f>Inputs!E15</f>
        <v>Development costs</v>
      </c>
      <c r="G12" s="11" t="str">
        <f>Inputs!G15</f>
        <v>£m nominal prices</v>
      </c>
      <c r="I12" s="119">
        <f>ROW(Inputs!E15)</f>
        <v>15</v>
      </c>
      <c r="K12" s="121" t="s">
        <v>255</v>
      </c>
      <c r="L12" s="121"/>
    </row>
    <row r="13" spans="1:12" ht="15" customHeight="1">
      <c r="E13" s="11" t="str">
        <f>Inputs!E16</f>
        <v>Capex</v>
      </c>
      <c r="G13" s="11" t="str">
        <f>Inputs!G16</f>
        <v>£m nominal prices</v>
      </c>
      <c r="I13" s="119">
        <f>ROW(Inputs!E16)</f>
        <v>16</v>
      </c>
      <c r="K13" s="121" t="s">
        <v>255</v>
      </c>
      <c r="L13" s="121"/>
    </row>
    <row r="14" spans="1:12" ht="15" customHeight="1">
      <c r="E14" s="11" t="str">
        <f>Inputs!E17</f>
        <v>Spares</v>
      </c>
      <c r="G14" s="11" t="str">
        <f>Inputs!G17</f>
        <v>£m nominal prices</v>
      </c>
      <c r="I14" s="119">
        <f>ROW(Inputs!E17)</f>
        <v>17</v>
      </c>
      <c r="K14" s="121" t="s">
        <v>255</v>
      </c>
      <c r="L14" s="121"/>
    </row>
    <row r="15" spans="1:12" ht="15" customHeight="1">
      <c r="I15" s="119"/>
    </row>
    <row r="16" spans="1:12" ht="12.95">
      <c r="E16" s="11" t="str">
        <f>Inputs!E19</f>
        <v>Base year UK CPIH inflation index value (L522)</v>
      </c>
      <c r="G16" s="11" t="str">
        <f>Inputs!G19</f>
        <v>Jan 2015 = 100</v>
      </c>
      <c r="H16" s="11" t="str">
        <f>Inputs!H19</f>
        <v>UK CPIH index 2024</v>
      </c>
      <c r="I16" s="119">
        <f>ROW(Inputs!E19)</f>
        <v>19</v>
      </c>
      <c r="K16" s="121" t="s">
        <v>256</v>
      </c>
      <c r="L16" s="126" t="s">
        <v>257</v>
      </c>
    </row>
    <row r="17" spans="1:12" ht="12.95">
      <c r="E17" s="11" t="str">
        <f>Inputs!E21</f>
        <v>Expected UK CPIH Inflation</v>
      </c>
      <c r="G17" s="11" t="s">
        <v>142</v>
      </c>
      <c r="I17" s="119">
        <f>ROW(Inputs!E21)</f>
        <v>21</v>
      </c>
      <c r="K17" s="121" t="s">
        <v>255</v>
      </c>
      <c r="L17" s="121"/>
    </row>
    <row r="18" spans="1:12" ht="12.95">
      <c r="I18" s="119"/>
      <c r="L18" s="127"/>
    </row>
    <row r="19" spans="1:12" ht="12.95">
      <c r="E19" s="11" t="s">
        <v>258</v>
      </c>
      <c r="G19" s="11" t="str">
        <f>Inputs!G29</f>
        <v>£m 2024 prices</v>
      </c>
      <c r="I19" s="119">
        <f>ROW(Inputs!E29)</f>
        <v>29</v>
      </c>
      <c r="K19" s="121" t="s">
        <v>255</v>
      </c>
      <c r="L19" s="126"/>
    </row>
    <row r="20" spans="1:12" ht="15" customHeight="1">
      <c r="G20" s="74"/>
      <c r="H20" s="74"/>
      <c r="I20" s="119"/>
    </row>
    <row r="21" spans="1:12" ht="15" customHeight="1">
      <c r="C21" s="56" t="s">
        <v>89</v>
      </c>
      <c r="D21" s="56"/>
      <c r="E21" s="56"/>
      <c r="F21" s="56"/>
      <c r="G21" s="56"/>
      <c r="H21" s="56"/>
      <c r="I21" s="124"/>
      <c r="J21" s="56"/>
      <c r="K21" s="125"/>
      <c r="L21" s="125"/>
    </row>
    <row r="22" spans="1:12" ht="15" customHeight="1">
      <c r="I22" s="119"/>
    </row>
    <row r="23" spans="1:12" ht="15" customHeight="1">
      <c r="E23" s="11" t="str">
        <f>Inputs!E35</f>
        <v>Replacement Capex</v>
      </c>
      <c r="G23" s="11" t="str">
        <f>Inputs!G35</f>
        <v>£m 2024 prices</v>
      </c>
      <c r="I23" s="119">
        <f>ROW(Inputs!E35)</f>
        <v>35</v>
      </c>
      <c r="K23" s="121" t="s">
        <v>255</v>
      </c>
      <c r="L23" s="121"/>
    </row>
    <row r="24" spans="1:12" ht="15" customHeight="1">
      <c r="E24" s="11" t="str">
        <f>Inputs!E36</f>
        <v>Decommissioning baseline</v>
      </c>
      <c r="G24" s="11" t="str">
        <f>Inputs!G36</f>
        <v>£m 2024 prices</v>
      </c>
      <c r="I24" s="119">
        <f>ROW(Inputs!E36)</f>
        <v>36</v>
      </c>
      <c r="K24" s="121" t="s">
        <v>255</v>
      </c>
      <c r="L24" s="121"/>
    </row>
    <row r="25" spans="1:12" ht="15" customHeight="1">
      <c r="E25" s="11" t="str">
        <f>Inputs!E37</f>
        <v>Controllable Opex</v>
      </c>
      <c r="G25" s="11" t="str">
        <f>Inputs!G37</f>
        <v>£m 2024 prices</v>
      </c>
      <c r="I25" s="119">
        <f>ROW(Inputs!E37)</f>
        <v>37</v>
      </c>
      <c r="K25" s="121" t="s">
        <v>255</v>
      </c>
      <c r="L25" s="121"/>
    </row>
    <row r="26" spans="1:12" ht="15" customHeight="1">
      <c r="E26" s="11" t="str">
        <f>Inputs!E38</f>
        <v>Non-controllable Opex baseline</v>
      </c>
      <c r="G26" s="11" t="str">
        <f>Inputs!G38</f>
        <v>£m 2024 prices</v>
      </c>
      <c r="I26" s="119">
        <f>ROW(Inputs!E38)</f>
        <v>38</v>
      </c>
      <c r="K26" s="121" t="s">
        <v>255</v>
      </c>
      <c r="L26" s="121"/>
    </row>
    <row r="27" spans="1:12" ht="15" customHeight="1">
      <c r="I27" s="119"/>
    </row>
    <row r="28" spans="1:12" ht="15" customHeight="1">
      <c r="A28" s="1"/>
      <c r="B28" s="12" t="s">
        <v>135</v>
      </c>
      <c r="C28" s="13"/>
      <c r="D28" s="13"/>
      <c r="E28" s="13"/>
      <c r="F28" s="79"/>
      <c r="G28" s="79"/>
      <c r="H28" s="79"/>
      <c r="I28" s="128"/>
      <c r="J28" s="79"/>
      <c r="K28" s="129"/>
      <c r="L28" s="129"/>
    </row>
    <row r="29" spans="1:12" ht="15" customHeight="1">
      <c r="A29" s="1"/>
      <c r="B29" s="1"/>
      <c r="C29" s="1"/>
      <c r="D29" s="1"/>
      <c r="E29" s="1"/>
      <c r="F29" s="1"/>
      <c r="G29" s="1"/>
      <c r="H29" s="1"/>
      <c r="I29" s="130"/>
      <c r="J29" s="80"/>
    </row>
    <row r="30" spans="1:12" ht="15" customHeight="1">
      <c r="A30" s="1"/>
      <c r="B30" s="1"/>
      <c r="C30" s="56" t="s">
        <v>28</v>
      </c>
      <c r="D30" s="56"/>
      <c r="E30" s="56"/>
      <c r="F30" s="56"/>
      <c r="G30" s="56"/>
      <c r="H30" s="56"/>
      <c r="I30" s="124"/>
      <c r="J30" s="56"/>
      <c r="K30" s="125"/>
      <c r="L30" s="125"/>
    </row>
    <row r="31" spans="1:12" ht="15" customHeight="1">
      <c r="A31" s="1"/>
      <c r="B31" s="1"/>
      <c r="C31" s="1"/>
      <c r="D31" s="1"/>
      <c r="E31" s="1"/>
      <c r="F31" s="1"/>
      <c r="G31" s="1"/>
      <c r="H31" s="1"/>
      <c r="I31" s="130"/>
      <c r="J31" s="80"/>
    </row>
    <row r="32" spans="1:12" ht="12.95">
      <c r="E32" s="11" t="str">
        <f>Inputs!E44</f>
        <v>Cap return rate</v>
      </c>
      <c r="G32" s="11" t="str">
        <f>Inputs!G44</f>
        <v>real annual %</v>
      </c>
      <c r="I32" s="119">
        <f>ROW(Inputs!E44)</f>
        <v>44</v>
      </c>
      <c r="K32" s="121" t="s">
        <v>255</v>
      </c>
      <c r="L32" s="122"/>
    </row>
    <row r="33" spans="1:12" ht="15" customHeight="1">
      <c r="E33" s="11" t="str">
        <f>Inputs!E45</f>
        <v>Floor return rate</v>
      </c>
      <c r="G33" s="11" t="str">
        <f>Inputs!G45</f>
        <v>real annual %</v>
      </c>
      <c r="I33" s="119">
        <f>ROW(Inputs!E45)</f>
        <v>45</v>
      </c>
      <c r="K33" s="121" t="s">
        <v>255</v>
      </c>
      <c r="L33" s="122"/>
    </row>
    <row r="34" spans="1:12" ht="15" customHeight="1">
      <c r="E34" s="11" t="str">
        <f>Inputs!E48</f>
        <v>Administrative interest during construction (IDC) rate</v>
      </c>
      <c r="G34" s="11" t="str">
        <f>Inputs!G48</f>
        <v>real annual %</v>
      </c>
      <c r="I34" s="119">
        <f>ROW(Inputs!E48)</f>
        <v>48</v>
      </c>
      <c r="K34" s="121" t="s">
        <v>255</v>
      </c>
      <c r="L34" s="122"/>
    </row>
    <row r="35" spans="1:12" ht="15" customHeight="1">
      <c r="E35" s="11" t="s">
        <v>259</v>
      </c>
      <c r="G35" s="11" t="s">
        <v>142</v>
      </c>
      <c r="I35" s="119">
        <f>ROW(Inputs!E49)</f>
        <v>49</v>
      </c>
      <c r="K35" s="121" t="s">
        <v>255</v>
      </c>
      <c r="L35" s="122"/>
    </row>
    <row r="36" spans="1:12" ht="15" customHeight="1">
      <c r="I36" s="119"/>
    </row>
    <row r="37" spans="1:12" ht="12.95">
      <c r="E37" s="11" t="str">
        <f>Inputs!E52</f>
        <v>Pre-operational notional gearing</v>
      </c>
      <c r="G37" s="11" t="str">
        <f>Inputs!G52</f>
        <v>%</v>
      </c>
      <c r="I37" s="119">
        <f>ROW(Inputs!E52)</f>
        <v>52</v>
      </c>
      <c r="K37" s="121" t="s">
        <v>255</v>
      </c>
      <c r="L37" s="122"/>
    </row>
    <row r="38" spans="1:12" ht="12.95">
      <c r="E38" s="11" t="str">
        <f>Inputs!E53</f>
        <v>Operational notional gearing</v>
      </c>
      <c r="G38" s="11" t="str">
        <f>Inputs!G53</f>
        <v>%</v>
      </c>
      <c r="I38" s="119">
        <f>ROW(Inputs!E53)</f>
        <v>53</v>
      </c>
      <c r="K38" s="121" t="s">
        <v>255</v>
      </c>
      <c r="L38" s="122"/>
    </row>
    <row r="39" spans="1:12" ht="15" customHeight="1">
      <c r="I39" s="119"/>
    </row>
    <row r="40" spans="1:12" ht="15" customHeight="1">
      <c r="E40" s="11" t="str">
        <f>Inputs!E55</f>
        <v>Equity transaction costs</v>
      </c>
      <c r="G40" s="11" t="str">
        <f>Inputs!G55</f>
        <v>%</v>
      </c>
      <c r="I40" s="119">
        <f>ROW(Inputs!E55)</f>
        <v>55</v>
      </c>
      <c r="K40" s="121" t="s">
        <v>255</v>
      </c>
      <c r="L40" s="122"/>
    </row>
    <row r="41" spans="1:12" ht="15" customHeight="1">
      <c r="E41" s="11" t="str">
        <f>Inputs!E56</f>
        <v>Debt transaction costs</v>
      </c>
      <c r="G41" s="11" t="str">
        <f>Inputs!G56</f>
        <v>%</v>
      </c>
      <c r="I41" s="119">
        <f>ROW(Inputs!E56)</f>
        <v>56</v>
      </c>
      <c r="K41" s="121" t="s">
        <v>255</v>
      </c>
      <c r="L41" s="122"/>
    </row>
    <row r="42" spans="1:12" ht="15" customHeight="1">
      <c r="K42" s="11"/>
      <c r="L42" s="11"/>
    </row>
    <row r="43" spans="1:12" ht="15" customHeight="1">
      <c r="A43" s="86"/>
      <c r="C43" s="56" t="s">
        <v>260</v>
      </c>
      <c r="D43" s="56"/>
      <c r="E43" s="56"/>
      <c r="F43" s="56"/>
      <c r="G43" s="56"/>
      <c r="H43" s="56"/>
      <c r="I43" s="124"/>
      <c r="J43" s="56"/>
      <c r="K43" s="125"/>
      <c r="L43" s="125"/>
    </row>
    <row r="44" spans="1:12" ht="15" customHeight="1">
      <c r="A44" s="86"/>
      <c r="K44" s="11"/>
      <c r="L44" s="11"/>
    </row>
    <row r="45" spans="1:12" ht="26.1">
      <c r="A45" s="86"/>
      <c r="E45" s="11" t="str">
        <f>Inputs!E60</f>
        <v>Project finance key input: senior debt amount or gearing</v>
      </c>
      <c r="G45" s="74" t="str">
        <f>Inputs!G60</f>
        <v>1: Amount (£m)
2: Gearing (%)</v>
      </c>
      <c r="I45" s="119">
        <f>ROW(Inputs!E60)</f>
        <v>60</v>
      </c>
      <c r="K45" s="121" t="s">
        <v>255</v>
      </c>
      <c r="L45" s="122"/>
    </row>
    <row r="46" spans="1:12" ht="15" customHeight="1">
      <c r="A46" s="86"/>
      <c r="E46" s="11" t="str">
        <f>Inputs!E61</f>
        <v>Project finance senior debt amount (input if 1; empty if 2)</v>
      </c>
      <c r="G46" s="11" t="str">
        <f>Inputs!G61</f>
        <v>£m nominal prices</v>
      </c>
      <c r="I46" s="119">
        <f>ROW(Inputs!E61)</f>
        <v>61</v>
      </c>
      <c r="K46" s="121" t="s">
        <v>255</v>
      </c>
      <c r="L46" s="122"/>
    </row>
    <row r="47" spans="1:12" ht="15" customHeight="1">
      <c r="A47" s="86"/>
      <c r="E47" s="11" t="str">
        <f>Inputs!E62</f>
        <v>Project finance actual gearing (input if 2; empty if 1)</v>
      </c>
      <c r="G47" s="11" t="str">
        <f>Inputs!G62</f>
        <v>%</v>
      </c>
      <c r="I47" s="119">
        <f>ROW(Inputs!E62)</f>
        <v>62</v>
      </c>
      <c r="K47" s="121" t="s">
        <v>255</v>
      </c>
      <c r="L47" s="68"/>
    </row>
    <row r="48" spans="1:12" ht="15" customHeight="1">
      <c r="A48" s="86"/>
      <c r="I48" s="119"/>
      <c r="K48" s="11"/>
      <c r="L48" s="11"/>
    </row>
    <row r="49" spans="1:12" ht="15" customHeight="1">
      <c r="A49" s="86"/>
      <c r="E49" s="11" t="str">
        <f>Inputs!E64</f>
        <v>Proportion of debt fixed-rate</v>
      </c>
      <c r="G49" s="11" t="str">
        <f>Inputs!G64</f>
        <v>%</v>
      </c>
      <c r="I49" s="119">
        <f>ROW(Inputs!E64)</f>
        <v>64</v>
      </c>
      <c r="K49" s="121" t="s">
        <v>255</v>
      </c>
      <c r="L49" s="68"/>
    </row>
    <row r="50" spans="1:12" ht="15" customHeight="1">
      <c r="A50" s="86"/>
      <c r="I50" s="119"/>
      <c r="K50" s="11"/>
      <c r="L50" s="11"/>
    </row>
    <row r="51" spans="1:12" ht="15" customHeight="1">
      <c r="A51" s="86"/>
      <c r="E51" s="11" t="str">
        <f>Inputs!E66</f>
        <v>Senior Debt tenor</v>
      </c>
      <c r="G51" s="11" t="str">
        <f>Inputs!G66</f>
        <v>full years</v>
      </c>
      <c r="I51" s="119">
        <f>ROW(Inputs!E66)</f>
        <v>66</v>
      </c>
      <c r="K51" s="121" t="s">
        <v>255</v>
      </c>
      <c r="L51" s="122"/>
    </row>
    <row r="52" spans="1:12" ht="15" customHeight="1">
      <c r="A52" s="86"/>
      <c r="E52" s="11" t="str">
        <f>Inputs!E67</f>
        <v>Senior Debt tail requirement</v>
      </c>
      <c r="G52" s="11" t="str">
        <f>Inputs!G67</f>
        <v>full years</v>
      </c>
      <c r="I52" s="119">
        <f>ROW(Inputs!E67)</f>
        <v>67</v>
      </c>
      <c r="K52" s="121" t="s">
        <v>255</v>
      </c>
      <c r="L52" s="122"/>
    </row>
    <row r="53" spans="1:12" ht="15" customHeight="1">
      <c r="A53" s="86"/>
      <c r="E53" s="11" t="str">
        <f>Inputs!E68</f>
        <v>DSCR sizing</v>
      </c>
      <c r="G53" s="11" t="str">
        <f>Inputs!G68</f>
        <v>DSCRx</v>
      </c>
      <c r="I53" s="119">
        <f>ROW(Inputs!E68)</f>
        <v>68</v>
      </c>
      <c r="K53" s="121" t="s">
        <v>255</v>
      </c>
      <c r="L53" s="122"/>
    </row>
    <row r="54" spans="1:12" ht="15" customHeight="1">
      <c r="A54" s="86"/>
      <c r="I54" s="119"/>
      <c r="K54" s="11"/>
      <c r="L54" s="11"/>
    </row>
    <row r="55" spans="1:12" ht="15" customHeight="1">
      <c r="A55" s="86"/>
      <c r="E55" s="11" t="str">
        <f>Inputs!E70</f>
        <v>Fixed rate - Construction</v>
      </c>
      <c r="G55" s="11" t="str">
        <f>Inputs!G70</f>
        <v>nominal %</v>
      </c>
      <c r="I55" s="119">
        <f>ROW(Inputs!E70)</f>
        <v>70</v>
      </c>
      <c r="K55" s="121" t="s">
        <v>255</v>
      </c>
      <c r="L55" s="122"/>
    </row>
    <row r="56" spans="1:12" ht="15" customHeight="1">
      <c r="A56" s="86"/>
      <c r="E56" s="11" t="str">
        <f>Inputs!E71</f>
        <v>Fixed rate - Operation</v>
      </c>
      <c r="G56" s="11" t="str">
        <f>Inputs!G71</f>
        <v>nominal %</v>
      </c>
      <c r="I56" s="119">
        <f>ROW(Inputs!E71)</f>
        <v>71</v>
      </c>
      <c r="K56" s="121" t="s">
        <v>255</v>
      </c>
      <c r="L56" s="122"/>
    </row>
    <row r="57" spans="1:12" ht="15" customHeight="1">
      <c r="A57" s="86"/>
      <c r="I57" s="119"/>
      <c r="K57" s="11"/>
      <c r="L57" s="11"/>
    </row>
    <row r="58" spans="1:12" ht="15" customHeight="1">
      <c r="A58" s="86"/>
      <c r="E58" s="11" t="str">
        <f>Inputs!E73</f>
        <v>Senior Debt construction margin</v>
      </c>
      <c r="G58" s="11" t="str">
        <f>Inputs!G73</f>
        <v>nominal %</v>
      </c>
      <c r="I58" s="119">
        <f>ROW(Inputs!E73)</f>
        <v>73</v>
      </c>
      <c r="K58" s="121" t="s">
        <v>255</v>
      </c>
      <c r="L58" s="122"/>
    </row>
    <row r="59" spans="1:12" ht="15" customHeight="1">
      <c r="A59" s="86"/>
      <c r="E59" s="11" t="str">
        <f>Inputs!E74</f>
        <v>of which: swap margin</v>
      </c>
      <c r="G59" s="11" t="str">
        <f>Inputs!G74</f>
        <v>nominal %</v>
      </c>
      <c r="I59" s="119">
        <f>ROW(Inputs!E74)</f>
        <v>74</v>
      </c>
      <c r="K59" s="121" t="s">
        <v>255</v>
      </c>
      <c r="L59" s="122"/>
    </row>
    <row r="60" spans="1:12" ht="15" customHeight="1">
      <c r="A60" s="86"/>
      <c r="E60" s="11" t="str">
        <f>Inputs!E75</f>
        <v>Senior Debt upfront fee</v>
      </c>
      <c r="G60" s="11" t="str">
        <f>Inputs!G75</f>
        <v>nominal %</v>
      </c>
      <c r="I60" s="119">
        <f>ROW(Inputs!E75)</f>
        <v>75</v>
      </c>
      <c r="K60" s="121" t="s">
        <v>255</v>
      </c>
      <c r="L60" s="122"/>
    </row>
    <row r="61" spans="1:12" ht="15" customHeight="1">
      <c r="A61" s="86"/>
      <c r="E61" s="11" t="str">
        <f>Inputs!E76</f>
        <v>Senior Debt commitment fee</v>
      </c>
      <c r="G61" s="11" t="str">
        <f>Inputs!G76</f>
        <v>% of applicable margin</v>
      </c>
      <c r="I61" s="119">
        <f>ROW(Inputs!E76)</f>
        <v>76</v>
      </c>
      <c r="K61" s="121" t="s">
        <v>255</v>
      </c>
      <c r="L61" s="122"/>
    </row>
    <row r="62" spans="1:12" ht="15" customHeight="1">
      <c r="A62" s="86"/>
      <c r="I62" s="119"/>
      <c r="K62" s="11"/>
      <c r="L62" s="11"/>
    </row>
    <row r="63" spans="1:12" ht="15" customHeight="1">
      <c r="A63" s="86"/>
      <c r="E63" s="11" t="str">
        <f>Inputs!E78</f>
        <v>Senior Debt drawdown year</v>
      </c>
      <c r="G63" s="11" t="str">
        <f>Inputs!G78</f>
        <v>Year</v>
      </c>
      <c r="I63" s="119">
        <f>ROW(Inputs!E78)</f>
        <v>78</v>
      </c>
      <c r="K63" s="121" t="s">
        <v>255</v>
      </c>
      <c r="L63" s="122"/>
    </row>
    <row r="64" spans="1:12" ht="15" customHeight="1">
      <c r="A64" s="86"/>
      <c r="E64" s="11" t="str">
        <f>Inputs!E79</f>
        <v>Senior Debt drawdown profile</v>
      </c>
      <c r="G64" s="11" t="str">
        <f>Inputs!G79</f>
        <v>%</v>
      </c>
      <c r="I64" s="119">
        <f>ROW(Inputs!E79)</f>
        <v>79</v>
      </c>
      <c r="K64" s="121" t="s">
        <v>255</v>
      </c>
      <c r="L64" s="122"/>
    </row>
    <row r="65" spans="1:12" ht="15" customHeight="1">
      <c r="A65" s="86"/>
      <c r="I65" s="119"/>
      <c r="K65" s="11"/>
      <c r="L65" s="11"/>
    </row>
    <row r="66" spans="1:12" ht="15" customHeight="1">
      <c r="A66" s="86"/>
      <c r="E66" s="11" t="str">
        <f>Inputs!E81</f>
        <v>Debt Service Reserve Facility/Account amount</v>
      </c>
      <c r="G66" s="11" t="str">
        <f>Inputs!G81</f>
        <v>£m nominal prices</v>
      </c>
      <c r="I66" s="119">
        <f>ROW(Inputs!E81)</f>
        <v>81</v>
      </c>
      <c r="K66" s="121" t="s">
        <v>255</v>
      </c>
      <c r="L66" s="122"/>
    </row>
    <row r="67" spans="1:12" ht="15" customHeight="1">
      <c r="A67" s="86"/>
      <c r="E67" s="11" t="str">
        <f>Inputs!E82</f>
        <v>Debt Service Reserve Facility upfront fee</v>
      </c>
      <c r="G67" s="11" t="str">
        <f>Inputs!G82</f>
        <v>nominal %</v>
      </c>
      <c r="I67" s="119">
        <f>ROW(Inputs!E82)</f>
        <v>82</v>
      </c>
      <c r="K67" s="121" t="s">
        <v>255</v>
      </c>
      <c r="L67" s="122"/>
    </row>
    <row r="68" spans="1:12" ht="15" customHeight="1">
      <c r="A68" s="86"/>
      <c r="E68" s="11" t="str">
        <f>Inputs!E83</f>
        <v>Debt Service Reserve Facility construction margin</v>
      </c>
      <c r="G68" s="11" t="str">
        <f>Inputs!G83</f>
        <v>nominal %</v>
      </c>
      <c r="I68" s="119">
        <f>ROW(Inputs!E83)</f>
        <v>83</v>
      </c>
      <c r="K68" s="121" t="s">
        <v>255</v>
      </c>
      <c r="L68" s="122"/>
    </row>
    <row r="69" spans="1:12" ht="15" customHeight="1">
      <c r="A69" s="86"/>
      <c r="E69" s="11" t="str">
        <f>Inputs!E84</f>
        <v>Debt Service Reserve Facility commitment fee</v>
      </c>
      <c r="G69" s="11" t="str">
        <f>Inputs!G84</f>
        <v>% of applicable margin</v>
      </c>
      <c r="I69" s="119">
        <f>ROW(Inputs!E84)</f>
        <v>84</v>
      </c>
      <c r="K69" s="121" t="s">
        <v>255</v>
      </c>
      <c r="L69" s="122"/>
    </row>
    <row r="70" spans="1:12" ht="15" customHeight="1">
      <c r="A70" s="86"/>
      <c r="I70" s="119"/>
      <c r="K70" s="11"/>
      <c r="L70" s="11"/>
    </row>
    <row r="71" spans="1:12" ht="15" customHeight="1">
      <c r="A71" s="86"/>
      <c r="E71" s="11" t="str">
        <f>Inputs!E86</f>
        <v>Cap and Floor Liquidity Facility amount</v>
      </c>
      <c r="G71" s="11" t="str">
        <f>Inputs!G86</f>
        <v>£m nominal prices</v>
      </c>
      <c r="I71" s="119">
        <f>ROW(Inputs!E86)</f>
        <v>86</v>
      </c>
      <c r="K71" s="121" t="s">
        <v>255</v>
      </c>
      <c r="L71" s="122"/>
    </row>
    <row r="72" spans="1:12" ht="15" customHeight="1">
      <c r="A72" s="86"/>
      <c r="E72" s="11" t="str">
        <f>Inputs!E88</f>
        <v>Cap and Floor Liquidity Facility upfront fee</v>
      </c>
      <c r="G72" s="11" t="str">
        <f>Inputs!G88</f>
        <v>nominal %</v>
      </c>
      <c r="I72" s="119">
        <f>ROW(Inputs!E88)</f>
        <v>88</v>
      </c>
      <c r="K72" s="121" t="s">
        <v>255</v>
      </c>
      <c r="L72" s="122"/>
    </row>
    <row r="73" spans="1:12" ht="15" customHeight="1">
      <c r="A73" s="86"/>
      <c r="E73" s="11" t="str">
        <f>Inputs!E89</f>
        <v>Cap and Floor Liquidity Facility construction margin</v>
      </c>
      <c r="G73" s="11" t="str">
        <f>Inputs!G89</f>
        <v>nominal %</v>
      </c>
      <c r="I73" s="119">
        <f>ROW(Inputs!E89)</f>
        <v>89</v>
      </c>
      <c r="K73" s="121" t="s">
        <v>255</v>
      </c>
      <c r="L73" s="122"/>
    </row>
    <row r="74" spans="1:12" ht="15" customHeight="1">
      <c r="A74" s="86"/>
      <c r="E74" s="11" t="str">
        <f>Inputs!E90</f>
        <v>Cap and Floor Liquidity Facility commitment fee</v>
      </c>
      <c r="G74" s="11" t="str">
        <f>Inputs!G90</f>
        <v>% of applicable margin</v>
      </c>
      <c r="I74" s="119">
        <f>ROW(Inputs!E90)</f>
        <v>90</v>
      </c>
      <c r="K74" s="121" t="s">
        <v>255</v>
      </c>
      <c r="L74" s="122"/>
    </row>
    <row r="75" spans="1:12" ht="15" customHeight="1">
      <c r="A75" s="86"/>
      <c r="I75" s="119"/>
      <c r="K75" s="11"/>
      <c r="L75" s="11"/>
    </row>
    <row r="76" spans="1:12" ht="15" customHeight="1">
      <c r="A76" s="86"/>
      <c r="E76" s="11" t="str">
        <f>Inputs!E92</f>
        <v>Standby Debt Facility amount</v>
      </c>
      <c r="G76" s="11" t="str">
        <f>Inputs!G92</f>
        <v>£m nominal prices</v>
      </c>
      <c r="I76" s="119">
        <f>ROW(Inputs!E92)</f>
        <v>92</v>
      </c>
      <c r="K76" s="121" t="s">
        <v>255</v>
      </c>
      <c r="L76" s="122"/>
    </row>
    <row r="77" spans="1:12" ht="15" customHeight="1">
      <c r="A77" s="86"/>
      <c r="E77" s="11" t="str">
        <f>Inputs!E93</f>
        <v>Standby Debt Facility upfront fee</v>
      </c>
      <c r="G77" s="11" t="str">
        <f>Inputs!G93</f>
        <v>nominal %</v>
      </c>
      <c r="I77" s="119">
        <f>ROW(Inputs!E93)</f>
        <v>93</v>
      </c>
      <c r="K77" s="121" t="s">
        <v>255</v>
      </c>
      <c r="L77" s="122"/>
    </row>
    <row r="78" spans="1:12" ht="15" customHeight="1">
      <c r="A78" s="86"/>
      <c r="E78" s="11" t="str">
        <f>Inputs!E94</f>
        <v>Standby Debt Facility construction margin</v>
      </c>
      <c r="G78" s="11" t="str">
        <f>Inputs!G94</f>
        <v>nominal %</v>
      </c>
      <c r="I78" s="119">
        <f>ROW(Inputs!E94)</f>
        <v>94</v>
      </c>
      <c r="K78" s="121" t="s">
        <v>255</v>
      </c>
      <c r="L78" s="122"/>
    </row>
    <row r="79" spans="1:12" ht="15" customHeight="1">
      <c r="A79" s="86"/>
      <c r="E79" s="11" t="str">
        <f>Inputs!E95</f>
        <v>Standby Debt Facility commitment fee</v>
      </c>
      <c r="G79" s="11" t="str">
        <f>Inputs!G95</f>
        <v>% of applicable margin</v>
      </c>
      <c r="I79" s="119">
        <f>ROW(Inputs!E95)</f>
        <v>95</v>
      </c>
      <c r="K79" s="121" t="s">
        <v>255</v>
      </c>
      <c r="L79" s="122"/>
    </row>
    <row r="80" spans="1:12" ht="15" customHeight="1">
      <c r="A80" s="86"/>
      <c r="I80" s="119"/>
      <c r="K80" s="11"/>
      <c r="L80" s="11"/>
    </row>
    <row r="81" spans="1:12" ht="15" customHeight="1">
      <c r="A81" s="86"/>
      <c r="E81" s="11" t="str">
        <f>Inputs!E97</f>
        <v>VAT Facility amount</v>
      </c>
      <c r="G81" s="11" t="str">
        <f>Inputs!G97</f>
        <v>£m nominal prices</v>
      </c>
      <c r="I81" s="119">
        <f>ROW(Inputs!E97)</f>
        <v>97</v>
      </c>
      <c r="K81" s="121" t="s">
        <v>255</v>
      </c>
      <c r="L81" s="122"/>
    </row>
    <row r="82" spans="1:12" ht="15" customHeight="1">
      <c r="A82" s="86"/>
      <c r="E82" s="11" t="str">
        <f>Inputs!E98</f>
        <v>VAT Facility average outstanding loan</v>
      </c>
      <c r="G82" s="11" t="str">
        <f>Inputs!G98</f>
        <v>£m nominal prices</v>
      </c>
      <c r="I82" s="119">
        <f>ROW(Inputs!E98)</f>
        <v>98</v>
      </c>
      <c r="K82" s="121" t="s">
        <v>255</v>
      </c>
      <c r="L82" s="122"/>
    </row>
    <row r="83" spans="1:12" ht="15" customHeight="1">
      <c r="A83" s="86"/>
      <c r="E83" s="11" t="str">
        <f>Inputs!E99</f>
        <v>VAT Facility upfront fee</v>
      </c>
      <c r="G83" s="11" t="str">
        <f>Inputs!G99</f>
        <v>nominal %</v>
      </c>
      <c r="I83" s="119">
        <f>ROW(Inputs!E99)</f>
        <v>99</v>
      </c>
      <c r="K83" s="121" t="s">
        <v>255</v>
      </c>
      <c r="L83" s="122"/>
    </row>
    <row r="84" spans="1:12" ht="15" customHeight="1">
      <c r="A84" s="86"/>
      <c r="E84" s="11" t="str">
        <f>Inputs!E100</f>
        <v>VAT Facility construction margin</v>
      </c>
      <c r="G84" s="11" t="str">
        <f>Inputs!G100</f>
        <v>nominal %</v>
      </c>
      <c r="I84" s="119">
        <f>ROW(Inputs!E100)</f>
        <v>100</v>
      </c>
      <c r="K84" s="121" t="s">
        <v>255</v>
      </c>
      <c r="L84" s="122"/>
    </row>
    <row r="85" spans="1:12" ht="15" customHeight="1">
      <c r="A85" s="86"/>
      <c r="E85" s="11" t="str">
        <f>Inputs!E101</f>
        <v>VAT Facility commitment fee</v>
      </c>
      <c r="G85" s="11" t="str">
        <f>Inputs!G101</f>
        <v>% of applicable margin</v>
      </c>
      <c r="I85" s="119">
        <f>ROW(Inputs!E101)</f>
        <v>101</v>
      </c>
      <c r="K85" s="121" t="s">
        <v>255</v>
      </c>
      <c r="L85" s="122"/>
    </row>
    <row r="86" spans="1:12" ht="15" customHeight="1">
      <c r="A86" s="86"/>
      <c r="I86" s="119"/>
      <c r="K86" s="11"/>
      <c r="L86" s="11"/>
    </row>
    <row r="87" spans="1:12" ht="15" customHeight="1">
      <c r="A87" s="86"/>
      <c r="E87" s="11" t="str">
        <f>Inputs!E103</f>
        <v>Other Facilities amount</v>
      </c>
      <c r="G87" s="11" t="str">
        <f>Inputs!G103</f>
        <v>£m nominal prices</v>
      </c>
      <c r="I87" s="119">
        <f>ROW(Inputs!E103)</f>
        <v>103</v>
      </c>
      <c r="K87" s="121" t="s">
        <v>255</v>
      </c>
      <c r="L87" s="122"/>
    </row>
    <row r="88" spans="1:12" ht="15" customHeight="1">
      <c r="A88" s="86"/>
      <c r="E88" s="11" t="str">
        <f>Inputs!E104</f>
        <v>Other Facilities upfront fee</v>
      </c>
      <c r="G88" s="11" t="str">
        <f>Inputs!G104</f>
        <v>nominal %</v>
      </c>
      <c r="I88" s="119">
        <f>ROW(Inputs!E104)</f>
        <v>104</v>
      </c>
      <c r="K88" s="121" t="s">
        <v>255</v>
      </c>
      <c r="L88" s="122"/>
    </row>
    <row r="89" spans="1:12" ht="15" customHeight="1">
      <c r="A89" s="86"/>
      <c r="E89" s="11" t="str">
        <f>Inputs!E105</f>
        <v>Other Facilities construction margin</v>
      </c>
      <c r="G89" s="11" t="str">
        <f>Inputs!G105</f>
        <v>nominal %</v>
      </c>
      <c r="I89" s="119">
        <f>ROW(Inputs!E105)</f>
        <v>105</v>
      </c>
      <c r="K89" s="121" t="s">
        <v>255</v>
      </c>
      <c r="L89" s="122"/>
    </row>
    <row r="90" spans="1:12" ht="15" customHeight="1">
      <c r="A90" s="86"/>
      <c r="E90" s="11" t="str">
        <f>Inputs!E106</f>
        <v>Other Facilities commitment fee</v>
      </c>
      <c r="G90" s="11" t="str">
        <f>Inputs!G106</f>
        <v>% of applicable margin</v>
      </c>
      <c r="I90" s="119">
        <f>ROW(Inputs!E106)</f>
        <v>106</v>
      </c>
      <c r="K90" s="121" t="s">
        <v>255</v>
      </c>
      <c r="L90" s="122"/>
    </row>
    <row r="91" spans="1:12" ht="15" customHeight="1">
      <c r="A91" s="86"/>
      <c r="I91" s="119"/>
      <c r="K91" s="11"/>
      <c r="L91" s="11"/>
    </row>
    <row r="92" spans="1:12" ht="26.1">
      <c r="A92" s="86"/>
      <c r="E92" s="11" t="str">
        <f>Inputs!E108</f>
        <v>Debt Service Reserve: Facility or Account</v>
      </c>
      <c r="G92" s="74" t="str">
        <f>Inputs!G108</f>
        <v>1: DSRF
2: DSRA</v>
      </c>
      <c r="I92" s="119">
        <f>ROW(Inputs!E108)</f>
        <v>108</v>
      </c>
      <c r="K92" s="121" t="s">
        <v>255</v>
      </c>
      <c r="L92" s="122"/>
    </row>
    <row r="93" spans="1:12" ht="26.1">
      <c r="A93" s="86"/>
      <c r="E93" s="11" t="str">
        <f>Inputs!E109</f>
        <v>Switch for transaction costs in taxes</v>
      </c>
      <c r="G93" s="74" t="str">
        <f>Inputs!G109</f>
        <v>1: notional costs
2: actual costs</v>
      </c>
      <c r="I93" s="119">
        <f>ROW(Inputs!E109)</f>
        <v>109</v>
      </c>
      <c r="K93" s="121" t="s">
        <v>255</v>
      </c>
      <c r="L93" s="122"/>
    </row>
    <row r="94" spans="1:12" ht="15" customHeight="1">
      <c r="A94" s="86"/>
      <c r="I94" s="119"/>
      <c r="K94" s="11"/>
      <c r="L94" s="11"/>
    </row>
    <row r="95" spans="1:12" ht="15" customHeight="1">
      <c r="A95" s="86"/>
      <c r="E95" s="11" t="str">
        <f>Inputs!E114</f>
        <v>Senior Debt repayment year</v>
      </c>
      <c r="G95" s="11" t="str">
        <f>Inputs!G114</f>
        <v>Year</v>
      </c>
      <c r="I95" s="119">
        <f>ROW(Inputs!E114)</f>
        <v>114</v>
      </c>
      <c r="K95" s="121" t="s">
        <v>255</v>
      </c>
      <c r="L95" s="122"/>
    </row>
    <row r="96" spans="1:12" ht="15" customHeight="1">
      <c r="A96" s="86"/>
      <c r="E96" s="11" t="str">
        <f>Inputs!E115</f>
        <v>Senior Debt repayment profile</v>
      </c>
      <c r="G96" s="11" t="str">
        <f>Inputs!G115</f>
        <v>%</v>
      </c>
      <c r="I96" s="119">
        <f>ROW(Inputs!E115)</f>
        <v>115</v>
      </c>
      <c r="K96" s="121" t="s">
        <v>255</v>
      </c>
      <c r="L96" s="122"/>
    </row>
    <row r="97" spans="1:12" ht="15" customHeight="1">
      <c r="A97" s="86"/>
      <c r="I97" s="119"/>
      <c r="K97" s="11"/>
      <c r="L97" s="11"/>
    </row>
    <row r="98" spans="1:12" ht="15" customHeight="1">
      <c r="A98" s="86"/>
      <c r="E98" s="11" t="str">
        <f>Inputs!E117</f>
        <v>Senior Debt operation margin (including swap margin)</v>
      </c>
      <c r="G98" s="11" t="str">
        <f>Inputs!G117</f>
        <v>nominal %</v>
      </c>
      <c r="I98" s="119">
        <f>ROW(Inputs!E117)</f>
        <v>117</v>
      </c>
      <c r="K98" s="121" t="s">
        <v>255</v>
      </c>
      <c r="L98" s="122"/>
    </row>
    <row r="99" spans="1:12" ht="15" customHeight="1">
      <c r="A99" s="86"/>
      <c r="E99" s="11" t="str">
        <f>Inputs!E118</f>
        <v>Debt Service Reserve Facility operation margin</v>
      </c>
      <c r="G99" s="11" t="str">
        <f>Inputs!G118</f>
        <v>nominal %</v>
      </c>
      <c r="I99" s="119">
        <f>ROW(Inputs!E118)</f>
        <v>118</v>
      </c>
      <c r="K99" s="121" t="s">
        <v>255</v>
      </c>
      <c r="L99" s="122"/>
    </row>
    <row r="100" spans="1:12" ht="15" customHeight="1">
      <c r="A100" s="86"/>
      <c r="E100" s="11" t="str">
        <f>Inputs!E119</f>
        <v>Cap and Floor Liquidity Facility operation margin</v>
      </c>
      <c r="G100" s="11" t="str">
        <f>Inputs!G119</f>
        <v>nominal %</v>
      </c>
      <c r="I100" s="119">
        <f>ROW(Inputs!E119)</f>
        <v>119</v>
      </c>
      <c r="K100" s="121" t="s">
        <v>255</v>
      </c>
      <c r="L100" s="122"/>
    </row>
    <row r="101" spans="1:12" ht="15" customHeight="1">
      <c r="A101" s="86"/>
      <c r="E101" s="11" t="str">
        <f>Inputs!E120</f>
        <v>Standby Debt Facility operation margin</v>
      </c>
      <c r="G101" s="11" t="str">
        <f>Inputs!G120</f>
        <v>nominal %</v>
      </c>
      <c r="I101" s="119">
        <f>ROW(Inputs!E120)</f>
        <v>120</v>
      </c>
      <c r="K101" s="121" t="s">
        <v>255</v>
      </c>
      <c r="L101" s="122"/>
    </row>
    <row r="102" spans="1:12" ht="15" customHeight="1">
      <c r="A102" s="86"/>
      <c r="E102" s="11" t="str">
        <f>Inputs!E121</f>
        <v>VAT Facility operation margin</v>
      </c>
      <c r="G102" s="11" t="str">
        <f>Inputs!G121</f>
        <v>nominal %</v>
      </c>
      <c r="I102" s="119">
        <f>ROW(Inputs!E121)</f>
        <v>121</v>
      </c>
      <c r="K102" s="121" t="s">
        <v>255</v>
      </c>
      <c r="L102" s="122"/>
    </row>
    <row r="103" spans="1:12" ht="15" customHeight="1">
      <c r="A103" s="86"/>
      <c r="E103" s="11" t="str">
        <f>Inputs!E122</f>
        <v>Other facilities operation margin</v>
      </c>
      <c r="G103" s="11" t="str">
        <f>Inputs!G122</f>
        <v>nominal %</v>
      </c>
      <c r="I103" s="119">
        <f>ROW(Inputs!E122)</f>
        <v>122</v>
      </c>
      <c r="K103" s="121" t="s">
        <v>255</v>
      </c>
      <c r="L103" s="122"/>
    </row>
    <row r="104" spans="1:12" ht="15" customHeight="1">
      <c r="A104" s="86"/>
      <c r="K104" s="11"/>
      <c r="L104" s="11"/>
    </row>
    <row r="105" spans="1:12" ht="12.95">
      <c r="A105" s="1"/>
      <c r="B105" s="1"/>
      <c r="C105" s="56" t="s">
        <v>204</v>
      </c>
      <c r="D105" s="56"/>
      <c r="E105" s="56"/>
      <c r="F105" s="56"/>
      <c r="G105" s="56"/>
      <c r="H105" s="56"/>
      <c r="I105" s="124"/>
      <c r="J105" s="56"/>
      <c r="K105" s="125"/>
      <c r="L105" s="125"/>
    </row>
    <row r="106" spans="1:12" ht="15" customHeight="1">
      <c r="I106" s="119"/>
    </row>
    <row r="107" spans="1:12" ht="15" customHeight="1">
      <c r="E107" s="11" t="str">
        <f>Inputs!E129</f>
        <v>Partial inflation indexation switch</v>
      </c>
      <c r="G107" s="11" t="s">
        <v>261</v>
      </c>
      <c r="I107" s="119">
        <f>ROW(Inputs!E129)</f>
        <v>129</v>
      </c>
      <c r="K107" s="121" t="s">
        <v>255</v>
      </c>
      <c r="L107" s="122"/>
    </row>
    <row r="108" spans="1:12" ht="15" customHeight="1">
      <c r="E108" s="11" t="str">
        <f>Inputs!E133</f>
        <v>Model start date</v>
      </c>
      <c r="G108" s="11" t="str">
        <f>Inputs!G133</f>
        <v>date</v>
      </c>
      <c r="I108" s="119">
        <f>ROW(Inputs!E133)</f>
        <v>133</v>
      </c>
      <c r="K108" s="121" t="s">
        <v>255</v>
      </c>
      <c r="L108" s="122"/>
    </row>
    <row r="109" spans="1:12" ht="15" customHeight="1">
      <c r="E109" s="11" t="str">
        <f>Inputs!E134</f>
        <v>Regime start date</v>
      </c>
      <c r="G109" s="11" t="str">
        <f>Inputs!G134</f>
        <v>date</v>
      </c>
      <c r="I109" s="119">
        <f>ROW(Inputs!I134)</f>
        <v>134</v>
      </c>
      <c r="K109" s="121" t="s">
        <v>255</v>
      </c>
      <c r="L109" s="122"/>
    </row>
    <row r="110" spans="1:12" ht="15" customHeight="1">
      <c r="E110" s="11" t="str">
        <f>Inputs!E135</f>
        <v>End date for IDC</v>
      </c>
      <c r="G110" s="11" t="str">
        <f>Inputs!G135</f>
        <v>date</v>
      </c>
      <c r="I110" s="119">
        <f>ROW(Inputs!I135)</f>
        <v>135</v>
      </c>
      <c r="K110" s="121" t="s">
        <v>255</v>
      </c>
      <c r="L110" s="122"/>
    </row>
    <row r="111" spans="1:12" ht="15" customHeight="1">
      <c r="E111" s="11" t="str">
        <f>Inputs!E136</f>
        <v>Planned start of operations</v>
      </c>
      <c r="G111" s="11" t="str">
        <f>Inputs!G136</f>
        <v>date</v>
      </c>
      <c r="I111" s="119">
        <f>ROW(Inputs!I136)</f>
        <v>136</v>
      </c>
      <c r="K111" s="121" t="s">
        <v>255</v>
      </c>
      <c r="L111" s="122"/>
    </row>
    <row r="112" spans="1:12" ht="15" customHeight="1">
      <c r="E112" s="11" t="str">
        <f>Inputs!E137</f>
        <v>Actual start of operations</v>
      </c>
      <c r="G112" s="11" t="str">
        <f>Inputs!G137</f>
        <v>date</v>
      </c>
      <c r="I112" s="119">
        <f>ROW(Inputs!I137)</f>
        <v>137</v>
      </c>
      <c r="K112" s="121" t="s">
        <v>255</v>
      </c>
      <c r="L112" s="122"/>
    </row>
    <row r="113" spans="1:12" ht="15" customHeight="1">
      <c r="E113" s="11" t="str">
        <f>Inputs!E142</f>
        <v>Regime duration</v>
      </c>
      <c r="G113" s="11" t="str">
        <f>Inputs!G142</f>
        <v>full years</v>
      </c>
      <c r="I113" s="119">
        <f>ROW(Inputs!I142)</f>
        <v>142</v>
      </c>
      <c r="K113" s="121" t="s">
        <v>255</v>
      </c>
      <c r="L113" s="122"/>
    </row>
    <row r="114" spans="1:12" ht="15" customHeight="1">
      <c r="I114" s="119"/>
    </row>
    <row r="115" spans="1:12" ht="15" customHeight="1">
      <c r="A115" s="1"/>
      <c r="B115" s="1"/>
      <c r="C115" s="56" t="s">
        <v>262</v>
      </c>
      <c r="D115" s="56"/>
      <c r="E115" s="56"/>
      <c r="F115" s="56"/>
      <c r="G115" s="56"/>
      <c r="H115" s="56"/>
      <c r="I115" s="124"/>
      <c r="J115" s="56"/>
      <c r="K115" s="125"/>
      <c r="L115" s="125"/>
    </row>
    <row r="116" spans="1:12" ht="15" customHeight="1">
      <c r="A116" s="1"/>
      <c r="B116" s="1"/>
      <c r="C116" s="1"/>
      <c r="D116" s="1"/>
      <c r="E116" s="1"/>
      <c r="F116" s="1"/>
      <c r="G116" s="1"/>
      <c r="H116" s="1"/>
      <c r="I116" s="119"/>
      <c r="J116" s="80"/>
    </row>
    <row r="117" spans="1:12" ht="15" customHeight="1">
      <c r="A117" s="1"/>
      <c r="B117" s="1"/>
      <c r="C117" s="1"/>
      <c r="D117" s="1"/>
      <c r="E117" s="11" t="str">
        <f>Inputs!E165</f>
        <v>Corporation tax rate</v>
      </c>
      <c r="G117" s="11" t="str">
        <f>Inputs!G165</f>
        <v>%</v>
      </c>
      <c r="I117" s="119">
        <f>ROW(Inputs!E165)</f>
        <v>165</v>
      </c>
      <c r="J117" s="80"/>
      <c r="K117" s="121" t="s">
        <v>263</v>
      </c>
      <c r="L117" s="122"/>
    </row>
    <row r="118" spans="1:12" ht="15" customHeight="1">
      <c r="A118" s="1"/>
      <c r="B118" s="1"/>
      <c r="C118" s="1"/>
      <c r="D118" s="1"/>
      <c r="E118" s="11" t="str">
        <f>Inputs!E166</f>
        <v>Capital allowance rate (declining balance)</v>
      </c>
      <c r="G118" s="11" t="str">
        <f>Inputs!G166</f>
        <v>%</v>
      </c>
      <c r="I118" s="119">
        <f>ROW(Inputs!E166)</f>
        <v>166</v>
      </c>
      <c r="J118" s="80"/>
      <c r="K118" s="121" t="s">
        <v>263</v>
      </c>
      <c r="L118" s="122"/>
    </row>
    <row r="119" spans="1:12" ht="15" customHeight="1">
      <c r="B119" s="90"/>
      <c r="E119" s="11" t="str">
        <f>Inputs!E174</f>
        <v>Start of price base year</v>
      </c>
      <c r="G119" s="11" t="str">
        <f>Inputs!G174</f>
        <v>date</v>
      </c>
      <c r="I119" s="119">
        <f>ROW(Inputs!E174)</f>
        <v>174</v>
      </c>
      <c r="J119" s="103"/>
      <c r="K119" s="121" t="s">
        <v>255</v>
      </c>
      <c r="L119" s="122"/>
    </row>
    <row r="120" spans="1:12" ht="15" customHeight="1">
      <c r="I120" s="119"/>
      <c r="L120" s="217"/>
    </row>
    <row r="121" spans="1:12" ht="15" customHeight="1">
      <c r="B121" s="12" t="s">
        <v>49</v>
      </c>
      <c r="C121" s="50"/>
      <c r="D121" s="50"/>
      <c r="E121" s="50"/>
      <c r="F121" s="51"/>
      <c r="G121" s="51"/>
      <c r="H121" s="51"/>
      <c r="I121" s="117"/>
      <c r="J121" s="51"/>
      <c r="K121" s="118"/>
      <c r="L121" s="118"/>
    </row>
    <row r="122" spans="1:12" ht="15" customHeight="1">
      <c r="I122" s="119"/>
    </row>
    <row r="123" spans="1:12" ht="15" hidden="1" customHeight="1">
      <c r="I123" s="119"/>
    </row>
    <row r="124" spans="1:12" ht="15" hidden="1" customHeight="1">
      <c r="I124" s="119"/>
    </row>
    <row r="125" spans="1:12" ht="15" hidden="1" customHeight="1">
      <c r="I125" s="119"/>
    </row>
    <row r="126" spans="1:12" ht="15" hidden="1" customHeight="1">
      <c r="I126" s="119"/>
    </row>
    <row r="127" spans="1:12" ht="15" hidden="1" customHeight="1">
      <c r="I127" s="119"/>
    </row>
    <row r="128" spans="1:12" ht="15" hidden="1" customHeight="1">
      <c r="I128" s="119"/>
    </row>
    <row r="129" spans="9:9" ht="15" hidden="1" customHeight="1">
      <c r="I129" s="119"/>
    </row>
    <row r="130" spans="9:9" ht="15" hidden="1" customHeight="1">
      <c r="I130" s="119"/>
    </row>
    <row r="131" spans="9:9" ht="15" hidden="1" customHeight="1">
      <c r="I131" s="119"/>
    </row>
    <row r="132" spans="9:9" ht="15" hidden="1" customHeight="1">
      <c r="I132" s="119"/>
    </row>
    <row r="133" spans="9:9" ht="15" hidden="1" customHeight="1">
      <c r="I133" s="119"/>
    </row>
    <row r="134" spans="9:9" ht="15" hidden="1" customHeight="1">
      <c r="I134" s="119"/>
    </row>
    <row r="135" spans="9:9" ht="15" hidden="1" customHeight="1">
      <c r="I135" s="119"/>
    </row>
    <row r="136" spans="9:9" ht="15" hidden="1" customHeight="1">
      <c r="I136" s="119"/>
    </row>
    <row r="137" spans="9:9" ht="15" hidden="1" customHeight="1">
      <c r="I137" s="119"/>
    </row>
    <row r="138" spans="9:9" ht="15" hidden="1" customHeight="1">
      <c r="I138" s="119"/>
    </row>
    <row r="139" spans="9:9" ht="15" hidden="1" customHeight="1">
      <c r="I139" s="119"/>
    </row>
    <row r="140" spans="9:9" ht="15" hidden="1" customHeight="1">
      <c r="I140" s="119"/>
    </row>
    <row r="141" spans="9:9" ht="15" hidden="1" customHeight="1">
      <c r="I141" s="119"/>
    </row>
    <row r="142" spans="9:9" ht="15" hidden="1" customHeight="1">
      <c r="I142" s="119"/>
    </row>
    <row r="143" spans="9:9" ht="15" hidden="1" customHeight="1">
      <c r="I143" s="119"/>
    </row>
    <row r="144" spans="9:9" ht="15" hidden="1" customHeight="1">
      <c r="I144" s="119"/>
    </row>
    <row r="145" spans="9:9" ht="15" hidden="1" customHeight="1">
      <c r="I145" s="119"/>
    </row>
    <row r="146" spans="9:9" ht="15" hidden="1" customHeight="1">
      <c r="I146" s="119"/>
    </row>
    <row r="147" spans="9:9" ht="15" hidden="1" customHeight="1">
      <c r="I147" s="119"/>
    </row>
    <row r="148" spans="9:9" ht="15" hidden="1" customHeight="1">
      <c r="I148" s="119"/>
    </row>
    <row r="149" spans="9:9" ht="15" hidden="1" customHeight="1">
      <c r="I149" s="119"/>
    </row>
    <row r="150" spans="9:9" ht="15" hidden="1" customHeight="1">
      <c r="I150" s="119"/>
    </row>
    <row r="151" spans="9:9" ht="15" hidden="1" customHeight="1">
      <c r="I151" s="119"/>
    </row>
    <row r="152" spans="9:9" ht="15" hidden="1" customHeight="1">
      <c r="I152" s="119"/>
    </row>
    <row r="153" spans="9:9" ht="15" hidden="1" customHeight="1">
      <c r="I153" s="119"/>
    </row>
    <row r="154" spans="9:9" ht="15" hidden="1" customHeight="1">
      <c r="I154" s="119"/>
    </row>
    <row r="155" spans="9:9" ht="15" hidden="1" customHeight="1">
      <c r="I155" s="119"/>
    </row>
    <row r="156" spans="9:9" ht="15" hidden="1" customHeight="1">
      <c r="I156" s="119"/>
    </row>
    <row r="157" spans="9:9" ht="15" hidden="1" customHeight="1">
      <c r="I157" s="119"/>
    </row>
    <row r="158" spans="9:9" ht="15" hidden="1" customHeight="1">
      <c r="I158" s="119"/>
    </row>
    <row r="159" spans="9:9" ht="15" hidden="1" customHeight="1">
      <c r="I159" s="119"/>
    </row>
    <row r="160" spans="9:9" ht="15" hidden="1" customHeight="1">
      <c r="I160" s="119"/>
    </row>
    <row r="161" spans="9:9" ht="15" hidden="1" customHeight="1">
      <c r="I161" s="119"/>
    </row>
    <row r="162" spans="9:9" ht="15" hidden="1" customHeight="1">
      <c r="I162" s="119"/>
    </row>
    <row r="163" spans="9:9" ht="15" hidden="1" customHeight="1">
      <c r="I163" s="119"/>
    </row>
    <row r="164" spans="9:9" ht="15" hidden="1" customHeight="1">
      <c r="I164" s="119"/>
    </row>
    <row r="165" spans="9:9" ht="15" hidden="1" customHeight="1">
      <c r="I165" s="119"/>
    </row>
    <row r="166" spans="9:9" ht="15" hidden="1" customHeight="1">
      <c r="I166" s="119"/>
    </row>
    <row r="167" spans="9:9" ht="15" hidden="1" customHeight="1">
      <c r="I167" s="119"/>
    </row>
    <row r="168" spans="9:9" ht="15" hidden="1" customHeight="1">
      <c r="I168" s="119"/>
    </row>
    <row r="169" spans="9:9" ht="15" hidden="1" customHeight="1">
      <c r="I169" s="119"/>
    </row>
    <row r="170" spans="9:9" ht="15" hidden="1" customHeight="1">
      <c r="I170" s="119"/>
    </row>
    <row r="171" spans="9:9" ht="15" hidden="1" customHeight="1">
      <c r="I171" s="119"/>
    </row>
    <row r="172" spans="9:9" ht="15" hidden="1" customHeight="1">
      <c r="I172" s="119"/>
    </row>
    <row r="173" spans="9:9" ht="15" hidden="1" customHeight="1">
      <c r="I173" s="119"/>
    </row>
    <row r="174" spans="9:9" ht="15" hidden="1" customHeight="1">
      <c r="I174" s="119"/>
    </row>
    <row r="175" spans="9:9" ht="15" hidden="1" customHeight="1">
      <c r="I175" s="119"/>
    </row>
    <row r="176" spans="9:9" ht="15" hidden="1" customHeight="1">
      <c r="I176" s="119"/>
    </row>
    <row r="177" spans="9:9" ht="15" hidden="1" customHeight="1">
      <c r="I177" s="119"/>
    </row>
    <row r="178" spans="9:9" ht="15" hidden="1" customHeight="1">
      <c r="I178" s="119"/>
    </row>
    <row r="179" spans="9:9" ht="15" hidden="1" customHeight="1">
      <c r="I179" s="119"/>
    </row>
    <row r="180" spans="9:9" ht="15" hidden="1" customHeight="1">
      <c r="I180" s="119"/>
    </row>
    <row r="181" spans="9:9" ht="15" hidden="1" customHeight="1">
      <c r="I181" s="119"/>
    </row>
    <row r="182" spans="9:9" ht="15" hidden="1" customHeight="1">
      <c r="I182" s="119"/>
    </row>
    <row r="183" spans="9:9" ht="15" hidden="1" customHeight="1">
      <c r="I183" s="119"/>
    </row>
    <row r="184" spans="9:9" ht="15" hidden="1" customHeight="1">
      <c r="I184" s="119"/>
    </row>
    <row r="185" spans="9:9" ht="15" hidden="1" customHeight="1">
      <c r="I185" s="119"/>
    </row>
    <row r="186" spans="9:9" ht="15" hidden="1" customHeight="1">
      <c r="I186" s="119"/>
    </row>
    <row r="187" spans="9:9" ht="15" hidden="1" customHeight="1">
      <c r="I187" s="119"/>
    </row>
    <row r="188" spans="9:9" ht="15" hidden="1" customHeight="1">
      <c r="I188" s="119"/>
    </row>
    <row r="189" spans="9:9" ht="15" hidden="1" customHeight="1">
      <c r="I189" s="119"/>
    </row>
  </sheetData>
  <hyperlinks>
    <hyperlink ref="L16" r:id="rId1" xr:uid="{00000000-0004-0000-0300-000000000000}"/>
  </hyperlinks>
  <pageMargins left="0.23622047244094502" right="0.23622047244094502" top="0.74803149606299213" bottom="0.74803149606299213" header="0.31496062992126012" footer="0.31496062992126012"/>
  <pageSetup paperSize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CC0DA"/>
    <pageSetUpPr fitToPage="1"/>
  </sheetPr>
  <dimension ref="A1:AZ70"/>
  <sheetViews>
    <sheetView zoomScale="80" zoomScaleNormal="80" workbookViewId="0">
      <selection activeCell="K20" sqref="K20"/>
    </sheetView>
  </sheetViews>
  <sheetFormatPr defaultColWidth="0" defaultRowHeight="0" customHeight="1" zeroHeight="1"/>
  <cols>
    <col min="1" max="4" width="2.5703125" style="11" customWidth="1"/>
    <col min="5" max="5" width="55.140625" style="11" customWidth="1"/>
    <col min="6" max="6" width="1.5703125" style="11" customWidth="1"/>
    <col min="7" max="7" width="15.5703125" style="11" customWidth="1"/>
    <col min="8" max="8" width="10.7109375" style="11" bestFit="1" customWidth="1"/>
    <col min="9" max="9" width="10.5703125" style="139" customWidth="1"/>
    <col min="10" max="10" width="1.5703125" style="11" customWidth="1"/>
    <col min="11" max="45" width="10.5703125" style="11" customWidth="1"/>
    <col min="46" max="46" width="11.28515625" style="11" customWidth="1"/>
    <col min="47" max="50" width="10.5703125" style="11" customWidth="1"/>
    <col min="51" max="51" width="3.140625" customWidth="1"/>
    <col min="52" max="52" width="9.140625" style="11" hidden="1" customWidth="1"/>
    <col min="53" max="53" width="9.140625" hidden="1" customWidth="1"/>
    <col min="54" max="16384" width="9.140625" hidden="1"/>
  </cols>
  <sheetData>
    <row r="1" spans="1:50" customFormat="1" ht="14.45">
      <c r="A1" s="45" t="s">
        <v>26</v>
      </c>
      <c r="B1" s="46"/>
      <c r="C1" s="46"/>
      <c r="D1" s="46"/>
      <c r="E1" s="46"/>
      <c r="F1" s="46"/>
      <c r="G1" s="46"/>
      <c r="H1" s="46" t="s">
        <v>64</v>
      </c>
      <c r="I1" s="131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</row>
    <row r="2" spans="1:50" customFormat="1" ht="15" customHeight="1">
      <c r="A2" s="46"/>
      <c r="B2" s="46"/>
      <c r="C2" s="46"/>
      <c r="D2" s="46"/>
      <c r="E2" s="48" t="s">
        <v>65</v>
      </c>
      <c r="F2" s="48"/>
      <c r="G2" s="48" t="s">
        <v>66</v>
      </c>
      <c r="H2" s="48" t="s">
        <v>67</v>
      </c>
      <c r="I2" s="49" t="s">
        <v>68</v>
      </c>
      <c r="J2" s="46"/>
      <c r="K2" s="48" t="s">
        <v>69</v>
      </c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</row>
    <row r="3" spans="1:50" customFormat="1" ht="15" customHeight="1">
      <c r="A3" s="46"/>
      <c r="B3" s="46"/>
      <c r="C3" s="46"/>
      <c r="D3" s="46"/>
      <c r="E3" s="58" t="s">
        <v>74</v>
      </c>
      <c r="F3" s="48"/>
      <c r="G3" s="48"/>
      <c r="H3" s="48"/>
      <c r="I3" s="48"/>
      <c r="J3" s="46"/>
      <c r="K3" s="60">
        <f>Inputs!K12</f>
        <v>45658</v>
      </c>
      <c r="L3" s="61">
        <f t="shared" ref="L3:AX3" si="0">+K4+1</f>
        <v>46023</v>
      </c>
      <c r="M3" s="61">
        <f t="shared" si="0"/>
        <v>46388</v>
      </c>
      <c r="N3" s="61">
        <f t="shared" si="0"/>
        <v>46753</v>
      </c>
      <c r="O3" s="61">
        <f t="shared" si="0"/>
        <v>47119</v>
      </c>
      <c r="P3" s="61">
        <f t="shared" si="0"/>
        <v>47484</v>
      </c>
      <c r="Q3" s="61">
        <f t="shared" si="0"/>
        <v>47849</v>
      </c>
      <c r="R3" s="61">
        <f t="shared" si="0"/>
        <v>48214</v>
      </c>
      <c r="S3" s="61">
        <f t="shared" si="0"/>
        <v>48580</v>
      </c>
      <c r="T3" s="61">
        <f t="shared" si="0"/>
        <v>48945</v>
      </c>
      <c r="U3" s="61">
        <f t="shared" si="0"/>
        <v>49310</v>
      </c>
      <c r="V3" s="61">
        <f t="shared" si="0"/>
        <v>49675</v>
      </c>
      <c r="W3" s="61">
        <f t="shared" si="0"/>
        <v>50041</v>
      </c>
      <c r="X3" s="61">
        <f t="shared" si="0"/>
        <v>50406</v>
      </c>
      <c r="Y3" s="61">
        <f t="shared" si="0"/>
        <v>50771</v>
      </c>
      <c r="Z3" s="61">
        <f t="shared" si="0"/>
        <v>51136</v>
      </c>
      <c r="AA3" s="61">
        <f t="shared" si="0"/>
        <v>51502</v>
      </c>
      <c r="AB3" s="61">
        <f t="shared" si="0"/>
        <v>51867</v>
      </c>
      <c r="AC3" s="61">
        <f t="shared" si="0"/>
        <v>52232</v>
      </c>
      <c r="AD3" s="61">
        <f t="shared" si="0"/>
        <v>52597</v>
      </c>
      <c r="AE3" s="61">
        <f t="shared" si="0"/>
        <v>52963</v>
      </c>
      <c r="AF3" s="61">
        <f t="shared" si="0"/>
        <v>53328</v>
      </c>
      <c r="AG3" s="61">
        <f t="shared" si="0"/>
        <v>53693</v>
      </c>
      <c r="AH3" s="61">
        <f t="shared" si="0"/>
        <v>54058</v>
      </c>
      <c r="AI3" s="61">
        <f t="shared" si="0"/>
        <v>54424</v>
      </c>
      <c r="AJ3" s="61">
        <f t="shared" si="0"/>
        <v>54789</v>
      </c>
      <c r="AK3" s="61">
        <f t="shared" si="0"/>
        <v>55154</v>
      </c>
      <c r="AL3" s="61">
        <f t="shared" si="0"/>
        <v>55519</v>
      </c>
      <c r="AM3" s="61">
        <f t="shared" si="0"/>
        <v>55885</v>
      </c>
      <c r="AN3" s="61">
        <f t="shared" si="0"/>
        <v>56250</v>
      </c>
      <c r="AO3" s="61">
        <f t="shared" si="0"/>
        <v>56615</v>
      </c>
      <c r="AP3" s="61">
        <f t="shared" si="0"/>
        <v>56980</v>
      </c>
      <c r="AQ3" s="61">
        <f t="shared" si="0"/>
        <v>57346</v>
      </c>
      <c r="AR3" s="61">
        <f t="shared" si="0"/>
        <v>57711</v>
      </c>
      <c r="AS3" s="61">
        <f t="shared" si="0"/>
        <v>58076</v>
      </c>
      <c r="AT3" s="61">
        <f t="shared" si="0"/>
        <v>58441</v>
      </c>
      <c r="AU3" s="61">
        <f t="shared" si="0"/>
        <v>58807</v>
      </c>
      <c r="AV3" s="61">
        <f t="shared" si="0"/>
        <v>59172</v>
      </c>
      <c r="AW3" s="61">
        <f t="shared" si="0"/>
        <v>59537</v>
      </c>
      <c r="AX3" s="61">
        <f t="shared" si="0"/>
        <v>59902</v>
      </c>
    </row>
    <row r="4" spans="1:50" customFormat="1" ht="15" customHeight="1">
      <c r="A4" s="58"/>
      <c r="B4" s="58"/>
      <c r="C4" s="58"/>
      <c r="D4" s="58"/>
      <c r="E4" s="58" t="s">
        <v>75</v>
      </c>
      <c r="F4" s="58"/>
      <c r="G4" s="58"/>
      <c r="H4" s="58"/>
      <c r="I4" s="132"/>
      <c r="J4" s="58"/>
      <c r="K4" s="60">
        <f>Inputs!K13</f>
        <v>46022</v>
      </c>
      <c r="L4" s="61">
        <f t="shared" ref="L4:AX4" si="1">DATE(YEAR(K4) + 1, MONTH(K4), DAY(K4))</f>
        <v>46387</v>
      </c>
      <c r="M4" s="61">
        <f t="shared" si="1"/>
        <v>46752</v>
      </c>
      <c r="N4" s="61">
        <f t="shared" si="1"/>
        <v>47118</v>
      </c>
      <c r="O4" s="61">
        <f t="shared" si="1"/>
        <v>47483</v>
      </c>
      <c r="P4" s="61">
        <f t="shared" si="1"/>
        <v>47848</v>
      </c>
      <c r="Q4" s="61">
        <f t="shared" si="1"/>
        <v>48213</v>
      </c>
      <c r="R4" s="61">
        <f t="shared" si="1"/>
        <v>48579</v>
      </c>
      <c r="S4" s="61">
        <f t="shared" si="1"/>
        <v>48944</v>
      </c>
      <c r="T4" s="61">
        <f t="shared" si="1"/>
        <v>49309</v>
      </c>
      <c r="U4" s="61">
        <f t="shared" si="1"/>
        <v>49674</v>
      </c>
      <c r="V4" s="61">
        <f t="shared" si="1"/>
        <v>50040</v>
      </c>
      <c r="W4" s="61">
        <f t="shared" si="1"/>
        <v>50405</v>
      </c>
      <c r="X4" s="61">
        <f t="shared" si="1"/>
        <v>50770</v>
      </c>
      <c r="Y4" s="61">
        <f t="shared" si="1"/>
        <v>51135</v>
      </c>
      <c r="Z4" s="61">
        <f t="shared" si="1"/>
        <v>51501</v>
      </c>
      <c r="AA4" s="61">
        <f t="shared" si="1"/>
        <v>51866</v>
      </c>
      <c r="AB4" s="61">
        <f t="shared" si="1"/>
        <v>52231</v>
      </c>
      <c r="AC4" s="61">
        <f t="shared" si="1"/>
        <v>52596</v>
      </c>
      <c r="AD4" s="61">
        <f t="shared" si="1"/>
        <v>52962</v>
      </c>
      <c r="AE4" s="61">
        <f t="shared" si="1"/>
        <v>53327</v>
      </c>
      <c r="AF4" s="61">
        <f t="shared" si="1"/>
        <v>53692</v>
      </c>
      <c r="AG4" s="61">
        <f t="shared" si="1"/>
        <v>54057</v>
      </c>
      <c r="AH4" s="61">
        <f t="shared" si="1"/>
        <v>54423</v>
      </c>
      <c r="AI4" s="61">
        <f t="shared" si="1"/>
        <v>54788</v>
      </c>
      <c r="AJ4" s="61">
        <f t="shared" si="1"/>
        <v>55153</v>
      </c>
      <c r="AK4" s="61">
        <f t="shared" si="1"/>
        <v>55518</v>
      </c>
      <c r="AL4" s="61">
        <f t="shared" si="1"/>
        <v>55884</v>
      </c>
      <c r="AM4" s="61">
        <f t="shared" si="1"/>
        <v>56249</v>
      </c>
      <c r="AN4" s="61">
        <f t="shared" si="1"/>
        <v>56614</v>
      </c>
      <c r="AO4" s="61">
        <f t="shared" si="1"/>
        <v>56979</v>
      </c>
      <c r="AP4" s="61">
        <f t="shared" si="1"/>
        <v>57345</v>
      </c>
      <c r="AQ4" s="61">
        <f t="shared" si="1"/>
        <v>57710</v>
      </c>
      <c r="AR4" s="61">
        <f t="shared" si="1"/>
        <v>58075</v>
      </c>
      <c r="AS4" s="61">
        <f t="shared" si="1"/>
        <v>58440</v>
      </c>
      <c r="AT4" s="61">
        <f t="shared" si="1"/>
        <v>58806</v>
      </c>
      <c r="AU4" s="61">
        <f t="shared" si="1"/>
        <v>59171</v>
      </c>
      <c r="AV4" s="61">
        <f t="shared" si="1"/>
        <v>59536</v>
      </c>
      <c r="AW4" s="61">
        <f t="shared" si="1"/>
        <v>59901</v>
      </c>
      <c r="AX4" s="61">
        <f t="shared" si="1"/>
        <v>60267</v>
      </c>
    </row>
    <row r="5" spans="1:50" customFormat="1" ht="15" customHeight="1">
      <c r="A5" s="1"/>
      <c r="B5" s="1"/>
      <c r="C5" s="1"/>
      <c r="D5" s="1"/>
      <c r="E5" s="1"/>
      <c r="F5" s="1"/>
      <c r="G5" s="1"/>
      <c r="H5" s="1"/>
      <c r="I5" s="55"/>
      <c r="J5" s="80"/>
      <c r="K5" s="80"/>
      <c r="L5" s="80"/>
      <c r="M5" s="80"/>
      <c r="N5" s="80"/>
      <c r="O5" s="80"/>
      <c r="P5" s="80"/>
      <c r="Q5" s="80"/>
      <c r="R5" s="80"/>
      <c r="S5" s="1"/>
      <c r="T5" s="1"/>
      <c r="U5" s="1"/>
      <c r="V5" s="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</row>
    <row r="6" spans="1:50" customFormat="1" ht="15" customHeight="1">
      <c r="A6" s="1"/>
      <c r="B6" s="12" t="s">
        <v>264</v>
      </c>
      <c r="C6" s="50"/>
      <c r="D6" s="50"/>
      <c r="E6" s="51"/>
      <c r="F6" s="51"/>
      <c r="G6" s="51"/>
      <c r="H6" s="51"/>
      <c r="I6" s="133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</row>
    <row r="7" spans="1:50" customFormat="1" ht="15" customHeight="1">
      <c r="A7" s="1"/>
      <c r="B7" s="1"/>
      <c r="C7" s="1"/>
      <c r="D7" s="1"/>
      <c r="E7" s="1"/>
      <c r="F7" s="1"/>
      <c r="G7" s="1"/>
      <c r="H7" s="1"/>
      <c r="I7" s="55"/>
      <c r="J7" s="80"/>
      <c r="K7" s="80"/>
      <c r="L7" s="80"/>
      <c r="M7" s="80"/>
      <c r="N7" s="80"/>
      <c r="O7" s="80"/>
      <c r="P7" s="80"/>
      <c r="Q7" s="80"/>
      <c r="R7" s="80"/>
      <c r="S7" s="1"/>
      <c r="T7" s="1"/>
      <c r="U7" s="1"/>
      <c r="V7" s="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</row>
    <row r="8" spans="1:50" customFormat="1" ht="15" customHeight="1">
      <c r="A8" s="1"/>
      <c r="B8" s="1"/>
      <c r="C8" s="1"/>
      <c r="D8" s="1"/>
      <c r="E8" s="11" t="s">
        <v>224</v>
      </c>
      <c r="F8" s="1"/>
      <c r="G8" s="1" t="s">
        <v>225</v>
      </c>
      <c r="H8" s="1"/>
      <c r="I8" s="55"/>
      <c r="J8" s="80"/>
      <c r="K8" s="16">
        <f>Inputs!K147</f>
        <v>1</v>
      </c>
      <c r="L8" s="16">
        <f>Inputs!L147</f>
        <v>1</v>
      </c>
      <c r="M8" s="16">
        <f>Inputs!M147</f>
        <v>1</v>
      </c>
      <c r="N8" s="16">
        <f>Inputs!N147</f>
        <v>1</v>
      </c>
      <c r="O8" s="16">
        <f>Inputs!O147</f>
        <v>0</v>
      </c>
      <c r="P8" s="16">
        <f>Inputs!P147</f>
        <v>0</v>
      </c>
      <c r="Q8" s="16">
        <f>Inputs!Q147</f>
        <v>0</v>
      </c>
      <c r="R8" s="16">
        <f>Inputs!R147</f>
        <v>0</v>
      </c>
      <c r="S8" s="16">
        <f>Inputs!S147</f>
        <v>0</v>
      </c>
      <c r="T8" s="16">
        <f>Inputs!T147</f>
        <v>0</v>
      </c>
      <c r="U8" s="16">
        <f>Inputs!U147</f>
        <v>0</v>
      </c>
      <c r="V8" s="16">
        <f>Inputs!V147</f>
        <v>0</v>
      </c>
      <c r="W8" s="16">
        <f>Inputs!W147</f>
        <v>0</v>
      </c>
      <c r="X8" s="16">
        <f>Inputs!X147</f>
        <v>0</v>
      </c>
      <c r="Y8" s="16">
        <f>Inputs!Y147</f>
        <v>0</v>
      </c>
      <c r="Z8" s="16">
        <f>Inputs!Z147</f>
        <v>0</v>
      </c>
      <c r="AA8" s="16">
        <f>Inputs!AA147</f>
        <v>0</v>
      </c>
      <c r="AB8" s="16">
        <f>Inputs!AB147</f>
        <v>0</v>
      </c>
      <c r="AC8" s="16">
        <f>Inputs!AC147</f>
        <v>0</v>
      </c>
      <c r="AD8" s="16">
        <f>Inputs!AD147</f>
        <v>0</v>
      </c>
      <c r="AE8" s="16">
        <f>Inputs!AE147</f>
        <v>0</v>
      </c>
      <c r="AF8" s="16">
        <f>Inputs!AF147</f>
        <v>0</v>
      </c>
      <c r="AG8" s="16">
        <f>Inputs!AG147</f>
        <v>0</v>
      </c>
      <c r="AH8" s="16">
        <f>Inputs!AH147</f>
        <v>0</v>
      </c>
      <c r="AI8" s="16">
        <f>Inputs!AI147</f>
        <v>0</v>
      </c>
      <c r="AJ8" s="16">
        <f>Inputs!AJ147</f>
        <v>0</v>
      </c>
      <c r="AK8" s="16">
        <f>Inputs!AK147</f>
        <v>0</v>
      </c>
      <c r="AL8" s="16">
        <f>Inputs!AL147</f>
        <v>0</v>
      </c>
      <c r="AM8" s="16">
        <f>Inputs!AM147</f>
        <v>0</v>
      </c>
      <c r="AN8" s="16">
        <f>Inputs!AN147</f>
        <v>0</v>
      </c>
      <c r="AO8" s="16">
        <f>Inputs!AO147</f>
        <v>0</v>
      </c>
      <c r="AP8" s="16">
        <f>Inputs!AP147</f>
        <v>0</v>
      </c>
      <c r="AQ8" s="16">
        <f>Inputs!AQ147</f>
        <v>0</v>
      </c>
      <c r="AR8" s="16">
        <f>Inputs!AR147</f>
        <v>0</v>
      </c>
      <c r="AS8" s="16">
        <f>Inputs!AS147</f>
        <v>0</v>
      </c>
      <c r="AT8" s="16">
        <f>Inputs!AT147</f>
        <v>0</v>
      </c>
      <c r="AU8" s="16">
        <f>Inputs!AU147</f>
        <v>0</v>
      </c>
      <c r="AV8" s="16">
        <f>Inputs!AV147</f>
        <v>0</v>
      </c>
      <c r="AW8" s="16">
        <f>Inputs!AW147</f>
        <v>0</v>
      </c>
      <c r="AX8" s="16">
        <f>Inputs!AX147</f>
        <v>0</v>
      </c>
    </row>
    <row r="9" spans="1:50" customFormat="1" ht="15" customHeight="1">
      <c r="A9" s="11"/>
      <c r="B9" s="11"/>
      <c r="C9" s="11"/>
      <c r="D9" s="11"/>
      <c r="E9" s="11" t="s">
        <v>226</v>
      </c>
      <c r="F9" s="11"/>
      <c r="G9" s="11" t="s">
        <v>225</v>
      </c>
      <c r="H9" s="11"/>
      <c r="I9" s="88"/>
      <c r="J9" s="11"/>
      <c r="K9" s="16">
        <f>Inputs!K148</f>
        <v>0</v>
      </c>
      <c r="L9" s="16">
        <f>Inputs!L148</f>
        <v>0</v>
      </c>
      <c r="M9" s="16">
        <f>Inputs!M148</f>
        <v>0</v>
      </c>
      <c r="N9" s="16">
        <f>Inputs!N148</f>
        <v>0</v>
      </c>
      <c r="O9" s="16">
        <f>Inputs!O148</f>
        <v>1</v>
      </c>
      <c r="P9" s="16">
        <f>Inputs!P148</f>
        <v>1</v>
      </c>
      <c r="Q9" s="16">
        <f>Inputs!Q148</f>
        <v>0</v>
      </c>
      <c r="R9" s="16">
        <f>Inputs!R148</f>
        <v>0</v>
      </c>
      <c r="S9" s="16">
        <f>Inputs!S148</f>
        <v>0</v>
      </c>
      <c r="T9" s="16">
        <f>Inputs!T148</f>
        <v>0</v>
      </c>
      <c r="U9" s="16">
        <f>Inputs!U148</f>
        <v>0</v>
      </c>
      <c r="V9" s="16">
        <f>Inputs!V148</f>
        <v>0</v>
      </c>
      <c r="W9" s="16">
        <f>Inputs!W148</f>
        <v>0</v>
      </c>
      <c r="X9" s="16">
        <f>Inputs!X148</f>
        <v>0</v>
      </c>
      <c r="Y9" s="16">
        <f>Inputs!Y148</f>
        <v>0</v>
      </c>
      <c r="Z9" s="16">
        <f>Inputs!Z148</f>
        <v>0</v>
      </c>
      <c r="AA9" s="16">
        <f>Inputs!AA148</f>
        <v>0</v>
      </c>
      <c r="AB9" s="16">
        <f>Inputs!AB148</f>
        <v>0</v>
      </c>
      <c r="AC9" s="16">
        <f>Inputs!AC148</f>
        <v>0</v>
      </c>
      <c r="AD9" s="16">
        <f>Inputs!AD148</f>
        <v>0</v>
      </c>
      <c r="AE9" s="16">
        <f>Inputs!AE148</f>
        <v>0</v>
      </c>
      <c r="AF9" s="16">
        <f>Inputs!AF148</f>
        <v>0</v>
      </c>
      <c r="AG9" s="16">
        <f>Inputs!AG148</f>
        <v>0</v>
      </c>
      <c r="AH9" s="16">
        <f>Inputs!AH148</f>
        <v>0</v>
      </c>
      <c r="AI9" s="16">
        <f>Inputs!AI148</f>
        <v>0</v>
      </c>
      <c r="AJ9" s="16">
        <f>Inputs!AJ148</f>
        <v>0</v>
      </c>
      <c r="AK9" s="16">
        <f>Inputs!AK148</f>
        <v>0</v>
      </c>
      <c r="AL9" s="16">
        <f>Inputs!AL148</f>
        <v>0</v>
      </c>
      <c r="AM9" s="16">
        <f>Inputs!AM148</f>
        <v>0</v>
      </c>
      <c r="AN9" s="16">
        <f>Inputs!AN148</f>
        <v>0</v>
      </c>
      <c r="AO9" s="16">
        <f>Inputs!AO148</f>
        <v>0</v>
      </c>
      <c r="AP9" s="16">
        <f>Inputs!AP148</f>
        <v>0</v>
      </c>
      <c r="AQ9" s="16">
        <f>Inputs!AQ148</f>
        <v>0</v>
      </c>
      <c r="AR9" s="16">
        <f>Inputs!AR148</f>
        <v>0</v>
      </c>
      <c r="AS9" s="16">
        <f>Inputs!AS148</f>
        <v>0</v>
      </c>
      <c r="AT9" s="16">
        <f>Inputs!AT148</f>
        <v>0</v>
      </c>
      <c r="AU9" s="16">
        <f>Inputs!AU148</f>
        <v>0</v>
      </c>
      <c r="AV9" s="16">
        <f>Inputs!AV148</f>
        <v>0</v>
      </c>
      <c r="AW9" s="16">
        <f>Inputs!AW148</f>
        <v>0</v>
      </c>
      <c r="AX9" s="16">
        <f>Inputs!AX148</f>
        <v>0</v>
      </c>
    </row>
    <row r="10" spans="1:50" customFormat="1" ht="15" customHeight="1">
      <c r="A10" s="1"/>
      <c r="B10" s="1"/>
      <c r="C10" s="1"/>
      <c r="D10" s="1"/>
      <c r="E10" s="11" t="s">
        <v>227</v>
      </c>
      <c r="F10" s="1"/>
      <c r="G10" s="1" t="s">
        <v>225</v>
      </c>
      <c r="H10" s="1"/>
      <c r="I10" s="55"/>
      <c r="J10" s="80"/>
      <c r="K10" s="16">
        <f>Inputs!K149</f>
        <v>0</v>
      </c>
      <c r="L10" s="16">
        <f>Inputs!L149</f>
        <v>0</v>
      </c>
      <c r="M10" s="16">
        <f>Inputs!M149</f>
        <v>0</v>
      </c>
      <c r="N10" s="16">
        <f>Inputs!N149</f>
        <v>0</v>
      </c>
      <c r="O10" s="16">
        <f>Inputs!O149</f>
        <v>0</v>
      </c>
      <c r="P10" s="16">
        <f>Inputs!P149</f>
        <v>0</v>
      </c>
      <c r="Q10" s="16">
        <f>Inputs!Q149</f>
        <v>1</v>
      </c>
      <c r="R10" s="16">
        <f>Inputs!R149</f>
        <v>1</v>
      </c>
      <c r="S10" s="16">
        <f>Inputs!S149</f>
        <v>1</v>
      </c>
      <c r="T10" s="16">
        <f>Inputs!T149</f>
        <v>1</v>
      </c>
      <c r="U10" s="16">
        <f>Inputs!U149</f>
        <v>1</v>
      </c>
      <c r="V10" s="16">
        <f>Inputs!V149</f>
        <v>1</v>
      </c>
      <c r="W10" s="16">
        <f>Inputs!W149</f>
        <v>1</v>
      </c>
      <c r="X10" s="16">
        <f>Inputs!X149</f>
        <v>1</v>
      </c>
      <c r="Y10" s="16">
        <f>Inputs!Y149</f>
        <v>1</v>
      </c>
      <c r="Z10" s="16">
        <f>Inputs!Z149</f>
        <v>1</v>
      </c>
      <c r="AA10" s="16">
        <f>Inputs!AA149</f>
        <v>1</v>
      </c>
      <c r="AB10" s="16">
        <f>Inputs!AB149</f>
        <v>1</v>
      </c>
      <c r="AC10" s="16">
        <f>Inputs!AC149</f>
        <v>1</v>
      </c>
      <c r="AD10" s="16">
        <f>Inputs!AD149</f>
        <v>1</v>
      </c>
      <c r="AE10" s="16">
        <f>Inputs!AE149</f>
        <v>1</v>
      </c>
      <c r="AF10" s="16">
        <f>Inputs!AF149</f>
        <v>1</v>
      </c>
      <c r="AG10" s="16">
        <f>Inputs!AG149</f>
        <v>1</v>
      </c>
      <c r="AH10" s="16">
        <f>Inputs!AH149</f>
        <v>1</v>
      </c>
      <c r="AI10" s="16">
        <f>Inputs!AI149</f>
        <v>1</v>
      </c>
      <c r="AJ10" s="16">
        <f>Inputs!AJ149</f>
        <v>1</v>
      </c>
      <c r="AK10" s="16">
        <f>Inputs!AK149</f>
        <v>1</v>
      </c>
      <c r="AL10" s="16">
        <f>Inputs!AL149</f>
        <v>1</v>
      </c>
      <c r="AM10" s="16">
        <f>Inputs!AM149</f>
        <v>1</v>
      </c>
      <c r="AN10" s="16">
        <f>Inputs!AN149</f>
        <v>0</v>
      </c>
      <c r="AO10" s="16">
        <f>Inputs!AO149</f>
        <v>0</v>
      </c>
      <c r="AP10" s="16">
        <f>Inputs!AP149</f>
        <v>0</v>
      </c>
      <c r="AQ10" s="16">
        <f>Inputs!AQ149</f>
        <v>0</v>
      </c>
      <c r="AR10" s="16">
        <f>Inputs!AR149</f>
        <v>0</v>
      </c>
      <c r="AS10" s="16">
        <f>Inputs!AS149</f>
        <v>0</v>
      </c>
      <c r="AT10" s="16">
        <f>Inputs!AT149</f>
        <v>0</v>
      </c>
      <c r="AU10" s="16">
        <f>Inputs!AU149</f>
        <v>0</v>
      </c>
      <c r="AV10" s="16">
        <f>Inputs!AV149</f>
        <v>0</v>
      </c>
      <c r="AW10" s="16">
        <f>Inputs!AW149</f>
        <v>0</v>
      </c>
      <c r="AX10" s="16">
        <f>Inputs!AX149</f>
        <v>0</v>
      </c>
    </row>
    <row r="11" spans="1:50" customFormat="1" ht="15" customHeight="1">
      <c r="A11" s="1"/>
      <c r="B11" s="1"/>
      <c r="C11" s="1"/>
      <c r="D11" s="1"/>
      <c r="E11" s="11" t="s">
        <v>231</v>
      </c>
      <c r="F11" s="1"/>
      <c r="G11" s="1" t="s">
        <v>225</v>
      </c>
      <c r="H11" s="1"/>
      <c r="I11" s="55"/>
      <c r="J11" s="80"/>
      <c r="K11" s="16">
        <f>Inputs!K152</f>
        <v>0</v>
      </c>
      <c r="L11" s="16">
        <f>Inputs!L152</f>
        <v>0</v>
      </c>
      <c r="M11" s="16">
        <f>Inputs!M152</f>
        <v>0</v>
      </c>
      <c r="N11" s="16">
        <f>Inputs!N152</f>
        <v>0</v>
      </c>
      <c r="O11" s="16">
        <f>Inputs!O152</f>
        <v>1</v>
      </c>
      <c r="P11" s="16">
        <f>Inputs!P152</f>
        <v>0</v>
      </c>
      <c r="Q11" s="16">
        <f>Inputs!Q152</f>
        <v>0</v>
      </c>
      <c r="R11" s="16">
        <f>Inputs!R152</f>
        <v>0</v>
      </c>
      <c r="S11" s="16">
        <f>Inputs!S152</f>
        <v>0</v>
      </c>
      <c r="T11" s="16">
        <f>Inputs!T152</f>
        <v>0</v>
      </c>
      <c r="U11" s="16">
        <f>Inputs!U152</f>
        <v>0</v>
      </c>
      <c r="V11" s="16">
        <f>Inputs!V152</f>
        <v>0</v>
      </c>
      <c r="W11" s="16">
        <f>Inputs!W152</f>
        <v>0</v>
      </c>
      <c r="X11" s="16">
        <f>Inputs!X152</f>
        <v>0</v>
      </c>
      <c r="Y11" s="16">
        <f>Inputs!Y152</f>
        <v>0</v>
      </c>
      <c r="Z11" s="16">
        <f>Inputs!Z152</f>
        <v>0</v>
      </c>
      <c r="AA11" s="16">
        <f>Inputs!AA152</f>
        <v>0</v>
      </c>
      <c r="AB11" s="16">
        <f>Inputs!AB152</f>
        <v>0</v>
      </c>
      <c r="AC11" s="16">
        <f>Inputs!AC152</f>
        <v>0</v>
      </c>
      <c r="AD11" s="16">
        <f>Inputs!AD152</f>
        <v>0</v>
      </c>
      <c r="AE11" s="16">
        <f>Inputs!AE152</f>
        <v>0</v>
      </c>
      <c r="AF11" s="16">
        <f>Inputs!AF152</f>
        <v>0</v>
      </c>
      <c r="AG11" s="16">
        <f>Inputs!AG152</f>
        <v>0</v>
      </c>
      <c r="AH11" s="16">
        <f>Inputs!AH152</f>
        <v>0</v>
      </c>
      <c r="AI11" s="16">
        <f>Inputs!AI152</f>
        <v>0</v>
      </c>
      <c r="AJ11" s="16">
        <f>Inputs!AJ152</f>
        <v>0</v>
      </c>
      <c r="AK11" s="16">
        <f>Inputs!AK152</f>
        <v>0</v>
      </c>
      <c r="AL11" s="16">
        <f>Inputs!AL152</f>
        <v>0</v>
      </c>
      <c r="AM11" s="16">
        <f>Inputs!AM152</f>
        <v>0</v>
      </c>
      <c r="AN11" s="16">
        <f>Inputs!AN152</f>
        <v>0</v>
      </c>
      <c r="AO11" s="16">
        <f>Inputs!AO152</f>
        <v>0</v>
      </c>
      <c r="AP11" s="16">
        <f>Inputs!AP152</f>
        <v>0</v>
      </c>
      <c r="AQ11" s="16">
        <f>Inputs!AQ152</f>
        <v>0</v>
      </c>
      <c r="AR11" s="16">
        <f>Inputs!AR152</f>
        <v>0</v>
      </c>
      <c r="AS11" s="16">
        <f>Inputs!AS152</f>
        <v>0</v>
      </c>
      <c r="AT11" s="16">
        <f>Inputs!AT152</f>
        <v>0</v>
      </c>
      <c r="AU11" s="16">
        <f>Inputs!AU152</f>
        <v>0</v>
      </c>
      <c r="AV11" s="16">
        <f>Inputs!AV152</f>
        <v>0</v>
      </c>
      <c r="AW11" s="16">
        <f>Inputs!AW152</f>
        <v>0</v>
      </c>
      <c r="AX11" s="16">
        <f>Inputs!AX152</f>
        <v>0</v>
      </c>
    </row>
    <row r="12" spans="1:50" customFormat="1" ht="15" customHeight="1">
      <c r="A12" s="11"/>
      <c r="B12" s="11"/>
      <c r="C12" s="11"/>
      <c r="D12" s="11"/>
      <c r="E12" s="11" t="s">
        <v>232</v>
      </c>
      <c r="F12" s="11"/>
      <c r="G12" s="11" t="s">
        <v>225</v>
      </c>
      <c r="H12" s="11"/>
      <c r="I12" s="88"/>
      <c r="J12" s="11"/>
      <c r="K12" s="16">
        <f>Inputs!K153</f>
        <v>0</v>
      </c>
      <c r="L12" s="16">
        <f>Inputs!L153</f>
        <v>0</v>
      </c>
      <c r="M12" s="16">
        <f>Inputs!M153</f>
        <v>0</v>
      </c>
      <c r="N12" s="16">
        <f>Inputs!N153</f>
        <v>0</v>
      </c>
      <c r="O12" s="16">
        <f>Inputs!O153</f>
        <v>0</v>
      </c>
      <c r="P12" s="16">
        <f>Inputs!P153</f>
        <v>0</v>
      </c>
      <c r="Q12" s="16">
        <f>Inputs!Q153</f>
        <v>1</v>
      </c>
      <c r="R12" s="16">
        <f>Inputs!R153</f>
        <v>0</v>
      </c>
      <c r="S12" s="16">
        <f>Inputs!S153</f>
        <v>0</v>
      </c>
      <c r="T12" s="16">
        <f>Inputs!T153</f>
        <v>0</v>
      </c>
      <c r="U12" s="16">
        <f>Inputs!U153</f>
        <v>0</v>
      </c>
      <c r="V12" s="16">
        <f>Inputs!V153</f>
        <v>0</v>
      </c>
      <c r="W12" s="16">
        <f>Inputs!W153</f>
        <v>0</v>
      </c>
      <c r="X12" s="16">
        <f>Inputs!X153</f>
        <v>0</v>
      </c>
      <c r="Y12" s="16">
        <f>Inputs!Y153</f>
        <v>0</v>
      </c>
      <c r="Z12" s="16">
        <f>Inputs!Z153</f>
        <v>0</v>
      </c>
      <c r="AA12" s="16">
        <f>Inputs!AA153</f>
        <v>0</v>
      </c>
      <c r="AB12" s="16">
        <f>Inputs!AB153</f>
        <v>0</v>
      </c>
      <c r="AC12" s="16">
        <f>Inputs!AC153</f>
        <v>0</v>
      </c>
      <c r="AD12" s="16">
        <f>Inputs!AD153</f>
        <v>0</v>
      </c>
      <c r="AE12" s="16">
        <f>Inputs!AE153</f>
        <v>0</v>
      </c>
      <c r="AF12" s="16">
        <f>Inputs!AF153</f>
        <v>0</v>
      </c>
      <c r="AG12" s="16">
        <f>Inputs!AG153</f>
        <v>0</v>
      </c>
      <c r="AH12" s="16">
        <f>Inputs!AH153</f>
        <v>0</v>
      </c>
      <c r="AI12" s="16">
        <f>Inputs!AI153</f>
        <v>0</v>
      </c>
      <c r="AJ12" s="16">
        <f>Inputs!AJ153</f>
        <v>0</v>
      </c>
      <c r="AK12" s="16">
        <f>Inputs!AK153</f>
        <v>0</v>
      </c>
      <c r="AL12" s="16">
        <f>Inputs!AL153</f>
        <v>0</v>
      </c>
      <c r="AM12" s="16">
        <f>Inputs!AM153</f>
        <v>0</v>
      </c>
      <c r="AN12" s="16">
        <f>Inputs!AN153</f>
        <v>0</v>
      </c>
      <c r="AO12" s="16">
        <f>Inputs!AO153</f>
        <v>0</v>
      </c>
      <c r="AP12" s="16">
        <f>Inputs!AP153</f>
        <v>0</v>
      </c>
      <c r="AQ12" s="16">
        <f>Inputs!AQ153</f>
        <v>0</v>
      </c>
      <c r="AR12" s="16">
        <f>Inputs!AR153</f>
        <v>0</v>
      </c>
      <c r="AS12" s="16">
        <f>Inputs!AS153</f>
        <v>0</v>
      </c>
      <c r="AT12" s="16">
        <f>Inputs!AT153</f>
        <v>0</v>
      </c>
      <c r="AU12" s="16">
        <f>Inputs!AU153</f>
        <v>0</v>
      </c>
      <c r="AV12" s="16">
        <f>Inputs!AV153</f>
        <v>0</v>
      </c>
      <c r="AW12" s="16">
        <f>Inputs!AW153</f>
        <v>0</v>
      </c>
      <c r="AX12" s="16">
        <f>Inputs!AX153</f>
        <v>0</v>
      </c>
    </row>
    <row r="13" spans="1:50" customFormat="1" ht="15" customHeight="1">
      <c r="A13" s="86"/>
      <c r="B13" s="11"/>
      <c r="C13" s="11"/>
      <c r="D13" s="11"/>
      <c r="E13" s="11" t="s">
        <v>235</v>
      </c>
      <c r="F13" s="11"/>
      <c r="G13" s="11" t="s">
        <v>225</v>
      </c>
      <c r="H13" s="11"/>
      <c r="I13" s="88"/>
      <c r="J13" s="11"/>
      <c r="K13" s="16">
        <f>Inputs!K155</f>
        <v>0</v>
      </c>
      <c r="L13" s="16">
        <f>Inputs!L155</f>
        <v>1</v>
      </c>
      <c r="M13" s="16">
        <f>Inputs!M155</f>
        <v>0</v>
      </c>
      <c r="N13" s="16">
        <f>Inputs!N155</f>
        <v>0</v>
      </c>
      <c r="O13" s="16">
        <f>Inputs!O155</f>
        <v>0</v>
      </c>
      <c r="P13" s="16">
        <f>Inputs!P155</f>
        <v>0</v>
      </c>
      <c r="Q13" s="16">
        <f>Inputs!Q155</f>
        <v>0</v>
      </c>
      <c r="R13" s="16">
        <f>Inputs!R155</f>
        <v>0</v>
      </c>
      <c r="S13" s="16">
        <f>Inputs!S155</f>
        <v>0</v>
      </c>
      <c r="T13" s="16">
        <f>Inputs!T155</f>
        <v>0</v>
      </c>
      <c r="U13" s="16">
        <f>Inputs!U155</f>
        <v>0</v>
      </c>
      <c r="V13" s="16">
        <f>Inputs!V155</f>
        <v>0</v>
      </c>
      <c r="W13" s="16">
        <f>Inputs!W155</f>
        <v>0</v>
      </c>
      <c r="X13" s="16">
        <f>Inputs!X155</f>
        <v>0</v>
      </c>
      <c r="Y13" s="16">
        <f>Inputs!Y155</f>
        <v>0</v>
      </c>
      <c r="Z13" s="16">
        <f>Inputs!Z155</f>
        <v>0</v>
      </c>
      <c r="AA13" s="16">
        <f>Inputs!AA155</f>
        <v>0</v>
      </c>
      <c r="AB13" s="16">
        <f>Inputs!AB155</f>
        <v>0</v>
      </c>
      <c r="AC13" s="16">
        <f>Inputs!AC155</f>
        <v>0</v>
      </c>
      <c r="AD13" s="16">
        <f>Inputs!AD155</f>
        <v>0</v>
      </c>
      <c r="AE13" s="16">
        <f>Inputs!AE155</f>
        <v>0</v>
      </c>
      <c r="AF13" s="16">
        <f>Inputs!AF155</f>
        <v>0</v>
      </c>
      <c r="AG13" s="16">
        <f>Inputs!AG155</f>
        <v>0</v>
      </c>
      <c r="AH13" s="16">
        <f>Inputs!AH155</f>
        <v>0</v>
      </c>
      <c r="AI13" s="16">
        <f>Inputs!AI155</f>
        <v>0</v>
      </c>
      <c r="AJ13" s="16">
        <f>Inputs!AJ155</f>
        <v>0</v>
      </c>
      <c r="AK13" s="16">
        <f>Inputs!AK155</f>
        <v>0</v>
      </c>
      <c r="AL13" s="16">
        <f>Inputs!AL155</f>
        <v>0</v>
      </c>
      <c r="AM13" s="16">
        <f>Inputs!AM155</f>
        <v>0</v>
      </c>
      <c r="AN13" s="16">
        <f>Inputs!AN155</f>
        <v>0</v>
      </c>
      <c r="AO13" s="16">
        <f>Inputs!AO155</f>
        <v>0</v>
      </c>
      <c r="AP13" s="16">
        <f>Inputs!AP155</f>
        <v>0</v>
      </c>
      <c r="AQ13" s="16">
        <f>Inputs!AQ155</f>
        <v>0</v>
      </c>
      <c r="AR13" s="16">
        <f>Inputs!AR155</f>
        <v>0</v>
      </c>
      <c r="AS13" s="16">
        <f>Inputs!AS155</f>
        <v>0</v>
      </c>
      <c r="AT13" s="16">
        <f>Inputs!AT155</f>
        <v>0</v>
      </c>
      <c r="AU13" s="16">
        <f>Inputs!AU155</f>
        <v>0</v>
      </c>
      <c r="AV13" s="16">
        <f>Inputs!AV155</f>
        <v>0</v>
      </c>
      <c r="AW13" s="16">
        <f>Inputs!AW155</f>
        <v>0</v>
      </c>
      <c r="AX13" s="16">
        <f>Inputs!AX155</f>
        <v>0</v>
      </c>
    </row>
    <row r="14" spans="1:50" customFormat="1" ht="15" customHeight="1">
      <c r="A14" s="1"/>
      <c r="B14" s="1"/>
      <c r="C14" s="1"/>
      <c r="D14" s="1"/>
      <c r="E14" s="11"/>
      <c r="F14" s="1"/>
      <c r="G14" s="1"/>
      <c r="H14" s="1"/>
      <c r="I14" s="55"/>
      <c r="J14" s="80"/>
      <c r="K14" s="80"/>
      <c r="L14" s="80"/>
      <c r="M14" s="80"/>
      <c r="N14" s="80"/>
      <c r="O14" s="80"/>
      <c r="P14" s="80"/>
      <c r="Q14" s="80"/>
      <c r="R14" s="80"/>
      <c r="S14" s="1"/>
      <c r="T14" s="1"/>
      <c r="U14" s="1"/>
      <c r="V14" s="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81"/>
      <c r="AU14" s="81"/>
      <c r="AV14" s="81"/>
      <c r="AW14" s="81"/>
      <c r="AX14" s="81"/>
    </row>
    <row r="15" spans="1:50" customFormat="1" ht="15" customHeight="1">
      <c r="A15" s="1"/>
      <c r="B15" s="12" t="s">
        <v>265</v>
      </c>
      <c r="C15" s="50"/>
      <c r="D15" s="50"/>
      <c r="E15" s="51"/>
      <c r="F15" s="51"/>
      <c r="G15" s="51"/>
      <c r="H15" s="51"/>
      <c r="I15" s="133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</row>
    <row r="16" spans="1:50" customFormat="1" ht="15" customHeight="1">
      <c r="A16" s="1"/>
      <c r="B16" s="1"/>
      <c r="C16" s="1"/>
      <c r="D16" s="1"/>
      <c r="E16" s="1"/>
      <c r="F16" s="1"/>
      <c r="G16" s="1"/>
      <c r="H16" s="1"/>
      <c r="I16" s="55"/>
      <c r="J16" s="80"/>
      <c r="K16" s="80"/>
      <c r="L16" s="80"/>
      <c r="M16" s="80"/>
      <c r="N16" s="80"/>
      <c r="O16" s="80"/>
      <c r="P16" s="80"/>
      <c r="Q16" s="80"/>
      <c r="R16" s="80"/>
      <c r="S16" s="1"/>
      <c r="T16" s="1"/>
      <c r="U16" s="1"/>
      <c r="V16" s="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</row>
    <row r="17" spans="1:50" customFormat="1" ht="15" customHeight="1">
      <c r="A17" s="1"/>
      <c r="B17" s="1"/>
      <c r="C17" s="56" t="s">
        <v>266</v>
      </c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</row>
    <row r="18" spans="1:50" customFormat="1" ht="15" customHeight="1">
      <c r="A18" s="1"/>
      <c r="B18" s="1"/>
      <c r="C18" s="1"/>
      <c r="D18" s="1"/>
      <c r="E18" s="1"/>
      <c r="F18" s="1"/>
      <c r="G18" s="1"/>
      <c r="H18" s="1"/>
      <c r="I18" s="55"/>
      <c r="J18" s="80"/>
      <c r="K18" s="80"/>
      <c r="L18" s="80"/>
      <c r="M18" s="80"/>
      <c r="N18" s="80"/>
      <c r="O18" s="80"/>
      <c r="P18" s="80"/>
      <c r="Q18" s="80"/>
      <c r="R18" s="80"/>
      <c r="S18" s="1"/>
      <c r="T18" s="1"/>
      <c r="U18" s="1"/>
      <c r="V18" s="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</row>
    <row r="19" spans="1:50" customFormat="1" ht="15" customHeight="1">
      <c r="B19" s="1"/>
      <c r="C19" s="1"/>
      <c r="D19" s="10"/>
      <c r="E19" s="80" t="s">
        <v>267</v>
      </c>
      <c r="F19" s="1"/>
      <c r="G19" s="1" t="str">
        <f>Inputs!$I$6</f>
        <v>£m 2024 prices</v>
      </c>
      <c r="H19" s="1"/>
      <c r="I19" s="55"/>
      <c r="J19" s="80"/>
      <c r="K19" s="134"/>
      <c r="L19" s="135">
        <f t="shared" ref="L19:AX19" si="2">K26</f>
        <v>10.060738678566178</v>
      </c>
      <c r="M19" s="135">
        <f t="shared" si="2"/>
        <v>164.47212738577926</v>
      </c>
      <c r="N19" s="135">
        <f t="shared" si="2"/>
        <v>319.33875364300701</v>
      </c>
      <c r="O19" s="135">
        <f t="shared" si="2"/>
        <v>479.67410584769959</v>
      </c>
      <c r="P19" s="135">
        <f t="shared" si="2"/>
        <v>0</v>
      </c>
      <c r="Q19" s="135">
        <f t="shared" si="2"/>
        <v>0</v>
      </c>
      <c r="R19" s="135">
        <f t="shared" si="2"/>
        <v>0</v>
      </c>
      <c r="S19" s="135">
        <f t="shared" si="2"/>
        <v>0</v>
      </c>
      <c r="T19" s="135">
        <f t="shared" si="2"/>
        <v>0</v>
      </c>
      <c r="U19" s="135">
        <f t="shared" si="2"/>
        <v>0</v>
      </c>
      <c r="V19" s="135">
        <f t="shared" si="2"/>
        <v>0</v>
      </c>
      <c r="W19" s="135">
        <f t="shared" si="2"/>
        <v>0</v>
      </c>
      <c r="X19" s="135">
        <f t="shared" si="2"/>
        <v>0</v>
      </c>
      <c r="Y19" s="135">
        <f t="shared" si="2"/>
        <v>0</v>
      </c>
      <c r="Z19" s="135">
        <f t="shared" si="2"/>
        <v>0</v>
      </c>
      <c r="AA19" s="135">
        <f t="shared" si="2"/>
        <v>0</v>
      </c>
      <c r="AB19" s="135">
        <f t="shared" si="2"/>
        <v>0</v>
      </c>
      <c r="AC19" s="135">
        <f t="shared" si="2"/>
        <v>0</v>
      </c>
      <c r="AD19" s="135">
        <f t="shared" si="2"/>
        <v>0</v>
      </c>
      <c r="AE19" s="135">
        <f t="shared" si="2"/>
        <v>0</v>
      </c>
      <c r="AF19" s="135">
        <f t="shared" si="2"/>
        <v>0</v>
      </c>
      <c r="AG19" s="135">
        <f t="shared" si="2"/>
        <v>0</v>
      </c>
      <c r="AH19" s="135">
        <f t="shared" si="2"/>
        <v>0</v>
      </c>
      <c r="AI19" s="135">
        <f t="shared" si="2"/>
        <v>0</v>
      </c>
      <c r="AJ19" s="135">
        <f t="shared" si="2"/>
        <v>0</v>
      </c>
      <c r="AK19" s="135">
        <f t="shared" si="2"/>
        <v>0</v>
      </c>
      <c r="AL19" s="135">
        <f t="shared" si="2"/>
        <v>0</v>
      </c>
      <c r="AM19" s="135">
        <f t="shared" si="2"/>
        <v>0</v>
      </c>
      <c r="AN19" s="135">
        <f t="shared" si="2"/>
        <v>0</v>
      </c>
      <c r="AO19" s="135">
        <f t="shared" si="2"/>
        <v>0</v>
      </c>
      <c r="AP19" s="135">
        <f t="shared" si="2"/>
        <v>0</v>
      </c>
      <c r="AQ19" s="135">
        <f t="shared" si="2"/>
        <v>0</v>
      </c>
      <c r="AR19" s="135">
        <f t="shared" si="2"/>
        <v>0</v>
      </c>
      <c r="AS19" s="135">
        <f t="shared" si="2"/>
        <v>0</v>
      </c>
      <c r="AT19" s="135">
        <f t="shared" si="2"/>
        <v>0</v>
      </c>
      <c r="AU19" s="135">
        <f t="shared" si="2"/>
        <v>0</v>
      </c>
      <c r="AV19" s="135">
        <f t="shared" si="2"/>
        <v>0</v>
      </c>
      <c r="AW19" s="135">
        <f t="shared" si="2"/>
        <v>0</v>
      </c>
      <c r="AX19" s="135">
        <f t="shared" si="2"/>
        <v>0</v>
      </c>
    </row>
    <row r="20" spans="1:50" customFormat="1" ht="15" customHeight="1">
      <c r="B20" s="1"/>
      <c r="C20" s="1"/>
      <c r="D20" s="1"/>
      <c r="E20" s="1" t="str">
        <f>Inputs!E26</f>
        <v>Development costs</v>
      </c>
      <c r="F20" s="1"/>
      <c r="G20" s="1" t="str">
        <f>Inputs!$I$6</f>
        <v>£m 2024 prices</v>
      </c>
      <c r="H20" s="1"/>
      <c r="I20" s="55"/>
      <c r="J20" s="80"/>
      <c r="K20" s="18">
        <f>Inputs!K26</f>
        <v>9.8039215686274517</v>
      </c>
      <c r="L20" s="18">
        <f>Inputs!L26</f>
        <v>4.8058439061899261</v>
      </c>
      <c r="M20" s="18">
        <f>Inputs!M26</f>
        <v>0</v>
      </c>
      <c r="N20" s="18">
        <f>Inputs!N26</f>
        <v>0</v>
      </c>
      <c r="O20" s="18">
        <f>Inputs!O26</f>
        <v>0</v>
      </c>
      <c r="P20" s="18">
        <f>Inputs!P26</f>
        <v>0</v>
      </c>
      <c r="Q20" s="18">
        <f>Inputs!Q26</f>
        <v>0</v>
      </c>
      <c r="R20" s="18">
        <f>Inputs!R26</f>
        <v>0</v>
      </c>
      <c r="S20" s="18">
        <f>Inputs!S26</f>
        <v>0</v>
      </c>
      <c r="T20" s="18">
        <f>Inputs!T26</f>
        <v>0</v>
      </c>
      <c r="U20" s="18">
        <f>Inputs!U26</f>
        <v>0</v>
      </c>
      <c r="V20" s="18">
        <f>Inputs!V26</f>
        <v>0</v>
      </c>
      <c r="W20" s="18">
        <f>Inputs!W26</f>
        <v>0</v>
      </c>
      <c r="X20" s="18">
        <f>Inputs!X26</f>
        <v>0</v>
      </c>
      <c r="Y20" s="18">
        <f>Inputs!Y26</f>
        <v>0</v>
      </c>
      <c r="Z20" s="18">
        <f>Inputs!Z26</f>
        <v>0</v>
      </c>
      <c r="AA20" s="18">
        <f>Inputs!AA26</f>
        <v>0</v>
      </c>
      <c r="AB20" s="18">
        <f>Inputs!AB26</f>
        <v>0</v>
      </c>
      <c r="AC20" s="18">
        <f>Inputs!AC26</f>
        <v>0</v>
      </c>
      <c r="AD20" s="18">
        <f>Inputs!AD26</f>
        <v>0</v>
      </c>
      <c r="AE20" s="18">
        <f>Inputs!AE26</f>
        <v>0</v>
      </c>
      <c r="AF20" s="18">
        <f>Inputs!AF26</f>
        <v>0</v>
      </c>
      <c r="AG20" s="18">
        <f>Inputs!AG26</f>
        <v>0</v>
      </c>
      <c r="AH20" s="18">
        <f>Inputs!AH26</f>
        <v>0</v>
      </c>
      <c r="AI20" s="18">
        <f>Inputs!AI26</f>
        <v>0</v>
      </c>
      <c r="AJ20" s="18">
        <f>Inputs!AJ26</f>
        <v>0</v>
      </c>
      <c r="AK20" s="18">
        <f>Inputs!AK26</f>
        <v>0</v>
      </c>
      <c r="AL20" s="18">
        <f>Inputs!AL26</f>
        <v>0</v>
      </c>
      <c r="AM20" s="18">
        <f>Inputs!AM26</f>
        <v>0</v>
      </c>
      <c r="AN20" s="18">
        <f>Inputs!AN26</f>
        <v>0</v>
      </c>
      <c r="AO20" s="18">
        <f>Inputs!AO26</f>
        <v>0</v>
      </c>
      <c r="AP20" s="18">
        <f>Inputs!AP26</f>
        <v>0</v>
      </c>
      <c r="AQ20" s="18">
        <f>Inputs!AQ26</f>
        <v>0</v>
      </c>
      <c r="AR20" s="18">
        <f>Inputs!AR26</f>
        <v>0</v>
      </c>
      <c r="AS20" s="18">
        <f>Inputs!AS26</f>
        <v>0</v>
      </c>
      <c r="AT20" s="18">
        <f>Inputs!AT26</f>
        <v>0</v>
      </c>
      <c r="AU20" s="18">
        <f>Inputs!AU26</f>
        <v>0</v>
      </c>
      <c r="AV20" s="18">
        <f>Inputs!AV26</f>
        <v>0</v>
      </c>
      <c r="AW20" s="18">
        <f>Inputs!AW26</f>
        <v>0</v>
      </c>
      <c r="AX20" s="18">
        <f>Inputs!AX26</f>
        <v>0</v>
      </c>
    </row>
    <row r="21" spans="1:50" customFormat="1" ht="15" customHeight="1">
      <c r="B21" s="1"/>
      <c r="C21" s="1"/>
      <c r="D21" s="1"/>
      <c r="E21" s="1" t="str">
        <f>Inputs!E27</f>
        <v>Capex</v>
      </c>
      <c r="F21" s="1"/>
      <c r="G21" s="1" t="str">
        <f>Inputs!$I$6</f>
        <v>£m 2024 prices</v>
      </c>
      <c r="H21" s="1"/>
      <c r="I21" s="55"/>
      <c r="J21" s="80"/>
      <c r="K21" s="18">
        <f>Inputs!K27</f>
        <v>0</v>
      </c>
      <c r="L21" s="18">
        <f>Inputs!L27</f>
        <v>144.17531718569779</v>
      </c>
      <c r="M21" s="18">
        <f>Inputs!M27</f>
        <v>141.34835018205666</v>
      </c>
      <c r="N21" s="18">
        <f>Inputs!N27</f>
        <v>138.5768139039771</v>
      </c>
      <c r="O21" s="18">
        <f>Inputs!O27</f>
        <v>0</v>
      </c>
      <c r="P21" s="18">
        <f>Inputs!P27</f>
        <v>0</v>
      </c>
      <c r="Q21" s="18">
        <f>Inputs!Q27</f>
        <v>0</v>
      </c>
      <c r="R21" s="18">
        <f>Inputs!R27</f>
        <v>0</v>
      </c>
      <c r="S21" s="18">
        <f>Inputs!S27</f>
        <v>0</v>
      </c>
      <c r="T21" s="18">
        <f>Inputs!T27</f>
        <v>0</v>
      </c>
      <c r="U21" s="18">
        <f>Inputs!U27</f>
        <v>0</v>
      </c>
      <c r="V21" s="18">
        <f>Inputs!V27</f>
        <v>0</v>
      </c>
      <c r="W21" s="18">
        <f>Inputs!W27</f>
        <v>0</v>
      </c>
      <c r="X21" s="18">
        <f>Inputs!X27</f>
        <v>0</v>
      </c>
      <c r="Y21" s="18">
        <f>Inputs!Y27</f>
        <v>0</v>
      </c>
      <c r="Z21" s="18">
        <f>Inputs!Z27</f>
        <v>0</v>
      </c>
      <c r="AA21" s="18">
        <f>Inputs!AA27</f>
        <v>0</v>
      </c>
      <c r="AB21" s="18">
        <f>Inputs!AB27</f>
        <v>0</v>
      </c>
      <c r="AC21" s="18">
        <f>Inputs!AC27</f>
        <v>0</v>
      </c>
      <c r="AD21" s="18">
        <f>Inputs!AD27</f>
        <v>0</v>
      </c>
      <c r="AE21" s="18">
        <f>Inputs!AE27</f>
        <v>0</v>
      </c>
      <c r="AF21" s="18">
        <f>Inputs!AF27</f>
        <v>0</v>
      </c>
      <c r="AG21" s="18">
        <f>Inputs!AG27</f>
        <v>0</v>
      </c>
      <c r="AH21" s="18">
        <f>Inputs!AH27</f>
        <v>0</v>
      </c>
      <c r="AI21" s="18">
        <f>Inputs!AI27</f>
        <v>0</v>
      </c>
      <c r="AJ21" s="18">
        <f>Inputs!AJ27</f>
        <v>0</v>
      </c>
      <c r="AK21" s="18">
        <f>Inputs!AK27</f>
        <v>0</v>
      </c>
      <c r="AL21" s="18">
        <f>Inputs!AL27</f>
        <v>0</v>
      </c>
      <c r="AM21" s="18">
        <f>Inputs!AM27</f>
        <v>0</v>
      </c>
      <c r="AN21" s="18">
        <f>Inputs!AN27</f>
        <v>0</v>
      </c>
      <c r="AO21" s="18">
        <f>Inputs!AO27</f>
        <v>0</v>
      </c>
      <c r="AP21" s="18">
        <f>Inputs!AP27</f>
        <v>0</v>
      </c>
      <c r="AQ21" s="18">
        <f>Inputs!AQ27</f>
        <v>0</v>
      </c>
      <c r="AR21" s="18">
        <f>Inputs!AR27</f>
        <v>0</v>
      </c>
      <c r="AS21" s="18">
        <f>Inputs!AS27</f>
        <v>0</v>
      </c>
      <c r="AT21" s="18">
        <f>Inputs!AT27</f>
        <v>0</v>
      </c>
      <c r="AU21" s="18">
        <f>Inputs!AU27</f>
        <v>0</v>
      </c>
      <c r="AV21" s="18">
        <f>Inputs!AV27</f>
        <v>0</v>
      </c>
      <c r="AW21" s="18">
        <f>Inputs!AW27</f>
        <v>0</v>
      </c>
      <c r="AX21" s="18">
        <f>Inputs!AX27</f>
        <v>0</v>
      </c>
    </row>
    <row r="22" spans="1:50" customFormat="1" ht="15" customHeight="1">
      <c r="B22" s="1"/>
      <c r="C22" s="1"/>
      <c r="D22" s="1"/>
      <c r="E22" s="1" t="str">
        <f>Inputs!E28</f>
        <v>Spares</v>
      </c>
      <c r="F22" s="1"/>
      <c r="G22" s="1" t="str">
        <f>Inputs!$I$6</f>
        <v>£m 2024 prices</v>
      </c>
      <c r="H22" s="1"/>
      <c r="I22" s="55"/>
      <c r="J22" s="80"/>
      <c r="K22" s="18">
        <f>Inputs!K28</f>
        <v>0</v>
      </c>
      <c r="L22" s="18">
        <f>Inputs!L28</f>
        <v>0.96116878123798521</v>
      </c>
      <c r="M22" s="18">
        <f>Inputs!M28</f>
        <v>0.94232233454704439</v>
      </c>
      <c r="N22" s="18">
        <f>Inputs!N28</f>
        <v>0.92384542602651409</v>
      </c>
      <c r="O22" s="18">
        <f>Inputs!O28</f>
        <v>0.90573080982991572</v>
      </c>
      <c r="P22" s="18">
        <f>Inputs!P28</f>
        <v>0</v>
      </c>
      <c r="Q22" s="18">
        <f>Inputs!Q28</f>
        <v>0</v>
      </c>
      <c r="R22" s="18">
        <f>Inputs!R28</f>
        <v>0</v>
      </c>
      <c r="S22" s="18">
        <f>Inputs!S28</f>
        <v>0</v>
      </c>
      <c r="T22" s="18">
        <f>Inputs!T28</f>
        <v>0</v>
      </c>
      <c r="U22" s="18">
        <f>Inputs!U28</f>
        <v>0</v>
      </c>
      <c r="V22" s="18">
        <f>Inputs!V28</f>
        <v>0</v>
      </c>
      <c r="W22" s="18">
        <f>Inputs!W28</f>
        <v>0</v>
      </c>
      <c r="X22" s="18">
        <f>Inputs!X28</f>
        <v>0</v>
      </c>
      <c r="Y22" s="18">
        <f>Inputs!Y28</f>
        <v>0</v>
      </c>
      <c r="Z22" s="18">
        <f>Inputs!Z28</f>
        <v>0</v>
      </c>
      <c r="AA22" s="18">
        <f>Inputs!AA28</f>
        <v>0</v>
      </c>
      <c r="AB22" s="18">
        <f>Inputs!AB28</f>
        <v>0</v>
      </c>
      <c r="AC22" s="18">
        <f>Inputs!AC28</f>
        <v>0</v>
      </c>
      <c r="AD22" s="18">
        <f>Inputs!AD28</f>
        <v>0</v>
      </c>
      <c r="AE22" s="18">
        <f>Inputs!AE28</f>
        <v>0</v>
      </c>
      <c r="AF22" s="18">
        <f>Inputs!AF28</f>
        <v>0</v>
      </c>
      <c r="AG22" s="18">
        <f>Inputs!AG28</f>
        <v>0</v>
      </c>
      <c r="AH22" s="18">
        <f>Inputs!AH28</f>
        <v>0</v>
      </c>
      <c r="AI22" s="18">
        <f>Inputs!AI28</f>
        <v>0</v>
      </c>
      <c r="AJ22" s="18">
        <f>Inputs!AJ28</f>
        <v>0</v>
      </c>
      <c r="AK22" s="18">
        <f>Inputs!AK28</f>
        <v>0</v>
      </c>
      <c r="AL22" s="18">
        <f>Inputs!AL28</f>
        <v>0</v>
      </c>
      <c r="AM22" s="18">
        <f>Inputs!AM28</f>
        <v>0</v>
      </c>
      <c r="AN22" s="18">
        <f>Inputs!AN28</f>
        <v>0</v>
      </c>
      <c r="AO22" s="18">
        <f>Inputs!AO28</f>
        <v>0</v>
      </c>
      <c r="AP22" s="18">
        <f>Inputs!AP28</f>
        <v>0</v>
      </c>
      <c r="AQ22" s="18">
        <f>Inputs!AQ28</f>
        <v>0</v>
      </c>
      <c r="AR22" s="18">
        <f>Inputs!AR28</f>
        <v>0</v>
      </c>
      <c r="AS22" s="18">
        <f>Inputs!AS28</f>
        <v>0</v>
      </c>
      <c r="AT22" s="18">
        <f>Inputs!AT28</f>
        <v>0</v>
      </c>
      <c r="AU22" s="18">
        <f>Inputs!AU28</f>
        <v>0</v>
      </c>
      <c r="AV22" s="18">
        <f>Inputs!AV28</f>
        <v>0</v>
      </c>
      <c r="AW22" s="18">
        <f>Inputs!AW28</f>
        <v>0</v>
      </c>
      <c r="AX22" s="18">
        <f>Inputs!AX28</f>
        <v>0</v>
      </c>
    </row>
    <row r="23" spans="1:50" customFormat="1" ht="15" customHeight="1">
      <c r="B23" s="1"/>
      <c r="C23" s="1"/>
      <c r="D23" s="1"/>
      <c r="E23" s="1" t="str">
        <f>Finance!E28</f>
        <v>Capitalised interest during construction</v>
      </c>
      <c r="F23" s="1"/>
      <c r="G23" s="1" t="str">
        <f>Inputs!$I$6</f>
        <v>£m 2024 prices</v>
      </c>
      <c r="H23" s="1"/>
      <c r="I23" s="55"/>
      <c r="J23" s="80"/>
      <c r="K23" s="18">
        <f>Finance!K28</f>
        <v>0.2568171099387267</v>
      </c>
      <c r="L23" s="18">
        <f>Finance!L28</f>
        <v>4.4690588340873862</v>
      </c>
      <c r="M23" s="18">
        <f>Finance!M28</f>
        <v>12.575953740624024</v>
      </c>
      <c r="N23" s="18">
        <f>Finance!N28</f>
        <v>20.834692874688976</v>
      </c>
      <c r="O23" s="18">
        <f>Finance!O28</f>
        <v>0</v>
      </c>
      <c r="P23" s="18">
        <f>Finance!P28</f>
        <v>0</v>
      </c>
      <c r="Q23" s="18">
        <f>Finance!Q28</f>
        <v>0</v>
      </c>
      <c r="R23" s="18">
        <f>Finance!R28</f>
        <v>0</v>
      </c>
      <c r="S23" s="18">
        <f>Finance!S28</f>
        <v>0</v>
      </c>
      <c r="T23" s="18">
        <f>Finance!T28</f>
        <v>0</v>
      </c>
      <c r="U23" s="18">
        <f>Finance!U28</f>
        <v>0</v>
      </c>
      <c r="V23" s="18">
        <f>Finance!V28</f>
        <v>0</v>
      </c>
      <c r="W23" s="18">
        <f>Finance!W28</f>
        <v>0</v>
      </c>
      <c r="X23" s="18">
        <f>Finance!X28</f>
        <v>0</v>
      </c>
      <c r="Y23" s="18">
        <f>Finance!Y28</f>
        <v>0</v>
      </c>
      <c r="Z23" s="18">
        <f>Finance!Z28</f>
        <v>0</v>
      </c>
      <c r="AA23" s="18">
        <f>Finance!AA28</f>
        <v>0</v>
      </c>
      <c r="AB23" s="18">
        <f>Finance!AB28</f>
        <v>0</v>
      </c>
      <c r="AC23" s="18">
        <f>Finance!AC28</f>
        <v>0</v>
      </c>
      <c r="AD23" s="18">
        <f>Finance!AD28</f>
        <v>0</v>
      </c>
      <c r="AE23" s="18">
        <f>Finance!AE28</f>
        <v>0</v>
      </c>
      <c r="AF23" s="18">
        <f>Finance!AF28</f>
        <v>0</v>
      </c>
      <c r="AG23" s="18">
        <f>Finance!AG28</f>
        <v>0</v>
      </c>
      <c r="AH23" s="18">
        <f>Finance!AH28</f>
        <v>0</v>
      </c>
      <c r="AI23" s="18">
        <f>Finance!AI28</f>
        <v>0</v>
      </c>
      <c r="AJ23" s="18">
        <f>Finance!AJ28</f>
        <v>0</v>
      </c>
      <c r="AK23" s="18">
        <f>Finance!AK28</f>
        <v>0</v>
      </c>
      <c r="AL23" s="18">
        <f>Finance!AL28</f>
        <v>0</v>
      </c>
      <c r="AM23" s="18">
        <f>Finance!AM28</f>
        <v>0</v>
      </c>
      <c r="AN23" s="18">
        <f>Finance!AN28</f>
        <v>0</v>
      </c>
      <c r="AO23" s="18">
        <f>Finance!AO28</f>
        <v>0</v>
      </c>
      <c r="AP23" s="18">
        <f>Finance!AP28</f>
        <v>0</v>
      </c>
      <c r="AQ23" s="18">
        <f>Finance!AQ28</f>
        <v>0</v>
      </c>
      <c r="AR23" s="18">
        <f>Finance!AR28</f>
        <v>0</v>
      </c>
      <c r="AS23" s="18">
        <f>Finance!AS28</f>
        <v>0</v>
      </c>
      <c r="AT23" s="18">
        <f>Finance!AT28</f>
        <v>0</v>
      </c>
      <c r="AU23" s="18">
        <f>Finance!AU28</f>
        <v>0</v>
      </c>
      <c r="AV23" s="18">
        <f>Finance!AV28</f>
        <v>0</v>
      </c>
      <c r="AW23" s="18">
        <f>Finance!AW28</f>
        <v>0</v>
      </c>
      <c r="AX23" s="18">
        <f>Finance!AX28</f>
        <v>0</v>
      </c>
    </row>
    <row r="24" spans="1:50" customFormat="1" ht="15" customHeight="1">
      <c r="B24" s="1"/>
      <c r="C24" s="1"/>
      <c r="D24" s="1"/>
      <c r="E24" s="80" t="s">
        <v>268</v>
      </c>
      <c r="F24" s="1"/>
      <c r="G24" s="1" t="str">
        <f>Inputs!$I$6</f>
        <v>£m 2024 prices</v>
      </c>
      <c r="H24" s="1"/>
      <c r="I24" s="55"/>
      <c r="J24" s="80"/>
      <c r="K24" s="136">
        <f t="shared" ref="K24:AX24" si="3">SUM(K19:K23)</f>
        <v>10.060738678566178</v>
      </c>
      <c r="L24" s="136">
        <f t="shared" si="3"/>
        <v>164.47212738577926</v>
      </c>
      <c r="M24" s="136">
        <f t="shared" si="3"/>
        <v>319.33875364300701</v>
      </c>
      <c r="N24" s="136">
        <f t="shared" si="3"/>
        <v>479.67410584769959</v>
      </c>
      <c r="O24" s="136">
        <f t="shared" si="3"/>
        <v>480.57983665752948</v>
      </c>
      <c r="P24" s="136">
        <f t="shared" si="3"/>
        <v>0</v>
      </c>
      <c r="Q24" s="136">
        <f t="shared" si="3"/>
        <v>0</v>
      </c>
      <c r="R24" s="136">
        <f t="shared" si="3"/>
        <v>0</v>
      </c>
      <c r="S24" s="136">
        <f t="shared" si="3"/>
        <v>0</v>
      </c>
      <c r="T24" s="136">
        <f t="shared" si="3"/>
        <v>0</v>
      </c>
      <c r="U24" s="136">
        <f t="shared" si="3"/>
        <v>0</v>
      </c>
      <c r="V24" s="136">
        <f t="shared" si="3"/>
        <v>0</v>
      </c>
      <c r="W24" s="136">
        <f t="shared" si="3"/>
        <v>0</v>
      </c>
      <c r="X24" s="136">
        <f t="shared" si="3"/>
        <v>0</v>
      </c>
      <c r="Y24" s="136">
        <f t="shared" si="3"/>
        <v>0</v>
      </c>
      <c r="Z24" s="136">
        <f t="shared" si="3"/>
        <v>0</v>
      </c>
      <c r="AA24" s="136">
        <f t="shared" si="3"/>
        <v>0</v>
      </c>
      <c r="AB24" s="136">
        <f t="shared" si="3"/>
        <v>0</v>
      </c>
      <c r="AC24" s="136">
        <f t="shared" si="3"/>
        <v>0</v>
      </c>
      <c r="AD24" s="136">
        <f t="shared" si="3"/>
        <v>0</v>
      </c>
      <c r="AE24" s="136">
        <f t="shared" si="3"/>
        <v>0</v>
      </c>
      <c r="AF24" s="136">
        <f t="shared" si="3"/>
        <v>0</v>
      </c>
      <c r="AG24" s="136">
        <f t="shared" si="3"/>
        <v>0</v>
      </c>
      <c r="AH24" s="136">
        <f t="shared" si="3"/>
        <v>0</v>
      </c>
      <c r="AI24" s="136">
        <f t="shared" si="3"/>
        <v>0</v>
      </c>
      <c r="AJ24" s="136">
        <f t="shared" si="3"/>
        <v>0</v>
      </c>
      <c r="AK24" s="136">
        <f t="shared" si="3"/>
        <v>0</v>
      </c>
      <c r="AL24" s="136">
        <f t="shared" si="3"/>
        <v>0</v>
      </c>
      <c r="AM24" s="136">
        <f t="shared" si="3"/>
        <v>0</v>
      </c>
      <c r="AN24" s="136">
        <f t="shared" si="3"/>
        <v>0</v>
      </c>
      <c r="AO24" s="136">
        <f t="shared" si="3"/>
        <v>0</v>
      </c>
      <c r="AP24" s="136">
        <f t="shared" si="3"/>
        <v>0</v>
      </c>
      <c r="AQ24" s="136">
        <f t="shared" si="3"/>
        <v>0</v>
      </c>
      <c r="AR24" s="136">
        <f t="shared" si="3"/>
        <v>0</v>
      </c>
      <c r="AS24" s="136">
        <f t="shared" si="3"/>
        <v>0</v>
      </c>
      <c r="AT24" s="136">
        <f t="shared" si="3"/>
        <v>0</v>
      </c>
      <c r="AU24" s="136">
        <f t="shared" si="3"/>
        <v>0</v>
      </c>
      <c r="AV24" s="136">
        <f t="shared" si="3"/>
        <v>0</v>
      </c>
      <c r="AW24" s="136">
        <f t="shared" si="3"/>
        <v>0</v>
      </c>
      <c r="AX24" s="136">
        <f t="shared" si="3"/>
        <v>0</v>
      </c>
    </row>
    <row r="25" spans="1:50" customFormat="1" ht="15" customHeight="1">
      <c r="B25" s="1"/>
      <c r="C25" s="1"/>
      <c r="D25" s="1"/>
      <c r="E25" s="80" t="s">
        <v>269</v>
      </c>
      <c r="F25" s="1"/>
      <c r="G25" s="1" t="str">
        <f>Inputs!$I$6</f>
        <v>£m 2024 prices</v>
      </c>
      <c r="H25" s="1"/>
      <c r="I25" s="55"/>
      <c r="J25" s="80"/>
      <c r="K25" s="17">
        <f t="shared" ref="K25:AX25" si="4">-K24*K11</f>
        <v>0</v>
      </c>
      <c r="L25" s="17">
        <f t="shared" si="4"/>
        <v>0</v>
      </c>
      <c r="M25" s="17">
        <f t="shared" si="4"/>
        <v>0</v>
      </c>
      <c r="N25" s="17">
        <f t="shared" si="4"/>
        <v>0</v>
      </c>
      <c r="O25" s="17">
        <f t="shared" si="4"/>
        <v>-480.57983665752948</v>
      </c>
      <c r="P25" s="17">
        <f t="shared" si="4"/>
        <v>0</v>
      </c>
      <c r="Q25" s="17">
        <f t="shared" si="4"/>
        <v>0</v>
      </c>
      <c r="R25" s="17">
        <f t="shared" si="4"/>
        <v>0</v>
      </c>
      <c r="S25" s="17">
        <f t="shared" si="4"/>
        <v>0</v>
      </c>
      <c r="T25" s="17">
        <f t="shared" si="4"/>
        <v>0</v>
      </c>
      <c r="U25" s="17">
        <f t="shared" si="4"/>
        <v>0</v>
      </c>
      <c r="V25" s="17">
        <f t="shared" si="4"/>
        <v>0</v>
      </c>
      <c r="W25" s="17">
        <f t="shared" si="4"/>
        <v>0</v>
      </c>
      <c r="X25" s="17">
        <f t="shared" si="4"/>
        <v>0</v>
      </c>
      <c r="Y25" s="17">
        <f t="shared" si="4"/>
        <v>0</v>
      </c>
      <c r="Z25" s="17">
        <f t="shared" si="4"/>
        <v>0</v>
      </c>
      <c r="AA25" s="17">
        <f t="shared" si="4"/>
        <v>0</v>
      </c>
      <c r="AB25" s="17">
        <f t="shared" si="4"/>
        <v>0</v>
      </c>
      <c r="AC25" s="17">
        <f t="shared" si="4"/>
        <v>0</v>
      </c>
      <c r="AD25" s="17">
        <f t="shared" si="4"/>
        <v>0</v>
      </c>
      <c r="AE25" s="17">
        <f t="shared" si="4"/>
        <v>0</v>
      </c>
      <c r="AF25" s="17">
        <f t="shared" si="4"/>
        <v>0</v>
      </c>
      <c r="AG25" s="17">
        <f t="shared" si="4"/>
        <v>0</v>
      </c>
      <c r="AH25" s="17">
        <f t="shared" si="4"/>
        <v>0</v>
      </c>
      <c r="AI25" s="17">
        <f t="shared" si="4"/>
        <v>0</v>
      </c>
      <c r="AJ25" s="17">
        <f t="shared" si="4"/>
        <v>0</v>
      </c>
      <c r="AK25" s="17">
        <f t="shared" si="4"/>
        <v>0</v>
      </c>
      <c r="AL25" s="17">
        <f t="shared" si="4"/>
        <v>0</v>
      </c>
      <c r="AM25" s="17">
        <f t="shared" si="4"/>
        <v>0</v>
      </c>
      <c r="AN25" s="17">
        <f t="shared" si="4"/>
        <v>0</v>
      </c>
      <c r="AO25" s="17">
        <f t="shared" si="4"/>
        <v>0</v>
      </c>
      <c r="AP25" s="17">
        <f t="shared" si="4"/>
        <v>0</v>
      </c>
      <c r="AQ25" s="17">
        <f t="shared" si="4"/>
        <v>0</v>
      </c>
      <c r="AR25" s="17">
        <f t="shared" si="4"/>
        <v>0</v>
      </c>
      <c r="AS25" s="17">
        <f t="shared" si="4"/>
        <v>0</v>
      </c>
      <c r="AT25" s="17">
        <f t="shared" si="4"/>
        <v>0</v>
      </c>
      <c r="AU25" s="17">
        <f t="shared" si="4"/>
        <v>0</v>
      </c>
      <c r="AV25" s="17">
        <f t="shared" si="4"/>
        <v>0</v>
      </c>
      <c r="AW25" s="17">
        <f t="shared" si="4"/>
        <v>0</v>
      </c>
      <c r="AX25" s="17">
        <f t="shared" si="4"/>
        <v>0</v>
      </c>
    </row>
    <row r="26" spans="1:50" customFormat="1" ht="26.1">
      <c r="B26" s="1"/>
      <c r="C26" s="1"/>
      <c r="D26" s="1"/>
      <c r="E26" s="137" t="s">
        <v>270</v>
      </c>
      <c r="F26" s="1"/>
      <c r="G26" s="1" t="str">
        <f>Inputs!$I$6</f>
        <v>£m 2024 prices</v>
      </c>
      <c r="H26" s="1"/>
      <c r="I26" s="55"/>
      <c r="J26" s="80"/>
      <c r="K26" s="136">
        <f t="shared" ref="K26:AX26" si="5">SUM(K24:K25)</f>
        <v>10.060738678566178</v>
      </c>
      <c r="L26" s="136">
        <f t="shared" si="5"/>
        <v>164.47212738577926</v>
      </c>
      <c r="M26" s="136">
        <f t="shared" si="5"/>
        <v>319.33875364300701</v>
      </c>
      <c r="N26" s="136">
        <f t="shared" si="5"/>
        <v>479.67410584769959</v>
      </c>
      <c r="O26" s="136">
        <f t="shared" si="5"/>
        <v>0</v>
      </c>
      <c r="P26" s="136">
        <f t="shared" si="5"/>
        <v>0</v>
      </c>
      <c r="Q26" s="136">
        <f t="shared" si="5"/>
        <v>0</v>
      </c>
      <c r="R26" s="136">
        <f t="shared" si="5"/>
        <v>0</v>
      </c>
      <c r="S26" s="136">
        <f t="shared" si="5"/>
        <v>0</v>
      </c>
      <c r="T26" s="136">
        <f t="shared" si="5"/>
        <v>0</v>
      </c>
      <c r="U26" s="136">
        <f t="shared" si="5"/>
        <v>0</v>
      </c>
      <c r="V26" s="136">
        <f t="shared" si="5"/>
        <v>0</v>
      </c>
      <c r="W26" s="136">
        <f t="shared" si="5"/>
        <v>0</v>
      </c>
      <c r="X26" s="136">
        <f t="shared" si="5"/>
        <v>0</v>
      </c>
      <c r="Y26" s="136">
        <f t="shared" si="5"/>
        <v>0</v>
      </c>
      <c r="Z26" s="136">
        <f t="shared" si="5"/>
        <v>0</v>
      </c>
      <c r="AA26" s="136">
        <f t="shared" si="5"/>
        <v>0</v>
      </c>
      <c r="AB26" s="136">
        <f t="shared" si="5"/>
        <v>0</v>
      </c>
      <c r="AC26" s="136">
        <f t="shared" si="5"/>
        <v>0</v>
      </c>
      <c r="AD26" s="136">
        <f t="shared" si="5"/>
        <v>0</v>
      </c>
      <c r="AE26" s="136">
        <f t="shared" si="5"/>
        <v>0</v>
      </c>
      <c r="AF26" s="136">
        <f t="shared" si="5"/>
        <v>0</v>
      </c>
      <c r="AG26" s="136">
        <f t="shared" si="5"/>
        <v>0</v>
      </c>
      <c r="AH26" s="136">
        <f t="shared" si="5"/>
        <v>0</v>
      </c>
      <c r="AI26" s="136">
        <f t="shared" si="5"/>
        <v>0</v>
      </c>
      <c r="AJ26" s="136">
        <f t="shared" si="5"/>
        <v>0</v>
      </c>
      <c r="AK26" s="136">
        <f t="shared" si="5"/>
        <v>0</v>
      </c>
      <c r="AL26" s="136">
        <f t="shared" si="5"/>
        <v>0</v>
      </c>
      <c r="AM26" s="136">
        <f t="shared" si="5"/>
        <v>0</v>
      </c>
      <c r="AN26" s="136">
        <f t="shared" si="5"/>
        <v>0</v>
      </c>
      <c r="AO26" s="136">
        <f t="shared" si="5"/>
        <v>0</v>
      </c>
      <c r="AP26" s="136">
        <f t="shared" si="5"/>
        <v>0</v>
      </c>
      <c r="AQ26" s="136">
        <f t="shared" si="5"/>
        <v>0</v>
      </c>
      <c r="AR26" s="136">
        <f t="shared" si="5"/>
        <v>0</v>
      </c>
      <c r="AS26" s="136">
        <f t="shared" si="5"/>
        <v>0</v>
      </c>
      <c r="AT26" s="136">
        <f t="shared" si="5"/>
        <v>0</v>
      </c>
      <c r="AU26" s="136">
        <f t="shared" si="5"/>
        <v>0</v>
      </c>
      <c r="AV26" s="136">
        <f t="shared" si="5"/>
        <v>0</v>
      </c>
      <c r="AW26" s="136">
        <f t="shared" si="5"/>
        <v>0</v>
      </c>
      <c r="AX26" s="136">
        <f t="shared" si="5"/>
        <v>0</v>
      </c>
    </row>
    <row r="27" spans="1:50" customFormat="1" ht="15" customHeight="1">
      <c r="A27" s="1"/>
      <c r="B27" s="1"/>
      <c r="C27" s="1"/>
      <c r="D27" s="1"/>
      <c r="E27" s="1"/>
      <c r="F27" s="1"/>
      <c r="G27" s="1"/>
      <c r="H27" s="1"/>
      <c r="I27" s="55"/>
      <c r="J27" s="80"/>
      <c r="K27" s="80"/>
      <c r="L27" s="80"/>
      <c r="M27" s="80"/>
      <c r="N27" s="80"/>
      <c r="O27" s="80"/>
      <c r="P27" s="80"/>
      <c r="Q27" s="80"/>
      <c r="R27" s="80"/>
      <c r="S27" s="1"/>
      <c r="T27" s="1"/>
      <c r="U27" s="1"/>
      <c r="V27" s="1"/>
      <c r="W27" s="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/>
    </row>
    <row r="28" spans="1:50" customFormat="1" ht="15" customHeight="1">
      <c r="A28" s="23"/>
      <c r="B28" s="12" t="s">
        <v>260</v>
      </c>
      <c r="C28" s="50"/>
      <c r="D28" s="50"/>
      <c r="E28" s="50"/>
      <c r="F28" s="51"/>
      <c r="G28" s="51"/>
      <c r="H28" s="51"/>
      <c r="I28" s="133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</row>
    <row r="29" spans="1:50" customFormat="1" ht="15" customHeight="1">
      <c r="A29" s="23"/>
      <c r="B29" s="11"/>
      <c r="C29" s="1"/>
      <c r="D29" s="1"/>
      <c r="E29" s="1"/>
      <c r="F29" s="1"/>
      <c r="G29" s="1"/>
      <c r="H29" s="1"/>
      <c r="I29" s="55"/>
      <c r="J29" s="80"/>
      <c r="K29" s="80"/>
      <c r="L29" s="80"/>
      <c r="M29" s="80"/>
      <c r="N29" s="80"/>
      <c r="O29" s="80"/>
      <c r="P29" s="80"/>
      <c r="Q29" s="80"/>
      <c r="R29" s="80"/>
      <c r="S29" s="1"/>
      <c r="T29" s="1"/>
      <c r="U29" s="1"/>
      <c r="V29" s="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</row>
    <row r="30" spans="1:50" customFormat="1" ht="15" customHeight="1">
      <c r="A30" s="23"/>
      <c r="B30" s="1"/>
      <c r="C30" s="56" t="s">
        <v>76</v>
      </c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</row>
    <row r="31" spans="1:50" customFormat="1" ht="15" customHeight="1">
      <c r="A31" s="23"/>
      <c r="B31" s="1"/>
      <c r="C31" s="1"/>
      <c r="D31" s="1"/>
      <c r="E31" s="1"/>
      <c r="F31" s="1"/>
      <c r="G31" s="1"/>
      <c r="H31" s="1"/>
      <c r="I31" s="55"/>
      <c r="J31" s="80"/>
      <c r="K31" s="80"/>
      <c r="L31" s="80"/>
      <c r="M31" s="80"/>
      <c r="N31" s="80"/>
      <c r="O31" s="80"/>
      <c r="P31" s="80"/>
      <c r="Q31" s="80"/>
      <c r="R31" s="80"/>
      <c r="S31" s="1"/>
      <c r="T31" s="1"/>
      <c r="U31" s="1"/>
      <c r="V31" s="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</row>
    <row r="32" spans="1:50" customFormat="1" ht="15" customHeight="1">
      <c r="A32" s="92"/>
      <c r="B32" s="1"/>
      <c r="C32" s="1"/>
      <c r="D32" s="10"/>
      <c r="E32" s="80" t="s">
        <v>271</v>
      </c>
      <c r="F32" s="1"/>
      <c r="G32" s="11" t="str">
        <f>Inputs!$I$6</f>
        <v>£m 2024 prices</v>
      </c>
      <c r="H32" s="1"/>
      <c r="I32" s="55"/>
      <c r="J32" s="80"/>
      <c r="K32" s="134"/>
      <c r="L32" s="138">
        <f t="shared" ref="L32:AX32" si="6">K36</f>
        <v>10</v>
      </c>
      <c r="M32" s="138">
        <f t="shared" si="6"/>
        <v>0</v>
      </c>
      <c r="N32" s="138">
        <f t="shared" si="6"/>
        <v>0</v>
      </c>
      <c r="O32" s="138">
        <f t="shared" si="6"/>
        <v>0</v>
      </c>
      <c r="P32" s="138">
        <f t="shared" si="6"/>
        <v>0</v>
      </c>
      <c r="Q32" s="138">
        <f t="shared" si="6"/>
        <v>0</v>
      </c>
      <c r="R32" s="138">
        <f t="shared" si="6"/>
        <v>0</v>
      </c>
      <c r="S32" s="138">
        <f t="shared" si="6"/>
        <v>0</v>
      </c>
      <c r="T32" s="138">
        <f t="shared" si="6"/>
        <v>0</v>
      </c>
      <c r="U32" s="138">
        <f t="shared" si="6"/>
        <v>0</v>
      </c>
      <c r="V32" s="138">
        <f t="shared" si="6"/>
        <v>0</v>
      </c>
      <c r="W32" s="138">
        <f t="shared" si="6"/>
        <v>0</v>
      </c>
      <c r="X32" s="138">
        <f t="shared" si="6"/>
        <v>0</v>
      </c>
      <c r="Y32" s="138">
        <f t="shared" si="6"/>
        <v>0</v>
      </c>
      <c r="Z32" s="138">
        <f t="shared" si="6"/>
        <v>0</v>
      </c>
      <c r="AA32" s="138">
        <f t="shared" si="6"/>
        <v>0</v>
      </c>
      <c r="AB32" s="138">
        <f t="shared" si="6"/>
        <v>0</v>
      </c>
      <c r="AC32" s="138">
        <f t="shared" si="6"/>
        <v>0</v>
      </c>
      <c r="AD32" s="138">
        <f t="shared" si="6"/>
        <v>0</v>
      </c>
      <c r="AE32" s="138">
        <f t="shared" si="6"/>
        <v>0</v>
      </c>
      <c r="AF32" s="138">
        <f t="shared" si="6"/>
        <v>0</v>
      </c>
      <c r="AG32" s="138">
        <f t="shared" si="6"/>
        <v>0</v>
      </c>
      <c r="AH32" s="138">
        <f t="shared" si="6"/>
        <v>0</v>
      </c>
      <c r="AI32" s="138">
        <f t="shared" si="6"/>
        <v>0</v>
      </c>
      <c r="AJ32" s="138">
        <f t="shared" si="6"/>
        <v>0</v>
      </c>
      <c r="AK32" s="138">
        <f t="shared" si="6"/>
        <v>0</v>
      </c>
      <c r="AL32" s="138">
        <f t="shared" si="6"/>
        <v>0</v>
      </c>
      <c r="AM32" s="138">
        <f t="shared" si="6"/>
        <v>0</v>
      </c>
      <c r="AN32" s="138">
        <f t="shared" si="6"/>
        <v>0</v>
      </c>
      <c r="AO32" s="138">
        <f t="shared" si="6"/>
        <v>0</v>
      </c>
      <c r="AP32" s="138">
        <f t="shared" si="6"/>
        <v>0</v>
      </c>
      <c r="AQ32" s="138">
        <f t="shared" si="6"/>
        <v>0</v>
      </c>
      <c r="AR32" s="138">
        <f t="shared" si="6"/>
        <v>0</v>
      </c>
      <c r="AS32" s="138">
        <f t="shared" si="6"/>
        <v>0</v>
      </c>
      <c r="AT32" s="138">
        <f t="shared" si="6"/>
        <v>0</v>
      </c>
      <c r="AU32" s="138">
        <f t="shared" si="6"/>
        <v>0</v>
      </c>
      <c r="AV32" s="138">
        <f t="shared" si="6"/>
        <v>0</v>
      </c>
      <c r="AW32" s="138">
        <f t="shared" si="6"/>
        <v>0</v>
      </c>
      <c r="AX32" s="138">
        <f t="shared" si="6"/>
        <v>0</v>
      </c>
    </row>
    <row r="33" spans="1:52" ht="15" customHeight="1">
      <c r="A33" s="92"/>
      <c r="B33" s="1"/>
      <c r="C33" s="1"/>
      <c r="D33" s="1"/>
      <c r="E33" s="1" t="s">
        <v>76</v>
      </c>
      <c r="F33" s="1"/>
      <c r="G33" s="11" t="str">
        <f>Inputs!$I$6</f>
        <v>£m 2024 prices</v>
      </c>
      <c r="H33" s="1"/>
      <c r="I33" s="55"/>
      <c r="J33" s="80"/>
      <c r="K33" s="1">
        <f>Inputs!K15</f>
        <v>10</v>
      </c>
      <c r="L33" s="1">
        <f>Inputs!L15</f>
        <v>5</v>
      </c>
      <c r="M33" s="1">
        <f>Inputs!M15</f>
        <v>0</v>
      </c>
      <c r="N33" s="1">
        <f>Inputs!N15</f>
        <v>0</v>
      </c>
      <c r="O33" s="1">
        <f>Inputs!O15</f>
        <v>0</v>
      </c>
      <c r="P33" s="1">
        <f>Inputs!P15</f>
        <v>0</v>
      </c>
      <c r="Q33" s="1">
        <f>Inputs!Q15</f>
        <v>0</v>
      </c>
      <c r="R33" s="1">
        <f>Inputs!R15</f>
        <v>0</v>
      </c>
      <c r="S33" s="1">
        <f>Inputs!S15</f>
        <v>0</v>
      </c>
      <c r="T33" s="1">
        <f>Inputs!T15</f>
        <v>0</v>
      </c>
      <c r="U33" s="1">
        <f>Inputs!U15</f>
        <v>0</v>
      </c>
      <c r="V33" s="1">
        <f>Inputs!V15</f>
        <v>0</v>
      </c>
      <c r="W33" s="1">
        <f>Inputs!W15</f>
        <v>0</v>
      </c>
      <c r="X33" s="1">
        <f>Inputs!X15</f>
        <v>0</v>
      </c>
      <c r="Y33" s="1">
        <f>Inputs!Y15</f>
        <v>0</v>
      </c>
      <c r="Z33" s="1">
        <f>Inputs!Z15</f>
        <v>0</v>
      </c>
      <c r="AA33" s="1">
        <f>Inputs!AA15</f>
        <v>0</v>
      </c>
      <c r="AB33" s="1">
        <f>Inputs!AB15</f>
        <v>0</v>
      </c>
      <c r="AC33" s="1">
        <f>Inputs!AC15</f>
        <v>0</v>
      </c>
      <c r="AD33" s="1">
        <f>Inputs!AD15</f>
        <v>0</v>
      </c>
      <c r="AE33" s="1">
        <f>Inputs!AE15</f>
        <v>0</v>
      </c>
      <c r="AF33" s="1">
        <f>Inputs!AF15</f>
        <v>0</v>
      </c>
      <c r="AG33" s="1">
        <f>Inputs!AG15</f>
        <v>0</v>
      </c>
      <c r="AH33" s="1">
        <f>Inputs!AH15</f>
        <v>0</v>
      </c>
      <c r="AI33" s="1">
        <f>Inputs!AI15</f>
        <v>0</v>
      </c>
      <c r="AJ33" s="1">
        <f>Inputs!AJ15</f>
        <v>0</v>
      </c>
      <c r="AK33" s="1">
        <f>Inputs!AK15</f>
        <v>0</v>
      </c>
      <c r="AL33" s="1">
        <f>Inputs!AL15</f>
        <v>0</v>
      </c>
      <c r="AM33" s="1">
        <f>Inputs!AM15</f>
        <v>0</v>
      </c>
      <c r="AN33" s="1">
        <f>Inputs!AN15</f>
        <v>0</v>
      </c>
      <c r="AO33" s="1">
        <f>Inputs!AO15</f>
        <v>0</v>
      </c>
      <c r="AP33" s="1">
        <f>Inputs!AP15</f>
        <v>0</v>
      </c>
      <c r="AQ33" s="1">
        <f>Inputs!AQ15</f>
        <v>0</v>
      </c>
      <c r="AR33" s="1">
        <f>Inputs!AR15</f>
        <v>0</v>
      </c>
      <c r="AS33" s="1">
        <f>Inputs!AS15</f>
        <v>0</v>
      </c>
      <c r="AT33" s="1">
        <f>Inputs!AT15</f>
        <v>0</v>
      </c>
      <c r="AU33" s="1">
        <f>Inputs!AU15</f>
        <v>0</v>
      </c>
      <c r="AV33" s="1">
        <f>Inputs!AV15</f>
        <v>0</v>
      </c>
      <c r="AW33" s="1">
        <f>Inputs!AW15</f>
        <v>0</v>
      </c>
      <c r="AX33" s="1">
        <f>Inputs!AX15</f>
        <v>0</v>
      </c>
      <c r="AZ33"/>
    </row>
    <row r="34" spans="1:52" ht="12.95">
      <c r="A34" s="92"/>
      <c r="B34" s="1"/>
      <c r="C34" s="1"/>
      <c r="D34" s="1"/>
      <c r="E34" s="80" t="s">
        <v>272</v>
      </c>
      <c r="F34" s="1"/>
      <c r="G34" s="11" t="str">
        <f>Inputs!$I$6</f>
        <v>£m 2024 prices</v>
      </c>
      <c r="H34" s="1"/>
      <c r="I34" s="55"/>
      <c r="J34" s="80"/>
      <c r="K34" s="136">
        <f t="shared" ref="K34:AX34" si="7">SUM(K32:K33)</f>
        <v>10</v>
      </c>
      <c r="L34" s="136">
        <f t="shared" si="7"/>
        <v>15</v>
      </c>
      <c r="M34" s="136">
        <f t="shared" si="7"/>
        <v>0</v>
      </c>
      <c r="N34" s="136">
        <f t="shared" si="7"/>
        <v>0</v>
      </c>
      <c r="O34" s="136">
        <f t="shared" si="7"/>
        <v>0</v>
      </c>
      <c r="P34" s="136">
        <f t="shared" si="7"/>
        <v>0</v>
      </c>
      <c r="Q34" s="136">
        <f t="shared" si="7"/>
        <v>0</v>
      </c>
      <c r="R34" s="136">
        <f t="shared" si="7"/>
        <v>0</v>
      </c>
      <c r="S34" s="136">
        <f t="shared" si="7"/>
        <v>0</v>
      </c>
      <c r="T34" s="136">
        <f t="shared" si="7"/>
        <v>0</v>
      </c>
      <c r="U34" s="136">
        <f t="shared" si="7"/>
        <v>0</v>
      </c>
      <c r="V34" s="136">
        <f t="shared" si="7"/>
        <v>0</v>
      </c>
      <c r="W34" s="136">
        <f t="shared" si="7"/>
        <v>0</v>
      </c>
      <c r="X34" s="136">
        <f t="shared" si="7"/>
        <v>0</v>
      </c>
      <c r="Y34" s="136">
        <f t="shared" si="7"/>
        <v>0</v>
      </c>
      <c r="Z34" s="136">
        <f t="shared" si="7"/>
        <v>0</v>
      </c>
      <c r="AA34" s="136">
        <f t="shared" si="7"/>
        <v>0</v>
      </c>
      <c r="AB34" s="136">
        <f t="shared" si="7"/>
        <v>0</v>
      </c>
      <c r="AC34" s="136">
        <f t="shared" si="7"/>
        <v>0</v>
      </c>
      <c r="AD34" s="136">
        <f t="shared" si="7"/>
        <v>0</v>
      </c>
      <c r="AE34" s="136">
        <f t="shared" si="7"/>
        <v>0</v>
      </c>
      <c r="AF34" s="136">
        <f t="shared" si="7"/>
        <v>0</v>
      </c>
      <c r="AG34" s="136">
        <f t="shared" si="7"/>
        <v>0</v>
      </c>
      <c r="AH34" s="136">
        <f t="shared" si="7"/>
        <v>0</v>
      </c>
      <c r="AI34" s="136">
        <f t="shared" si="7"/>
        <v>0</v>
      </c>
      <c r="AJ34" s="136">
        <f t="shared" si="7"/>
        <v>0</v>
      </c>
      <c r="AK34" s="136">
        <f t="shared" si="7"/>
        <v>0</v>
      </c>
      <c r="AL34" s="136">
        <f t="shared" si="7"/>
        <v>0</v>
      </c>
      <c r="AM34" s="136">
        <f t="shared" si="7"/>
        <v>0</v>
      </c>
      <c r="AN34" s="136">
        <f t="shared" si="7"/>
        <v>0</v>
      </c>
      <c r="AO34" s="136">
        <f t="shared" si="7"/>
        <v>0</v>
      </c>
      <c r="AP34" s="136">
        <f t="shared" si="7"/>
        <v>0</v>
      </c>
      <c r="AQ34" s="136">
        <f t="shared" si="7"/>
        <v>0</v>
      </c>
      <c r="AR34" s="136">
        <f t="shared" si="7"/>
        <v>0</v>
      </c>
      <c r="AS34" s="136">
        <f t="shared" si="7"/>
        <v>0</v>
      </c>
      <c r="AT34" s="136">
        <f t="shared" si="7"/>
        <v>0</v>
      </c>
      <c r="AU34" s="136">
        <f t="shared" si="7"/>
        <v>0</v>
      </c>
      <c r="AV34" s="136">
        <f t="shared" si="7"/>
        <v>0</v>
      </c>
      <c r="AW34" s="136">
        <f t="shared" si="7"/>
        <v>0</v>
      </c>
      <c r="AX34" s="136">
        <f t="shared" si="7"/>
        <v>0</v>
      </c>
      <c r="AZ34"/>
    </row>
    <row r="35" spans="1:52" ht="15" customHeight="1">
      <c r="A35" s="92"/>
      <c r="B35" s="1"/>
      <c r="C35" s="1"/>
      <c r="D35" s="1"/>
      <c r="E35" s="80" t="s">
        <v>273</v>
      </c>
      <c r="F35" s="1"/>
      <c r="G35" s="11" t="str">
        <f>Inputs!$I$6</f>
        <v>£m 2024 prices</v>
      </c>
      <c r="H35" s="1"/>
      <c r="I35" s="55"/>
      <c r="J35" s="80"/>
      <c r="K35" s="1">
        <f>-K34*K13</f>
        <v>0</v>
      </c>
      <c r="L35" s="1">
        <f t="shared" ref="L35:AX35" si="8">-L34*L13</f>
        <v>-15</v>
      </c>
      <c r="M35" s="1">
        <f t="shared" si="8"/>
        <v>0</v>
      </c>
      <c r="N35" s="1">
        <f t="shared" si="8"/>
        <v>0</v>
      </c>
      <c r="O35" s="1">
        <f t="shared" si="8"/>
        <v>0</v>
      </c>
      <c r="P35" s="1">
        <f t="shared" si="8"/>
        <v>0</v>
      </c>
      <c r="Q35" s="1">
        <f t="shared" si="8"/>
        <v>0</v>
      </c>
      <c r="R35" s="1">
        <f t="shared" si="8"/>
        <v>0</v>
      </c>
      <c r="S35" s="1">
        <f t="shared" si="8"/>
        <v>0</v>
      </c>
      <c r="T35" s="1">
        <f t="shared" si="8"/>
        <v>0</v>
      </c>
      <c r="U35" s="1">
        <f t="shared" si="8"/>
        <v>0</v>
      </c>
      <c r="V35" s="1">
        <f t="shared" si="8"/>
        <v>0</v>
      </c>
      <c r="W35" s="1">
        <f t="shared" si="8"/>
        <v>0</v>
      </c>
      <c r="X35" s="1">
        <f t="shared" si="8"/>
        <v>0</v>
      </c>
      <c r="Y35" s="1">
        <f t="shared" si="8"/>
        <v>0</v>
      </c>
      <c r="Z35" s="1">
        <f t="shared" si="8"/>
        <v>0</v>
      </c>
      <c r="AA35" s="1">
        <f t="shared" si="8"/>
        <v>0</v>
      </c>
      <c r="AB35" s="1">
        <f t="shared" si="8"/>
        <v>0</v>
      </c>
      <c r="AC35" s="1">
        <f t="shared" si="8"/>
        <v>0</v>
      </c>
      <c r="AD35" s="1">
        <f t="shared" si="8"/>
        <v>0</v>
      </c>
      <c r="AE35" s="1">
        <f t="shared" si="8"/>
        <v>0</v>
      </c>
      <c r="AF35" s="1">
        <f t="shared" si="8"/>
        <v>0</v>
      </c>
      <c r="AG35" s="1">
        <f t="shared" si="8"/>
        <v>0</v>
      </c>
      <c r="AH35" s="1">
        <f t="shared" si="8"/>
        <v>0</v>
      </c>
      <c r="AI35" s="1">
        <f t="shared" si="8"/>
        <v>0</v>
      </c>
      <c r="AJ35" s="1">
        <f t="shared" si="8"/>
        <v>0</v>
      </c>
      <c r="AK35" s="1">
        <f t="shared" si="8"/>
        <v>0</v>
      </c>
      <c r="AL35" s="1">
        <f t="shared" si="8"/>
        <v>0</v>
      </c>
      <c r="AM35" s="1">
        <f t="shared" si="8"/>
        <v>0</v>
      </c>
      <c r="AN35" s="1">
        <f t="shared" si="8"/>
        <v>0</v>
      </c>
      <c r="AO35" s="1">
        <f t="shared" si="8"/>
        <v>0</v>
      </c>
      <c r="AP35" s="1">
        <f t="shared" si="8"/>
        <v>0</v>
      </c>
      <c r="AQ35" s="1">
        <f t="shared" si="8"/>
        <v>0</v>
      </c>
      <c r="AR35" s="1">
        <f t="shared" si="8"/>
        <v>0</v>
      </c>
      <c r="AS35" s="1">
        <f t="shared" si="8"/>
        <v>0</v>
      </c>
      <c r="AT35" s="1">
        <f t="shared" si="8"/>
        <v>0</v>
      </c>
      <c r="AU35" s="1">
        <f t="shared" si="8"/>
        <v>0</v>
      </c>
      <c r="AV35" s="1">
        <f t="shared" si="8"/>
        <v>0</v>
      </c>
      <c r="AW35" s="1">
        <f t="shared" si="8"/>
        <v>0</v>
      </c>
      <c r="AX35" s="1">
        <f t="shared" si="8"/>
        <v>0</v>
      </c>
      <c r="AZ35"/>
    </row>
    <row r="36" spans="1:52" ht="12.95">
      <c r="A36" s="92"/>
      <c r="B36" s="1"/>
      <c r="C36" s="1"/>
      <c r="D36" s="1"/>
      <c r="E36" s="137" t="s">
        <v>274</v>
      </c>
      <c r="F36" s="1"/>
      <c r="G36" s="11" t="str">
        <f>Inputs!$I$6</f>
        <v>£m 2024 prices</v>
      </c>
      <c r="H36" s="1"/>
      <c r="I36" s="55"/>
      <c r="J36" s="80"/>
      <c r="K36" s="136">
        <f t="shared" ref="K36:AX36" si="9">SUM(K34:K35)</f>
        <v>10</v>
      </c>
      <c r="L36" s="136">
        <f t="shared" si="9"/>
        <v>0</v>
      </c>
      <c r="M36" s="136">
        <f t="shared" si="9"/>
        <v>0</v>
      </c>
      <c r="N36" s="136">
        <f t="shared" si="9"/>
        <v>0</v>
      </c>
      <c r="O36" s="136">
        <f t="shared" si="9"/>
        <v>0</v>
      </c>
      <c r="P36" s="136">
        <f t="shared" si="9"/>
        <v>0</v>
      </c>
      <c r="Q36" s="136">
        <f t="shared" si="9"/>
        <v>0</v>
      </c>
      <c r="R36" s="136">
        <f t="shared" si="9"/>
        <v>0</v>
      </c>
      <c r="S36" s="136">
        <f t="shared" si="9"/>
        <v>0</v>
      </c>
      <c r="T36" s="136">
        <f t="shared" si="9"/>
        <v>0</v>
      </c>
      <c r="U36" s="136">
        <f t="shared" si="9"/>
        <v>0</v>
      </c>
      <c r="V36" s="136">
        <f t="shared" si="9"/>
        <v>0</v>
      </c>
      <c r="W36" s="136">
        <f t="shared" si="9"/>
        <v>0</v>
      </c>
      <c r="X36" s="136">
        <f t="shared" si="9"/>
        <v>0</v>
      </c>
      <c r="Y36" s="136">
        <f t="shared" si="9"/>
        <v>0</v>
      </c>
      <c r="Z36" s="136">
        <f t="shared" si="9"/>
        <v>0</v>
      </c>
      <c r="AA36" s="136">
        <f t="shared" si="9"/>
        <v>0</v>
      </c>
      <c r="AB36" s="136">
        <f t="shared" si="9"/>
        <v>0</v>
      </c>
      <c r="AC36" s="136">
        <f t="shared" si="9"/>
        <v>0</v>
      </c>
      <c r="AD36" s="136">
        <f t="shared" si="9"/>
        <v>0</v>
      </c>
      <c r="AE36" s="136">
        <f t="shared" si="9"/>
        <v>0</v>
      </c>
      <c r="AF36" s="136">
        <f t="shared" si="9"/>
        <v>0</v>
      </c>
      <c r="AG36" s="136">
        <f t="shared" si="9"/>
        <v>0</v>
      </c>
      <c r="AH36" s="136">
        <f t="shared" si="9"/>
        <v>0</v>
      </c>
      <c r="AI36" s="136">
        <f t="shared" si="9"/>
        <v>0</v>
      </c>
      <c r="AJ36" s="136">
        <f t="shared" si="9"/>
        <v>0</v>
      </c>
      <c r="AK36" s="136">
        <f t="shared" si="9"/>
        <v>0</v>
      </c>
      <c r="AL36" s="136">
        <f t="shared" si="9"/>
        <v>0</v>
      </c>
      <c r="AM36" s="136">
        <f t="shared" si="9"/>
        <v>0</v>
      </c>
      <c r="AN36" s="136">
        <f t="shared" si="9"/>
        <v>0</v>
      </c>
      <c r="AO36" s="136">
        <f t="shared" si="9"/>
        <v>0</v>
      </c>
      <c r="AP36" s="136">
        <f t="shared" si="9"/>
        <v>0</v>
      </c>
      <c r="AQ36" s="136">
        <f t="shared" si="9"/>
        <v>0</v>
      </c>
      <c r="AR36" s="136">
        <f t="shared" si="9"/>
        <v>0</v>
      </c>
      <c r="AS36" s="136">
        <f t="shared" si="9"/>
        <v>0</v>
      </c>
      <c r="AT36" s="136">
        <f t="shared" si="9"/>
        <v>0</v>
      </c>
      <c r="AU36" s="136">
        <f t="shared" si="9"/>
        <v>0</v>
      </c>
      <c r="AV36" s="136">
        <f t="shared" si="9"/>
        <v>0</v>
      </c>
      <c r="AW36" s="136">
        <f t="shared" si="9"/>
        <v>0</v>
      </c>
      <c r="AX36" s="136">
        <f t="shared" si="9"/>
        <v>0</v>
      </c>
      <c r="AZ36"/>
    </row>
    <row r="37" spans="1:52" ht="15" customHeight="1">
      <c r="A37" s="92"/>
      <c r="B37" s="1"/>
      <c r="C37" s="1"/>
      <c r="D37" s="1"/>
      <c r="E37" s="1"/>
      <c r="F37" s="1"/>
      <c r="G37" s="1"/>
      <c r="H37" s="1"/>
      <c r="I37" s="55"/>
      <c r="J37" s="80"/>
      <c r="K37" s="80"/>
      <c r="L37" s="80"/>
      <c r="M37" s="80"/>
      <c r="N37" s="80"/>
      <c r="O37" s="80"/>
      <c r="P37" s="80"/>
      <c r="Q37" s="80"/>
      <c r="R37" s="80"/>
      <c r="S37" s="1"/>
      <c r="T37" s="1"/>
      <c r="U37" s="1"/>
      <c r="V37" s="1"/>
      <c r="W37" s="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Z37"/>
    </row>
    <row r="38" spans="1:52" ht="15" customHeight="1">
      <c r="A38" s="23"/>
      <c r="B38" s="1"/>
      <c r="C38" s="56" t="s">
        <v>275</v>
      </c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Z38"/>
    </row>
    <row r="39" spans="1:52" ht="15" customHeight="1">
      <c r="A39" s="23"/>
      <c r="B39" s="1"/>
      <c r="C39" s="1"/>
      <c r="D39" s="1"/>
      <c r="E39" s="1"/>
      <c r="F39" s="1"/>
      <c r="G39" s="1"/>
      <c r="H39" s="1"/>
      <c r="I39" s="55"/>
      <c r="J39" s="80"/>
      <c r="K39" s="80"/>
      <c r="L39" s="80"/>
      <c r="M39" s="80"/>
      <c r="N39" s="80"/>
      <c r="O39" s="80"/>
      <c r="P39" s="80"/>
      <c r="Q39" s="80"/>
      <c r="R39" s="80"/>
      <c r="S39" s="1"/>
      <c r="T39" s="1"/>
      <c r="U39" s="1"/>
      <c r="V39" s="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Z39"/>
    </row>
    <row r="40" spans="1:52" ht="15" customHeight="1">
      <c r="A40" s="92"/>
      <c r="B40" s="1"/>
      <c r="C40" s="1"/>
      <c r="D40" s="10"/>
      <c r="E40" s="80" t="s">
        <v>276</v>
      </c>
      <c r="F40" s="1"/>
      <c r="G40" s="11" t="str">
        <f>Inputs!$I$6</f>
        <v>£m 2024 prices</v>
      </c>
      <c r="H40" s="1"/>
      <c r="I40" s="55"/>
      <c r="J40" s="80"/>
      <c r="K40" s="134"/>
      <c r="L40" s="138">
        <f t="shared" ref="L40:AX40" si="10">K48</f>
        <v>0</v>
      </c>
      <c r="M40" s="138">
        <f t="shared" si="10"/>
        <v>185.76505</v>
      </c>
      <c r="N40" s="138">
        <f t="shared" si="10"/>
        <v>354.98009999999999</v>
      </c>
      <c r="O40" s="138">
        <f t="shared" si="10"/>
        <v>532.05515000000003</v>
      </c>
      <c r="P40" s="138">
        <f t="shared" si="10"/>
        <v>563.06020000000001</v>
      </c>
      <c r="Q40" s="138">
        <f t="shared" si="10"/>
        <v>593.06524999999999</v>
      </c>
      <c r="R40" s="138">
        <f t="shared" si="10"/>
        <v>0</v>
      </c>
      <c r="S40" s="138">
        <f t="shared" si="10"/>
        <v>0</v>
      </c>
      <c r="T40" s="138">
        <f t="shared" si="10"/>
        <v>0</v>
      </c>
      <c r="U40" s="138">
        <f t="shared" si="10"/>
        <v>0</v>
      </c>
      <c r="V40" s="138">
        <f t="shared" si="10"/>
        <v>0</v>
      </c>
      <c r="W40" s="138">
        <f t="shared" si="10"/>
        <v>0</v>
      </c>
      <c r="X40" s="138">
        <f t="shared" si="10"/>
        <v>0</v>
      </c>
      <c r="Y40" s="138">
        <f t="shared" si="10"/>
        <v>0</v>
      </c>
      <c r="Z40" s="138">
        <f t="shared" si="10"/>
        <v>0</v>
      </c>
      <c r="AA40" s="138">
        <f t="shared" si="10"/>
        <v>0</v>
      </c>
      <c r="AB40" s="138">
        <f t="shared" si="10"/>
        <v>0</v>
      </c>
      <c r="AC40" s="138">
        <f t="shared" si="10"/>
        <v>0</v>
      </c>
      <c r="AD40" s="138">
        <f t="shared" si="10"/>
        <v>0</v>
      </c>
      <c r="AE40" s="138">
        <f t="shared" si="10"/>
        <v>0</v>
      </c>
      <c r="AF40" s="138">
        <f t="shared" si="10"/>
        <v>0</v>
      </c>
      <c r="AG40" s="138">
        <f t="shared" si="10"/>
        <v>0</v>
      </c>
      <c r="AH40" s="138">
        <f t="shared" si="10"/>
        <v>0</v>
      </c>
      <c r="AI40" s="138">
        <f t="shared" si="10"/>
        <v>0</v>
      </c>
      <c r="AJ40" s="138">
        <f t="shared" si="10"/>
        <v>0</v>
      </c>
      <c r="AK40" s="138">
        <f t="shared" si="10"/>
        <v>0</v>
      </c>
      <c r="AL40" s="138">
        <f t="shared" si="10"/>
        <v>0</v>
      </c>
      <c r="AM40" s="138">
        <f t="shared" si="10"/>
        <v>0</v>
      </c>
      <c r="AN40" s="138">
        <f t="shared" si="10"/>
        <v>0</v>
      </c>
      <c r="AO40" s="138">
        <f t="shared" si="10"/>
        <v>0</v>
      </c>
      <c r="AP40" s="138">
        <f t="shared" si="10"/>
        <v>0</v>
      </c>
      <c r="AQ40" s="138">
        <f t="shared" si="10"/>
        <v>0</v>
      </c>
      <c r="AR40" s="138">
        <f t="shared" si="10"/>
        <v>0</v>
      </c>
      <c r="AS40" s="138">
        <f t="shared" si="10"/>
        <v>0</v>
      </c>
      <c r="AT40" s="138">
        <f t="shared" si="10"/>
        <v>0</v>
      </c>
      <c r="AU40" s="138">
        <f t="shared" si="10"/>
        <v>0</v>
      </c>
      <c r="AV40" s="138">
        <f t="shared" si="10"/>
        <v>0</v>
      </c>
      <c r="AW40" s="138">
        <f t="shared" si="10"/>
        <v>0</v>
      </c>
      <c r="AX40" s="138">
        <f t="shared" si="10"/>
        <v>0</v>
      </c>
      <c r="AZ40"/>
    </row>
    <row r="41" spans="1:52" ht="15" customHeight="1">
      <c r="A41" s="92"/>
      <c r="B41" s="1"/>
      <c r="C41" s="1"/>
      <c r="D41" s="1"/>
      <c r="E41" s="80" t="s">
        <v>273</v>
      </c>
      <c r="F41" s="1"/>
      <c r="G41" s="11" t="str">
        <f>Inputs!$I$6</f>
        <v>£m 2024 prices</v>
      </c>
      <c r="H41" s="1"/>
      <c r="I41" s="55"/>
      <c r="J41" s="80"/>
      <c r="K41" s="1">
        <f t="shared" ref="K41:AX41" si="11">-K35</f>
        <v>0</v>
      </c>
      <c r="L41" s="1">
        <f t="shared" si="11"/>
        <v>15</v>
      </c>
      <c r="M41" s="1">
        <f t="shared" si="11"/>
        <v>0</v>
      </c>
      <c r="N41" s="1">
        <f t="shared" si="11"/>
        <v>0</v>
      </c>
      <c r="O41" s="1">
        <f t="shared" si="11"/>
        <v>0</v>
      </c>
      <c r="P41" s="1">
        <f t="shared" si="11"/>
        <v>0</v>
      </c>
      <c r="Q41" s="1">
        <f t="shared" si="11"/>
        <v>0</v>
      </c>
      <c r="R41" s="1">
        <f t="shared" si="11"/>
        <v>0</v>
      </c>
      <c r="S41" s="1">
        <f t="shared" si="11"/>
        <v>0</v>
      </c>
      <c r="T41" s="1">
        <f t="shared" si="11"/>
        <v>0</v>
      </c>
      <c r="U41" s="1">
        <f t="shared" si="11"/>
        <v>0</v>
      </c>
      <c r="V41" s="1">
        <f t="shared" si="11"/>
        <v>0</v>
      </c>
      <c r="W41" s="1">
        <f t="shared" si="11"/>
        <v>0</v>
      </c>
      <c r="X41" s="1">
        <f t="shared" si="11"/>
        <v>0</v>
      </c>
      <c r="Y41" s="1">
        <f t="shared" si="11"/>
        <v>0</v>
      </c>
      <c r="Z41" s="1">
        <f t="shared" si="11"/>
        <v>0</v>
      </c>
      <c r="AA41" s="1">
        <f t="shared" si="11"/>
        <v>0</v>
      </c>
      <c r="AB41" s="1">
        <f t="shared" si="11"/>
        <v>0</v>
      </c>
      <c r="AC41" s="1">
        <f t="shared" si="11"/>
        <v>0</v>
      </c>
      <c r="AD41" s="1">
        <f t="shared" si="11"/>
        <v>0</v>
      </c>
      <c r="AE41" s="1">
        <f t="shared" si="11"/>
        <v>0</v>
      </c>
      <c r="AF41" s="1">
        <f t="shared" si="11"/>
        <v>0</v>
      </c>
      <c r="AG41" s="1">
        <f t="shared" si="11"/>
        <v>0</v>
      </c>
      <c r="AH41" s="1">
        <f t="shared" si="11"/>
        <v>0</v>
      </c>
      <c r="AI41" s="1">
        <f t="shared" si="11"/>
        <v>0</v>
      </c>
      <c r="AJ41" s="1">
        <f t="shared" si="11"/>
        <v>0</v>
      </c>
      <c r="AK41" s="1">
        <f t="shared" si="11"/>
        <v>0</v>
      </c>
      <c r="AL41" s="1">
        <f t="shared" si="11"/>
        <v>0</v>
      </c>
      <c r="AM41" s="1">
        <f t="shared" si="11"/>
        <v>0</v>
      </c>
      <c r="AN41" s="1">
        <f t="shared" si="11"/>
        <v>0</v>
      </c>
      <c r="AO41" s="1">
        <f t="shared" si="11"/>
        <v>0</v>
      </c>
      <c r="AP41" s="1">
        <f t="shared" si="11"/>
        <v>0</v>
      </c>
      <c r="AQ41" s="1">
        <f t="shared" si="11"/>
        <v>0</v>
      </c>
      <c r="AR41" s="1">
        <f t="shared" si="11"/>
        <v>0</v>
      </c>
      <c r="AS41" s="1">
        <f t="shared" si="11"/>
        <v>0</v>
      </c>
      <c r="AT41" s="1">
        <f t="shared" si="11"/>
        <v>0</v>
      </c>
      <c r="AU41" s="1">
        <f t="shared" si="11"/>
        <v>0</v>
      </c>
      <c r="AV41" s="1">
        <f t="shared" si="11"/>
        <v>0</v>
      </c>
      <c r="AW41" s="1">
        <f t="shared" si="11"/>
        <v>0</v>
      </c>
      <c r="AX41" s="1">
        <f t="shared" si="11"/>
        <v>0</v>
      </c>
      <c r="AZ41"/>
    </row>
    <row r="42" spans="1:52" ht="15" customHeight="1">
      <c r="A42" s="92"/>
      <c r="B42" s="1"/>
      <c r="C42" s="1"/>
      <c r="D42" s="1"/>
      <c r="E42" s="1" t="s">
        <v>78</v>
      </c>
      <c r="F42" s="1"/>
      <c r="G42" s="11" t="str">
        <f>Inputs!$I$6</f>
        <v>£m 2024 prices</v>
      </c>
      <c r="H42" s="1"/>
      <c r="I42" s="55"/>
      <c r="J42" s="80"/>
      <c r="K42" s="1">
        <f>Inputs!K16</f>
        <v>0</v>
      </c>
      <c r="L42" s="1">
        <f>Inputs!L16</f>
        <v>150</v>
      </c>
      <c r="M42" s="1">
        <f>Inputs!M16</f>
        <v>150</v>
      </c>
      <c r="N42" s="1">
        <f>Inputs!N16</f>
        <v>150</v>
      </c>
      <c r="O42" s="1">
        <f>Inputs!O16</f>
        <v>0</v>
      </c>
      <c r="P42" s="1">
        <f>Inputs!P16</f>
        <v>0</v>
      </c>
      <c r="Q42" s="1">
        <f>Inputs!Q16</f>
        <v>0</v>
      </c>
      <c r="R42" s="1">
        <f>Inputs!R16</f>
        <v>0</v>
      </c>
      <c r="S42" s="1">
        <f>Inputs!S16</f>
        <v>0</v>
      </c>
      <c r="T42" s="1">
        <f>Inputs!T16</f>
        <v>0</v>
      </c>
      <c r="U42" s="1">
        <f>Inputs!U16</f>
        <v>0</v>
      </c>
      <c r="V42" s="1">
        <f>Inputs!V16</f>
        <v>0</v>
      </c>
      <c r="W42" s="1">
        <f>Inputs!W16</f>
        <v>0</v>
      </c>
      <c r="X42" s="1">
        <f>Inputs!X16</f>
        <v>0</v>
      </c>
      <c r="Y42" s="1">
        <f>Inputs!Y16</f>
        <v>0</v>
      </c>
      <c r="Z42" s="1">
        <f>Inputs!Z16</f>
        <v>0</v>
      </c>
      <c r="AA42" s="1">
        <f>Inputs!AA16</f>
        <v>0</v>
      </c>
      <c r="AB42" s="1">
        <f>Inputs!AB16</f>
        <v>0</v>
      </c>
      <c r="AC42" s="1">
        <f>Inputs!AC16</f>
        <v>0</v>
      </c>
      <c r="AD42" s="1">
        <f>Inputs!AD16</f>
        <v>0</v>
      </c>
      <c r="AE42" s="1">
        <f>Inputs!AE16</f>
        <v>0</v>
      </c>
      <c r="AF42" s="1">
        <f>Inputs!AF16</f>
        <v>0</v>
      </c>
      <c r="AG42" s="1">
        <f>Inputs!AG16</f>
        <v>0</v>
      </c>
      <c r="AH42" s="1">
        <f>Inputs!AH16</f>
        <v>0</v>
      </c>
      <c r="AI42" s="1">
        <f>Inputs!AI16</f>
        <v>0</v>
      </c>
      <c r="AJ42" s="1">
        <f>Inputs!AJ16</f>
        <v>0</v>
      </c>
      <c r="AK42" s="1">
        <f>Inputs!AK16</f>
        <v>0</v>
      </c>
      <c r="AL42" s="1">
        <f>Inputs!AL16</f>
        <v>0</v>
      </c>
      <c r="AM42" s="1">
        <f>Inputs!AM16</f>
        <v>0</v>
      </c>
      <c r="AN42" s="1">
        <f>Inputs!AN16</f>
        <v>0</v>
      </c>
      <c r="AO42" s="1">
        <f>Inputs!AO16</f>
        <v>0</v>
      </c>
      <c r="AP42" s="1">
        <f>Inputs!AP16</f>
        <v>0</v>
      </c>
      <c r="AQ42" s="1">
        <f>Inputs!AQ16</f>
        <v>0</v>
      </c>
      <c r="AR42" s="1">
        <f>Inputs!AR16</f>
        <v>0</v>
      </c>
      <c r="AS42" s="1">
        <f>Inputs!AS16</f>
        <v>0</v>
      </c>
      <c r="AT42" s="1">
        <f>Inputs!AT16</f>
        <v>0</v>
      </c>
      <c r="AU42" s="1">
        <f>Inputs!AU16</f>
        <v>0</v>
      </c>
      <c r="AV42" s="1">
        <f>Inputs!AV16</f>
        <v>0</v>
      </c>
      <c r="AW42" s="1">
        <f>Inputs!AW16</f>
        <v>0</v>
      </c>
      <c r="AX42" s="1">
        <f>Inputs!AX16</f>
        <v>0</v>
      </c>
      <c r="AZ42"/>
    </row>
    <row r="43" spans="1:52" ht="15" customHeight="1">
      <c r="A43" s="92"/>
      <c r="B43" s="1"/>
      <c r="C43" s="1"/>
      <c r="D43" s="1"/>
      <c r="E43" s="1" t="s">
        <v>79</v>
      </c>
      <c r="F43" s="1"/>
      <c r="G43" s="11" t="str">
        <f>Inputs!$I$6</f>
        <v>£m 2024 prices</v>
      </c>
      <c r="H43" s="1"/>
      <c r="I43" s="55"/>
      <c r="J43" s="80"/>
      <c r="K43" s="1">
        <f>Inputs!K17</f>
        <v>0</v>
      </c>
      <c r="L43" s="1">
        <f>Inputs!L17</f>
        <v>1</v>
      </c>
      <c r="M43" s="1">
        <f>Inputs!M17</f>
        <v>1</v>
      </c>
      <c r="N43" s="1">
        <f>Inputs!N17</f>
        <v>1</v>
      </c>
      <c r="O43" s="1">
        <f>Inputs!O17</f>
        <v>1</v>
      </c>
      <c r="P43" s="1">
        <f>Inputs!P17</f>
        <v>0</v>
      </c>
      <c r="Q43" s="1">
        <f>Inputs!Q17</f>
        <v>0</v>
      </c>
      <c r="R43" s="1">
        <f>Inputs!R17</f>
        <v>0</v>
      </c>
      <c r="S43" s="1">
        <f>Inputs!S17</f>
        <v>0</v>
      </c>
      <c r="T43" s="1">
        <f>Inputs!T17</f>
        <v>0</v>
      </c>
      <c r="U43" s="1">
        <f>Inputs!U17</f>
        <v>0</v>
      </c>
      <c r="V43" s="1">
        <f>Inputs!V17</f>
        <v>0</v>
      </c>
      <c r="W43" s="1">
        <f>Inputs!W17</f>
        <v>0</v>
      </c>
      <c r="X43" s="1">
        <f>Inputs!X17</f>
        <v>0</v>
      </c>
      <c r="Y43" s="1">
        <f>Inputs!Y17</f>
        <v>0</v>
      </c>
      <c r="Z43" s="1">
        <f>Inputs!Z17</f>
        <v>0</v>
      </c>
      <c r="AA43" s="1">
        <f>Inputs!AA17</f>
        <v>0</v>
      </c>
      <c r="AB43" s="1">
        <f>Inputs!AB17</f>
        <v>0</v>
      </c>
      <c r="AC43" s="1">
        <f>Inputs!AC17</f>
        <v>0</v>
      </c>
      <c r="AD43" s="1">
        <f>Inputs!AD17</f>
        <v>0</v>
      </c>
      <c r="AE43" s="1">
        <f>Inputs!AE17</f>
        <v>0</v>
      </c>
      <c r="AF43" s="1">
        <f>Inputs!AF17</f>
        <v>0</v>
      </c>
      <c r="AG43" s="1">
        <f>Inputs!AG17</f>
        <v>0</v>
      </c>
      <c r="AH43" s="1">
        <f>Inputs!AH17</f>
        <v>0</v>
      </c>
      <c r="AI43" s="1">
        <f>Inputs!AI17</f>
        <v>0</v>
      </c>
      <c r="AJ43" s="1">
        <f>Inputs!AJ17</f>
        <v>0</v>
      </c>
      <c r="AK43" s="1">
        <f>Inputs!AK17</f>
        <v>0</v>
      </c>
      <c r="AL43" s="1">
        <f>Inputs!AL17</f>
        <v>0</v>
      </c>
      <c r="AM43" s="1">
        <f>Inputs!AM17</f>
        <v>0</v>
      </c>
      <c r="AN43" s="1">
        <f>Inputs!AN17</f>
        <v>0</v>
      </c>
      <c r="AO43" s="1">
        <f>Inputs!AO17</f>
        <v>0</v>
      </c>
      <c r="AP43" s="1">
        <f>Inputs!AP17</f>
        <v>0</v>
      </c>
      <c r="AQ43" s="1">
        <f>Inputs!AQ17</f>
        <v>0</v>
      </c>
      <c r="AR43" s="1">
        <f>Inputs!AR17</f>
        <v>0</v>
      </c>
      <c r="AS43" s="1">
        <f>Inputs!AS17</f>
        <v>0</v>
      </c>
      <c r="AT43" s="1">
        <f>Inputs!AT17</f>
        <v>0</v>
      </c>
      <c r="AU43" s="1">
        <f>Inputs!AU17</f>
        <v>0</v>
      </c>
      <c r="AV43" s="1">
        <f>Inputs!AV17</f>
        <v>0</v>
      </c>
      <c r="AW43" s="1">
        <f>Inputs!AW17</f>
        <v>0</v>
      </c>
      <c r="AX43" s="1">
        <f>Inputs!AX17</f>
        <v>0</v>
      </c>
      <c r="AZ43"/>
    </row>
    <row r="44" spans="1:52" ht="15" customHeight="1">
      <c r="A44" s="92"/>
      <c r="B44" s="1"/>
      <c r="C44" s="1"/>
      <c r="D44" s="1"/>
      <c r="E44" s="1" t="s">
        <v>277</v>
      </c>
      <c r="F44" s="1"/>
      <c r="G44" s="11" t="str">
        <f>Inputs!$I$6</f>
        <v>£m 2024 prices</v>
      </c>
      <c r="H44" s="1"/>
      <c r="I44" s="55"/>
      <c r="J44" s="80"/>
      <c r="K44" s="1">
        <f>Finance!K160</f>
        <v>0</v>
      </c>
      <c r="L44" s="1">
        <f>Finance!L160</f>
        <v>0</v>
      </c>
      <c r="M44" s="1">
        <f>Finance!M160</f>
        <v>0</v>
      </c>
      <c r="N44" s="1">
        <f>Finance!N160</f>
        <v>0</v>
      </c>
      <c r="O44" s="1">
        <f>Finance!O160</f>
        <v>0</v>
      </c>
      <c r="P44" s="1">
        <f>Finance!P160</f>
        <v>0</v>
      </c>
      <c r="Q44" s="1">
        <f>Finance!Q160</f>
        <v>0</v>
      </c>
      <c r="R44" s="1">
        <f>Finance!R160</f>
        <v>0</v>
      </c>
      <c r="S44" s="1">
        <f>Finance!S160</f>
        <v>0</v>
      </c>
      <c r="T44" s="1">
        <f>Finance!T160</f>
        <v>0</v>
      </c>
      <c r="U44" s="1">
        <f>Finance!U160</f>
        <v>0</v>
      </c>
      <c r="V44" s="1">
        <f>Finance!V160</f>
        <v>0</v>
      </c>
      <c r="W44" s="1">
        <f>Finance!W160</f>
        <v>0</v>
      </c>
      <c r="X44" s="1">
        <f>Finance!X160</f>
        <v>0</v>
      </c>
      <c r="Y44" s="1">
        <f>Finance!Y160</f>
        <v>0</v>
      </c>
      <c r="Z44" s="1">
        <f>Finance!Z160</f>
        <v>0</v>
      </c>
      <c r="AA44" s="1">
        <f>Finance!AA160</f>
        <v>0</v>
      </c>
      <c r="AB44" s="1">
        <f>Finance!AB160</f>
        <v>0</v>
      </c>
      <c r="AC44" s="1">
        <f>Finance!AC160</f>
        <v>0</v>
      </c>
      <c r="AD44" s="1">
        <f>Finance!AD160</f>
        <v>0</v>
      </c>
      <c r="AE44" s="1">
        <f>Finance!AE160</f>
        <v>0</v>
      </c>
      <c r="AF44" s="1">
        <f>Finance!AF160</f>
        <v>0</v>
      </c>
      <c r="AG44" s="1">
        <f>Finance!AG160</f>
        <v>0</v>
      </c>
      <c r="AH44" s="1">
        <f>Finance!AH160</f>
        <v>0</v>
      </c>
      <c r="AI44" s="1">
        <f>Finance!AI160</f>
        <v>0</v>
      </c>
      <c r="AJ44" s="1">
        <f>Finance!AJ160</f>
        <v>0</v>
      </c>
      <c r="AK44" s="1">
        <f>Finance!AK160</f>
        <v>0</v>
      </c>
      <c r="AL44" s="1">
        <f>Finance!AL160</f>
        <v>0</v>
      </c>
      <c r="AM44" s="1">
        <f>Finance!AM160</f>
        <v>0</v>
      </c>
      <c r="AN44" s="1">
        <f>Finance!AN160</f>
        <v>0</v>
      </c>
      <c r="AO44" s="1">
        <f>Finance!AO160</f>
        <v>0</v>
      </c>
      <c r="AP44" s="1">
        <f>Finance!AP160</f>
        <v>0</v>
      </c>
      <c r="AQ44" s="1">
        <f>Finance!AQ160</f>
        <v>0</v>
      </c>
      <c r="AR44" s="1">
        <f>Finance!AR160</f>
        <v>0</v>
      </c>
      <c r="AS44" s="1">
        <f>Finance!AS160</f>
        <v>0</v>
      </c>
      <c r="AT44" s="1">
        <f>Finance!AT160</f>
        <v>0</v>
      </c>
      <c r="AU44" s="1">
        <f>Finance!AU160</f>
        <v>0</v>
      </c>
      <c r="AV44" s="1">
        <f>Finance!AV160</f>
        <v>0</v>
      </c>
      <c r="AW44" s="1">
        <f>Finance!AW160</f>
        <v>0</v>
      </c>
      <c r="AX44" s="1">
        <f>Finance!AX160</f>
        <v>0</v>
      </c>
      <c r="AZ44"/>
    </row>
    <row r="45" spans="1:52" ht="15" customHeight="1">
      <c r="A45" s="92"/>
      <c r="B45" s="1"/>
      <c r="C45" s="1"/>
      <c r="D45" s="1"/>
      <c r="E45" s="77" t="s">
        <v>278</v>
      </c>
      <c r="F45" s="1"/>
      <c r="G45" s="11" t="str">
        <f>Inputs!$I$6</f>
        <v>£m 2024 prices</v>
      </c>
      <c r="H45" s="1"/>
      <c r="I45" s="55"/>
      <c r="J45" s="80"/>
      <c r="K45" s="1">
        <f>Finance!K114</f>
        <v>0</v>
      </c>
      <c r="L45" s="1">
        <f>Finance!L114</f>
        <v>19.765049999999995</v>
      </c>
      <c r="M45" s="1">
        <f>Finance!M114</f>
        <v>18.215049999999994</v>
      </c>
      <c r="N45" s="1">
        <f>Finance!N114</f>
        <v>26.075049999999994</v>
      </c>
      <c r="O45" s="1">
        <f>Finance!O114</f>
        <v>30.005049999999994</v>
      </c>
      <c r="P45" s="1">
        <f>Finance!P114</f>
        <v>30.005049999999994</v>
      </c>
      <c r="Q45" s="1">
        <f>Finance!Q114</f>
        <v>0</v>
      </c>
      <c r="R45" s="1">
        <f>Finance!R114</f>
        <v>0</v>
      </c>
      <c r="S45" s="1">
        <f>Finance!S114</f>
        <v>0</v>
      </c>
      <c r="T45" s="1">
        <f>Finance!T114</f>
        <v>0</v>
      </c>
      <c r="U45" s="1">
        <f>Finance!U114</f>
        <v>0</v>
      </c>
      <c r="V45" s="1">
        <f>Finance!V114</f>
        <v>0</v>
      </c>
      <c r="W45" s="1">
        <f>Finance!W114</f>
        <v>0</v>
      </c>
      <c r="X45" s="1">
        <f>Finance!X114</f>
        <v>0</v>
      </c>
      <c r="Y45" s="1">
        <f>Finance!Y114</f>
        <v>0</v>
      </c>
      <c r="Z45" s="1">
        <f>Finance!Z114</f>
        <v>0</v>
      </c>
      <c r="AA45" s="1">
        <f>Finance!AA114</f>
        <v>0</v>
      </c>
      <c r="AB45" s="1">
        <f>Finance!AB114</f>
        <v>0</v>
      </c>
      <c r="AC45" s="1">
        <f>Finance!AC114</f>
        <v>0</v>
      </c>
      <c r="AD45" s="1">
        <f>Finance!AD114</f>
        <v>0</v>
      </c>
      <c r="AE45" s="1">
        <f>Finance!AE114</f>
        <v>0</v>
      </c>
      <c r="AF45" s="1">
        <f>Finance!AF114</f>
        <v>0</v>
      </c>
      <c r="AG45" s="1">
        <f>Finance!AG114</f>
        <v>0</v>
      </c>
      <c r="AH45" s="1">
        <f>Finance!AH114</f>
        <v>0</v>
      </c>
      <c r="AI45" s="1">
        <f>Finance!AI114</f>
        <v>0</v>
      </c>
      <c r="AJ45" s="1">
        <f>Finance!AJ114</f>
        <v>0</v>
      </c>
      <c r="AK45" s="1">
        <f>Finance!AK114</f>
        <v>0</v>
      </c>
      <c r="AL45" s="1">
        <f>Finance!AL114</f>
        <v>0</v>
      </c>
      <c r="AM45" s="1">
        <f>Finance!AM114</f>
        <v>0</v>
      </c>
      <c r="AN45" s="1">
        <f>Finance!AN114</f>
        <v>0</v>
      </c>
      <c r="AO45" s="1">
        <f>Finance!AO114</f>
        <v>0</v>
      </c>
      <c r="AP45" s="1">
        <f>Finance!AP114</f>
        <v>0</v>
      </c>
      <c r="AQ45" s="1">
        <f>Finance!AQ114</f>
        <v>0</v>
      </c>
      <c r="AR45" s="1">
        <f>Finance!AR114</f>
        <v>0</v>
      </c>
      <c r="AS45" s="1">
        <f>Finance!AS114</f>
        <v>0</v>
      </c>
      <c r="AT45" s="1">
        <f>Finance!AT114</f>
        <v>0</v>
      </c>
      <c r="AU45" s="1">
        <f>Finance!AU114</f>
        <v>0</v>
      </c>
      <c r="AV45" s="1">
        <f>Finance!AV114</f>
        <v>0</v>
      </c>
      <c r="AW45" s="1">
        <f>Finance!AW114</f>
        <v>0</v>
      </c>
      <c r="AX45" s="1">
        <f>Finance!AX114</f>
        <v>0</v>
      </c>
      <c r="AZ45"/>
    </row>
    <row r="46" spans="1:52" ht="15" customHeight="1">
      <c r="A46" s="92"/>
      <c r="B46" s="1"/>
      <c r="C46" s="1"/>
      <c r="D46" s="1"/>
      <c r="E46" s="80" t="s">
        <v>279</v>
      </c>
      <c r="F46" s="1"/>
      <c r="G46" s="11" t="str">
        <f>Inputs!$I$6</f>
        <v>£m 2024 prices</v>
      </c>
      <c r="H46" s="1"/>
      <c r="I46" s="55"/>
      <c r="J46" s="80"/>
      <c r="K46" s="136">
        <f t="shared" ref="K46:AX46" si="12">SUM(K40:K45)</f>
        <v>0</v>
      </c>
      <c r="L46" s="136">
        <f t="shared" si="12"/>
        <v>185.76505</v>
      </c>
      <c r="M46" s="136">
        <f t="shared" si="12"/>
        <v>354.98009999999999</v>
      </c>
      <c r="N46" s="136">
        <f t="shared" si="12"/>
        <v>532.05515000000003</v>
      </c>
      <c r="O46" s="136">
        <f t="shared" si="12"/>
        <v>563.06020000000001</v>
      </c>
      <c r="P46" s="136">
        <f t="shared" si="12"/>
        <v>593.06524999999999</v>
      </c>
      <c r="Q46" s="136">
        <f t="shared" si="12"/>
        <v>593.06524999999999</v>
      </c>
      <c r="R46" s="136">
        <f t="shared" si="12"/>
        <v>0</v>
      </c>
      <c r="S46" s="136">
        <f t="shared" si="12"/>
        <v>0</v>
      </c>
      <c r="T46" s="136">
        <f t="shared" si="12"/>
        <v>0</v>
      </c>
      <c r="U46" s="136">
        <f t="shared" si="12"/>
        <v>0</v>
      </c>
      <c r="V46" s="136">
        <f t="shared" si="12"/>
        <v>0</v>
      </c>
      <c r="W46" s="136">
        <f t="shared" si="12"/>
        <v>0</v>
      </c>
      <c r="X46" s="136">
        <f t="shared" si="12"/>
        <v>0</v>
      </c>
      <c r="Y46" s="136">
        <f t="shared" si="12"/>
        <v>0</v>
      </c>
      <c r="Z46" s="136">
        <f t="shared" si="12"/>
        <v>0</v>
      </c>
      <c r="AA46" s="136">
        <f t="shared" si="12"/>
        <v>0</v>
      </c>
      <c r="AB46" s="136">
        <f t="shared" si="12"/>
        <v>0</v>
      </c>
      <c r="AC46" s="136">
        <f t="shared" si="12"/>
        <v>0</v>
      </c>
      <c r="AD46" s="136">
        <f t="shared" si="12"/>
        <v>0</v>
      </c>
      <c r="AE46" s="136">
        <f t="shared" si="12"/>
        <v>0</v>
      </c>
      <c r="AF46" s="136">
        <f t="shared" si="12"/>
        <v>0</v>
      </c>
      <c r="AG46" s="136">
        <f t="shared" si="12"/>
        <v>0</v>
      </c>
      <c r="AH46" s="136">
        <f t="shared" si="12"/>
        <v>0</v>
      </c>
      <c r="AI46" s="136">
        <f t="shared" si="12"/>
        <v>0</v>
      </c>
      <c r="AJ46" s="136">
        <f t="shared" si="12"/>
        <v>0</v>
      </c>
      <c r="AK46" s="136">
        <f t="shared" si="12"/>
        <v>0</v>
      </c>
      <c r="AL46" s="136">
        <f t="shared" si="12"/>
        <v>0</v>
      </c>
      <c r="AM46" s="136">
        <f t="shared" si="12"/>
        <v>0</v>
      </c>
      <c r="AN46" s="136">
        <f t="shared" si="12"/>
        <v>0</v>
      </c>
      <c r="AO46" s="136">
        <f t="shared" si="12"/>
        <v>0</v>
      </c>
      <c r="AP46" s="136">
        <f t="shared" si="12"/>
        <v>0</v>
      </c>
      <c r="AQ46" s="136">
        <f t="shared" si="12"/>
        <v>0</v>
      </c>
      <c r="AR46" s="136">
        <f t="shared" si="12"/>
        <v>0</v>
      </c>
      <c r="AS46" s="136">
        <f t="shared" si="12"/>
        <v>0</v>
      </c>
      <c r="AT46" s="136">
        <f t="shared" si="12"/>
        <v>0</v>
      </c>
      <c r="AU46" s="136">
        <f t="shared" si="12"/>
        <v>0</v>
      </c>
      <c r="AV46" s="136">
        <f t="shared" si="12"/>
        <v>0</v>
      </c>
      <c r="AW46" s="136">
        <f t="shared" si="12"/>
        <v>0</v>
      </c>
      <c r="AX46" s="136">
        <f t="shared" si="12"/>
        <v>0</v>
      </c>
      <c r="AZ46"/>
    </row>
    <row r="47" spans="1:52" ht="15" customHeight="1">
      <c r="A47" s="92"/>
      <c r="B47" s="1"/>
      <c r="C47" s="1"/>
      <c r="D47" s="1"/>
      <c r="E47" s="80" t="s">
        <v>280</v>
      </c>
      <c r="F47" s="1"/>
      <c r="G47" s="11" t="str">
        <f>Inputs!$I$6</f>
        <v>£m 2024 prices</v>
      </c>
      <c r="H47" s="1"/>
      <c r="I47" s="55"/>
      <c r="J47" s="80"/>
      <c r="K47" s="1">
        <f t="shared" ref="K47:AX47" si="13">-K46*K12</f>
        <v>0</v>
      </c>
      <c r="L47" s="1">
        <f t="shared" si="13"/>
        <v>0</v>
      </c>
      <c r="M47" s="1">
        <f t="shared" si="13"/>
        <v>0</v>
      </c>
      <c r="N47" s="1">
        <f t="shared" si="13"/>
        <v>0</v>
      </c>
      <c r="O47" s="1">
        <f t="shared" si="13"/>
        <v>0</v>
      </c>
      <c r="P47" s="1">
        <f t="shared" si="13"/>
        <v>0</v>
      </c>
      <c r="Q47" s="1">
        <f t="shared" si="13"/>
        <v>-593.06524999999999</v>
      </c>
      <c r="R47" s="1">
        <f t="shared" si="13"/>
        <v>0</v>
      </c>
      <c r="S47" s="1">
        <f t="shared" si="13"/>
        <v>0</v>
      </c>
      <c r="T47" s="1">
        <f t="shared" si="13"/>
        <v>0</v>
      </c>
      <c r="U47" s="1">
        <f t="shared" si="13"/>
        <v>0</v>
      </c>
      <c r="V47" s="1">
        <f t="shared" si="13"/>
        <v>0</v>
      </c>
      <c r="W47" s="1">
        <f t="shared" si="13"/>
        <v>0</v>
      </c>
      <c r="X47" s="1">
        <f t="shared" si="13"/>
        <v>0</v>
      </c>
      <c r="Y47" s="1">
        <f t="shared" si="13"/>
        <v>0</v>
      </c>
      <c r="Z47" s="1">
        <f t="shared" si="13"/>
        <v>0</v>
      </c>
      <c r="AA47" s="1">
        <f t="shared" si="13"/>
        <v>0</v>
      </c>
      <c r="AB47" s="1">
        <f t="shared" si="13"/>
        <v>0</v>
      </c>
      <c r="AC47" s="1">
        <f t="shared" si="13"/>
        <v>0</v>
      </c>
      <c r="AD47" s="1">
        <f t="shared" si="13"/>
        <v>0</v>
      </c>
      <c r="AE47" s="1">
        <f t="shared" si="13"/>
        <v>0</v>
      </c>
      <c r="AF47" s="1">
        <f t="shared" si="13"/>
        <v>0</v>
      </c>
      <c r="AG47" s="1">
        <f t="shared" si="13"/>
        <v>0</v>
      </c>
      <c r="AH47" s="1">
        <f t="shared" si="13"/>
        <v>0</v>
      </c>
      <c r="AI47" s="1">
        <f t="shared" si="13"/>
        <v>0</v>
      </c>
      <c r="AJ47" s="1">
        <f t="shared" si="13"/>
        <v>0</v>
      </c>
      <c r="AK47" s="1">
        <f t="shared" si="13"/>
        <v>0</v>
      </c>
      <c r="AL47" s="1">
        <f t="shared" si="13"/>
        <v>0</v>
      </c>
      <c r="AM47" s="1">
        <f t="shared" si="13"/>
        <v>0</v>
      </c>
      <c r="AN47" s="1">
        <f t="shared" si="13"/>
        <v>0</v>
      </c>
      <c r="AO47" s="1">
        <f t="shared" si="13"/>
        <v>0</v>
      </c>
      <c r="AP47" s="1">
        <f t="shared" si="13"/>
        <v>0</v>
      </c>
      <c r="AQ47" s="1">
        <f t="shared" si="13"/>
        <v>0</v>
      </c>
      <c r="AR47" s="1">
        <f t="shared" si="13"/>
        <v>0</v>
      </c>
      <c r="AS47" s="1">
        <f t="shared" si="13"/>
        <v>0</v>
      </c>
      <c r="AT47" s="1">
        <f t="shared" si="13"/>
        <v>0</v>
      </c>
      <c r="AU47" s="1">
        <f t="shared" si="13"/>
        <v>0</v>
      </c>
      <c r="AV47" s="1">
        <f t="shared" si="13"/>
        <v>0</v>
      </c>
      <c r="AW47" s="1">
        <f t="shared" si="13"/>
        <v>0</v>
      </c>
      <c r="AX47" s="1">
        <f t="shared" si="13"/>
        <v>0</v>
      </c>
      <c r="AZ47"/>
    </row>
    <row r="48" spans="1:52" ht="12.95">
      <c r="A48" s="92"/>
      <c r="B48" s="1"/>
      <c r="C48" s="1"/>
      <c r="D48" s="1"/>
      <c r="E48" s="137" t="s">
        <v>281</v>
      </c>
      <c r="F48" s="1"/>
      <c r="G48" s="11" t="str">
        <f>Inputs!$I$6</f>
        <v>£m 2024 prices</v>
      </c>
      <c r="H48" s="1"/>
      <c r="I48" s="55"/>
      <c r="J48" s="80"/>
      <c r="K48" s="136">
        <f t="shared" ref="K48:AX48" si="14">SUM(K46:K47)</f>
        <v>0</v>
      </c>
      <c r="L48" s="136">
        <f t="shared" si="14"/>
        <v>185.76505</v>
      </c>
      <c r="M48" s="136">
        <f t="shared" si="14"/>
        <v>354.98009999999999</v>
      </c>
      <c r="N48" s="136">
        <f t="shared" si="14"/>
        <v>532.05515000000003</v>
      </c>
      <c r="O48" s="136">
        <f t="shared" si="14"/>
        <v>563.06020000000001</v>
      </c>
      <c r="P48" s="136">
        <f t="shared" si="14"/>
        <v>593.06524999999999</v>
      </c>
      <c r="Q48" s="136">
        <f t="shared" si="14"/>
        <v>0</v>
      </c>
      <c r="R48" s="136">
        <f t="shared" si="14"/>
        <v>0</v>
      </c>
      <c r="S48" s="136">
        <f t="shared" si="14"/>
        <v>0</v>
      </c>
      <c r="T48" s="136">
        <f t="shared" si="14"/>
        <v>0</v>
      </c>
      <c r="U48" s="136">
        <f t="shared" si="14"/>
        <v>0</v>
      </c>
      <c r="V48" s="136">
        <f t="shared" si="14"/>
        <v>0</v>
      </c>
      <c r="W48" s="136">
        <f t="shared" si="14"/>
        <v>0</v>
      </c>
      <c r="X48" s="136">
        <f t="shared" si="14"/>
        <v>0</v>
      </c>
      <c r="Y48" s="136">
        <f t="shared" si="14"/>
        <v>0</v>
      </c>
      <c r="Z48" s="136">
        <f t="shared" si="14"/>
        <v>0</v>
      </c>
      <c r="AA48" s="136">
        <f t="shared" si="14"/>
        <v>0</v>
      </c>
      <c r="AB48" s="136">
        <f t="shared" si="14"/>
        <v>0</v>
      </c>
      <c r="AC48" s="136">
        <f t="shared" si="14"/>
        <v>0</v>
      </c>
      <c r="AD48" s="136">
        <f t="shared" si="14"/>
        <v>0</v>
      </c>
      <c r="AE48" s="136">
        <f t="shared" si="14"/>
        <v>0</v>
      </c>
      <c r="AF48" s="136">
        <f t="shared" si="14"/>
        <v>0</v>
      </c>
      <c r="AG48" s="136">
        <f t="shared" si="14"/>
        <v>0</v>
      </c>
      <c r="AH48" s="136">
        <f t="shared" si="14"/>
        <v>0</v>
      </c>
      <c r="AI48" s="136">
        <f t="shared" si="14"/>
        <v>0</v>
      </c>
      <c r="AJ48" s="136">
        <f t="shared" si="14"/>
        <v>0</v>
      </c>
      <c r="AK48" s="136">
        <f t="shared" si="14"/>
        <v>0</v>
      </c>
      <c r="AL48" s="136">
        <f t="shared" si="14"/>
        <v>0</v>
      </c>
      <c r="AM48" s="136">
        <f t="shared" si="14"/>
        <v>0</v>
      </c>
      <c r="AN48" s="136">
        <f t="shared" si="14"/>
        <v>0</v>
      </c>
      <c r="AO48" s="136">
        <f t="shared" si="14"/>
        <v>0</v>
      </c>
      <c r="AP48" s="136">
        <f t="shared" si="14"/>
        <v>0</v>
      </c>
      <c r="AQ48" s="136">
        <f t="shared" si="14"/>
        <v>0</v>
      </c>
      <c r="AR48" s="136">
        <f t="shared" si="14"/>
        <v>0</v>
      </c>
      <c r="AS48" s="136">
        <f t="shared" si="14"/>
        <v>0</v>
      </c>
      <c r="AT48" s="136">
        <f t="shared" si="14"/>
        <v>0</v>
      </c>
      <c r="AU48" s="136">
        <f t="shared" si="14"/>
        <v>0</v>
      </c>
      <c r="AV48" s="136">
        <f t="shared" si="14"/>
        <v>0</v>
      </c>
      <c r="AW48" s="136">
        <f t="shared" si="14"/>
        <v>0</v>
      </c>
      <c r="AX48" s="136">
        <f t="shared" si="14"/>
        <v>0</v>
      </c>
      <c r="AZ48"/>
    </row>
    <row r="49" spans="1:52" ht="15" customHeight="1">
      <c r="A49" s="23"/>
      <c r="B49" s="1"/>
      <c r="C49" s="1"/>
      <c r="D49" s="1"/>
      <c r="E49" s="1"/>
      <c r="F49" s="1"/>
      <c r="G49" s="1"/>
      <c r="H49" s="1"/>
      <c r="I49" s="55"/>
      <c r="J49" s="80"/>
      <c r="K49" s="80"/>
      <c r="L49" s="80"/>
      <c r="M49" s="80"/>
      <c r="N49" s="80"/>
      <c r="O49" s="80"/>
      <c r="P49" s="80"/>
      <c r="Q49" s="80"/>
      <c r="R49" s="80"/>
      <c r="S49" s="1"/>
      <c r="T49" s="1"/>
      <c r="U49" s="1"/>
      <c r="V49" s="1"/>
      <c r="W49" s="1"/>
      <c r="X49" s="81"/>
      <c r="Y49" s="81"/>
      <c r="Z49" s="81"/>
      <c r="AA49" s="81"/>
      <c r="AB49" s="81"/>
      <c r="AC49" s="81"/>
      <c r="AD49" s="81"/>
      <c r="AE49" s="81"/>
      <c r="AF49" s="81"/>
      <c r="AG49" s="81"/>
      <c r="AH49" s="81"/>
      <c r="AI49" s="81"/>
      <c r="AJ49" s="81"/>
      <c r="AK49" s="81"/>
      <c r="AL49" s="81"/>
      <c r="AM49" s="81"/>
      <c r="AN49" s="81"/>
      <c r="AO49" s="81"/>
      <c r="AP49" s="81"/>
      <c r="AQ49" s="81"/>
      <c r="AR49" s="81"/>
      <c r="AS49" s="81"/>
      <c r="AT49" s="81"/>
      <c r="AU49" s="81"/>
      <c r="AV49" s="81"/>
      <c r="AW49" s="81"/>
      <c r="AX49" s="81"/>
      <c r="AZ49"/>
    </row>
    <row r="50" spans="1:52" ht="15" customHeight="1">
      <c r="A50" s="23"/>
      <c r="B50" s="1"/>
      <c r="C50" s="56" t="s">
        <v>282</v>
      </c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Z50"/>
    </row>
    <row r="51" spans="1:52" ht="15" customHeight="1">
      <c r="A51" s="23"/>
      <c r="B51" s="1"/>
      <c r="C51" s="22" t="s">
        <v>283</v>
      </c>
      <c r="D51" s="223"/>
      <c r="E51" s="223"/>
      <c r="F51" s="223"/>
      <c r="G51" s="223"/>
      <c r="H51" s="223"/>
      <c r="I51" s="223"/>
      <c r="J51" s="223"/>
      <c r="K51" s="223"/>
      <c r="L51" s="223"/>
      <c r="M51" s="223"/>
      <c r="N51" s="223"/>
      <c r="O51" s="223"/>
      <c r="P51" s="223"/>
      <c r="Q51" s="223"/>
      <c r="R51" s="223"/>
      <c r="S51" s="223"/>
      <c r="T51" s="223"/>
      <c r="U51" s="223"/>
      <c r="V51" s="223"/>
      <c r="W51" s="223"/>
      <c r="X51" s="223"/>
      <c r="Y51" s="223"/>
      <c r="Z51" s="223"/>
      <c r="AA51" s="223"/>
      <c r="AB51" s="223"/>
      <c r="AC51" s="223"/>
      <c r="AD51" s="223"/>
      <c r="AE51" s="223"/>
      <c r="AF51" s="223"/>
      <c r="AG51" s="223"/>
      <c r="AH51" s="223"/>
      <c r="AI51" s="223"/>
      <c r="AJ51" s="223"/>
      <c r="AK51" s="223"/>
      <c r="AL51" s="223"/>
      <c r="AM51" s="223"/>
      <c r="AN51" s="223"/>
      <c r="AO51" s="223"/>
      <c r="AP51" s="223"/>
      <c r="AQ51" s="223"/>
      <c r="AR51" s="223"/>
      <c r="AS51" s="223"/>
      <c r="AT51" s="223"/>
      <c r="AU51" s="223"/>
      <c r="AV51" s="223"/>
      <c r="AW51" s="223"/>
      <c r="AX51" s="223"/>
      <c r="AZ51"/>
    </row>
    <row r="52" spans="1:52" ht="15" customHeight="1">
      <c r="A52" s="23"/>
      <c r="B52" s="1"/>
      <c r="C52" s="1"/>
      <c r="D52" s="1"/>
      <c r="E52" s="1"/>
      <c r="F52" s="1"/>
      <c r="G52" s="1"/>
      <c r="H52" s="1"/>
      <c r="I52" s="55"/>
      <c r="J52" s="80"/>
      <c r="K52" s="80"/>
      <c r="L52" s="80"/>
      <c r="M52" s="80"/>
      <c r="N52" s="80"/>
      <c r="O52" s="80"/>
      <c r="P52" s="80"/>
      <c r="Q52" s="80"/>
      <c r="R52" s="80"/>
      <c r="S52" s="1"/>
      <c r="T52" s="1"/>
      <c r="U52" s="1"/>
      <c r="V52" s="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Z52"/>
    </row>
    <row r="53" spans="1:52" ht="15" customHeight="1">
      <c r="A53" s="23"/>
      <c r="B53" s="1"/>
      <c r="C53" s="1"/>
      <c r="D53" s="1"/>
      <c r="E53" s="1" t="s">
        <v>284</v>
      </c>
      <c r="F53" s="1"/>
      <c r="G53" s="11" t="str">
        <f>Inputs!$I$6</f>
        <v>£m 2024 prices</v>
      </c>
      <c r="H53" s="1"/>
      <c r="I53" s="55"/>
      <c r="J53" s="80"/>
      <c r="K53" s="1">
        <f t="shared" ref="K53:AX53" si="15">SUM(K41:K45)</f>
        <v>0</v>
      </c>
      <c r="L53" s="1">
        <f t="shared" si="15"/>
        <v>185.76505</v>
      </c>
      <c r="M53" s="1">
        <f t="shared" si="15"/>
        <v>169.21504999999999</v>
      </c>
      <c r="N53" s="1">
        <f t="shared" si="15"/>
        <v>177.07505</v>
      </c>
      <c r="O53" s="1">
        <f t="shared" si="15"/>
        <v>31.005049999999994</v>
      </c>
      <c r="P53" s="1">
        <f t="shared" si="15"/>
        <v>30.005049999999994</v>
      </c>
      <c r="Q53" s="1">
        <f t="shared" si="15"/>
        <v>0</v>
      </c>
      <c r="R53" s="1">
        <f t="shared" si="15"/>
        <v>0</v>
      </c>
      <c r="S53" s="1">
        <f t="shared" si="15"/>
        <v>0</v>
      </c>
      <c r="T53" s="1">
        <f t="shared" si="15"/>
        <v>0</v>
      </c>
      <c r="U53" s="1">
        <f t="shared" si="15"/>
        <v>0</v>
      </c>
      <c r="V53" s="1">
        <f t="shared" si="15"/>
        <v>0</v>
      </c>
      <c r="W53" s="1">
        <f t="shared" si="15"/>
        <v>0</v>
      </c>
      <c r="X53" s="1">
        <f t="shared" si="15"/>
        <v>0</v>
      </c>
      <c r="Y53" s="1">
        <f t="shared" si="15"/>
        <v>0</v>
      </c>
      <c r="Z53" s="1">
        <f t="shared" si="15"/>
        <v>0</v>
      </c>
      <c r="AA53" s="1">
        <f t="shared" si="15"/>
        <v>0</v>
      </c>
      <c r="AB53" s="1">
        <f t="shared" si="15"/>
        <v>0</v>
      </c>
      <c r="AC53" s="1">
        <f t="shared" si="15"/>
        <v>0</v>
      </c>
      <c r="AD53" s="1">
        <f t="shared" si="15"/>
        <v>0</v>
      </c>
      <c r="AE53" s="1">
        <f t="shared" si="15"/>
        <v>0</v>
      </c>
      <c r="AF53" s="1">
        <f t="shared" si="15"/>
        <v>0</v>
      </c>
      <c r="AG53" s="1">
        <f t="shared" si="15"/>
        <v>0</v>
      </c>
      <c r="AH53" s="1">
        <f t="shared" si="15"/>
        <v>0</v>
      </c>
      <c r="AI53" s="1">
        <f t="shared" si="15"/>
        <v>0</v>
      </c>
      <c r="AJ53" s="1">
        <f t="shared" si="15"/>
        <v>0</v>
      </c>
      <c r="AK53" s="1">
        <f t="shared" si="15"/>
        <v>0</v>
      </c>
      <c r="AL53" s="1">
        <f t="shared" si="15"/>
        <v>0</v>
      </c>
      <c r="AM53" s="1">
        <f t="shared" si="15"/>
        <v>0</v>
      </c>
      <c r="AN53" s="1">
        <f t="shared" si="15"/>
        <v>0</v>
      </c>
      <c r="AO53" s="1">
        <f t="shared" si="15"/>
        <v>0</v>
      </c>
      <c r="AP53" s="1">
        <f t="shared" si="15"/>
        <v>0</v>
      </c>
      <c r="AQ53" s="1">
        <f t="shared" si="15"/>
        <v>0</v>
      </c>
      <c r="AR53" s="1">
        <f t="shared" si="15"/>
        <v>0</v>
      </c>
      <c r="AS53" s="1">
        <f t="shared" si="15"/>
        <v>0</v>
      </c>
      <c r="AT53" s="1">
        <f t="shared" si="15"/>
        <v>0</v>
      </c>
      <c r="AU53" s="1">
        <f t="shared" si="15"/>
        <v>0</v>
      </c>
      <c r="AV53" s="1">
        <f t="shared" si="15"/>
        <v>0</v>
      </c>
      <c r="AW53" s="1">
        <f t="shared" si="15"/>
        <v>0</v>
      </c>
      <c r="AX53" s="1">
        <f t="shared" si="15"/>
        <v>0</v>
      </c>
      <c r="AZ53"/>
    </row>
    <row r="54" spans="1:52" ht="15" customHeight="1">
      <c r="A54" s="23"/>
      <c r="B54" s="1"/>
      <c r="C54" s="1"/>
      <c r="D54" s="1"/>
      <c r="E54" s="1" t="s">
        <v>285</v>
      </c>
      <c r="F54" s="1"/>
      <c r="G54" s="11" t="str">
        <f>Inputs!$I$6</f>
        <v>£m 2024 prices</v>
      </c>
      <c r="H54" s="1"/>
      <c r="I54" s="55"/>
      <c r="J54" s="80"/>
      <c r="K54" s="1">
        <v>0</v>
      </c>
      <c r="L54" s="1">
        <v>185.76505</v>
      </c>
      <c r="M54" s="1">
        <v>169.21504999999999</v>
      </c>
      <c r="N54" s="1">
        <v>177.07505</v>
      </c>
      <c r="O54" s="1">
        <v>31.005049999999994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0</v>
      </c>
      <c r="AP54" s="1">
        <v>0</v>
      </c>
      <c r="AQ54" s="1">
        <v>0</v>
      </c>
      <c r="AR54" s="1">
        <v>0</v>
      </c>
      <c r="AS54" s="1">
        <v>0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Z54"/>
    </row>
    <row r="55" spans="1:52" ht="15" customHeight="1">
      <c r="A55" s="23"/>
      <c r="B55" s="1"/>
      <c r="C55" s="1"/>
      <c r="D55" s="1"/>
      <c r="E55" s="1"/>
      <c r="F55" s="1"/>
      <c r="H55" s="1"/>
      <c r="I55" s="55"/>
      <c r="J55" s="80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Z55"/>
    </row>
    <row r="56" spans="1:52" ht="15" customHeight="1">
      <c r="A56" s="23"/>
      <c r="B56" s="1"/>
      <c r="C56" s="1"/>
      <c r="D56" s="1"/>
      <c r="E56" s="91" t="s">
        <v>286</v>
      </c>
      <c r="F56" s="91"/>
      <c r="G56" s="11" t="str">
        <f>Inputs!$I$6</f>
        <v>£m 2024 prices</v>
      </c>
      <c r="H56" s="1"/>
      <c r="I56" s="55"/>
      <c r="J56" s="80"/>
      <c r="K56" s="91">
        <f>ABS(K53-K54)</f>
        <v>0</v>
      </c>
      <c r="L56" s="91">
        <f t="shared" ref="L56:AX56" si="16">ABS(L53-L54)</f>
        <v>0</v>
      </c>
      <c r="M56" s="91">
        <f t="shared" si="16"/>
        <v>0</v>
      </c>
      <c r="N56" s="91">
        <f t="shared" si="16"/>
        <v>0</v>
      </c>
      <c r="O56" s="91">
        <f t="shared" si="16"/>
        <v>0</v>
      </c>
      <c r="P56" s="91">
        <f t="shared" si="16"/>
        <v>30.005049999999994</v>
      </c>
      <c r="Q56" s="91">
        <f t="shared" si="16"/>
        <v>0</v>
      </c>
      <c r="R56" s="91">
        <f t="shared" si="16"/>
        <v>0</v>
      </c>
      <c r="S56" s="91">
        <f t="shared" si="16"/>
        <v>0</v>
      </c>
      <c r="T56" s="91">
        <f t="shared" si="16"/>
        <v>0</v>
      </c>
      <c r="U56" s="91">
        <f t="shared" si="16"/>
        <v>0</v>
      </c>
      <c r="V56" s="91">
        <f t="shared" si="16"/>
        <v>0</v>
      </c>
      <c r="W56" s="91">
        <f t="shared" si="16"/>
        <v>0</v>
      </c>
      <c r="X56" s="91">
        <f t="shared" si="16"/>
        <v>0</v>
      </c>
      <c r="Y56" s="91">
        <f t="shared" si="16"/>
        <v>0</v>
      </c>
      <c r="Z56" s="91">
        <f t="shared" si="16"/>
        <v>0</v>
      </c>
      <c r="AA56" s="91">
        <f t="shared" si="16"/>
        <v>0</v>
      </c>
      <c r="AB56" s="91">
        <f t="shared" si="16"/>
        <v>0</v>
      </c>
      <c r="AC56" s="91">
        <f t="shared" si="16"/>
        <v>0</v>
      </c>
      <c r="AD56" s="91">
        <f t="shared" si="16"/>
        <v>0</v>
      </c>
      <c r="AE56" s="91">
        <f t="shared" si="16"/>
        <v>0</v>
      </c>
      <c r="AF56" s="91">
        <f t="shared" si="16"/>
        <v>0</v>
      </c>
      <c r="AG56" s="91">
        <f t="shared" si="16"/>
        <v>0</v>
      </c>
      <c r="AH56" s="91">
        <f t="shared" si="16"/>
        <v>0</v>
      </c>
      <c r="AI56" s="91">
        <f t="shared" si="16"/>
        <v>0</v>
      </c>
      <c r="AJ56" s="91">
        <f t="shared" si="16"/>
        <v>0</v>
      </c>
      <c r="AK56" s="91">
        <f t="shared" si="16"/>
        <v>0</v>
      </c>
      <c r="AL56" s="91">
        <f t="shared" si="16"/>
        <v>0</v>
      </c>
      <c r="AM56" s="91">
        <f t="shared" si="16"/>
        <v>0</v>
      </c>
      <c r="AN56" s="91">
        <f t="shared" si="16"/>
        <v>0</v>
      </c>
      <c r="AO56" s="91">
        <f t="shared" si="16"/>
        <v>0</v>
      </c>
      <c r="AP56" s="91">
        <f t="shared" si="16"/>
        <v>0</v>
      </c>
      <c r="AQ56" s="91">
        <f t="shared" si="16"/>
        <v>0</v>
      </c>
      <c r="AR56" s="91">
        <f t="shared" si="16"/>
        <v>0</v>
      </c>
      <c r="AS56" s="91">
        <f t="shared" si="16"/>
        <v>0</v>
      </c>
      <c r="AT56" s="91">
        <f t="shared" si="16"/>
        <v>0</v>
      </c>
      <c r="AU56" s="91">
        <f t="shared" si="16"/>
        <v>0</v>
      </c>
      <c r="AV56" s="91">
        <f t="shared" si="16"/>
        <v>0</v>
      </c>
      <c r="AW56" s="91">
        <f t="shared" si="16"/>
        <v>0</v>
      </c>
      <c r="AX56" s="91">
        <f t="shared" si="16"/>
        <v>0</v>
      </c>
      <c r="AZ56"/>
    </row>
    <row r="57" spans="1:52" ht="15" customHeight="1">
      <c r="A57" s="23"/>
      <c r="B57" s="1"/>
      <c r="C57" s="1"/>
      <c r="D57" s="1"/>
      <c r="E57" s="91" t="s">
        <v>287</v>
      </c>
      <c r="F57" s="91"/>
      <c r="G57" s="91"/>
      <c r="H57" s="1"/>
      <c r="I57" s="224" t="str">
        <f>IF(SUM(K56:AX56)&lt;0.0001,"OK","Copy-Paste")</f>
        <v>Copy-Paste</v>
      </c>
      <c r="J57" s="80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Z57"/>
    </row>
    <row r="58" spans="1:52" ht="15" customHeight="1">
      <c r="A58" s="23"/>
      <c r="B58" s="1"/>
      <c r="C58" s="1"/>
      <c r="D58" s="1"/>
      <c r="E58" s="1"/>
      <c r="F58" s="1"/>
      <c r="H58" s="1"/>
      <c r="I58" s="55"/>
      <c r="J58" s="80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Z58"/>
    </row>
    <row r="59" spans="1:52" ht="15" customHeight="1">
      <c r="A59" s="23"/>
      <c r="B59" s="1"/>
      <c r="C59" s="1"/>
      <c r="D59" s="1"/>
      <c r="E59" s="1"/>
      <c r="F59" s="1"/>
      <c r="H59" s="1"/>
      <c r="I59" s="55"/>
      <c r="J59" s="80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Z59"/>
    </row>
    <row r="60" spans="1:52" ht="15" customHeight="1">
      <c r="A60" s="23"/>
      <c r="B60" s="1"/>
      <c r="C60" s="1"/>
      <c r="D60" s="1"/>
      <c r="E60" s="1"/>
      <c r="F60" s="1"/>
      <c r="H60" s="1"/>
      <c r="I60" s="55"/>
      <c r="J60" s="80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Z60"/>
    </row>
    <row r="61" spans="1:52" ht="15" customHeight="1">
      <c r="A61" s="23"/>
      <c r="B61" s="1"/>
      <c r="C61" s="1"/>
      <c r="D61" s="1"/>
      <c r="E61" s="1"/>
      <c r="F61" s="1"/>
      <c r="H61" s="1"/>
      <c r="I61" s="55"/>
      <c r="J61" s="80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Z61"/>
    </row>
    <row r="62" spans="1:52" ht="15" customHeight="1">
      <c r="A62" s="23"/>
      <c r="B62" s="1"/>
      <c r="C62" s="1"/>
      <c r="D62" s="1"/>
      <c r="E62" s="1"/>
      <c r="F62" s="1"/>
      <c r="H62" s="1"/>
      <c r="I62" s="55"/>
      <c r="J62" s="80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Z62"/>
    </row>
    <row r="63" spans="1:52" ht="15" customHeight="1">
      <c r="A63" s="23"/>
      <c r="B63" s="1"/>
      <c r="C63" s="1"/>
      <c r="D63" s="1"/>
      <c r="E63" s="1"/>
      <c r="F63" s="1"/>
      <c r="H63" s="1"/>
      <c r="I63" s="55"/>
      <c r="J63" s="80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Z63"/>
    </row>
    <row r="64" spans="1:52" ht="15" customHeight="1">
      <c r="A64" s="23"/>
      <c r="B64" s="1"/>
      <c r="C64" s="1"/>
      <c r="D64" s="1"/>
      <c r="E64" s="1"/>
      <c r="F64" s="1"/>
      <c r="H64" s="1"/>
      <c r="I64" s="55"/>
      <c r="J64" s="80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Z64"/>
    </row>
    <row r="65" spans="1:52" ht="15" customHeight="1">
      <c r="A65" s="23"/>
      <c r="B65" s="1"/>
      <c r="C65" s="1"/>
      <c r="D65" s="1"/>
      <c r="E65" s="1"/>
      <c r="F65" s="1"/>
      <c r="H65" s="1"/>
      <c r="I65" s="55"/>
      <c r="J65" s="80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Z65"/>
    </row>
    <row r="66" spans="1:52" ht="15" customHeight="1">
      <c r="A66" s="23"/>
      <c r="B66" s="1"/>
      <c r="C66" s="1"/>
      <c r="D66" s="1"/>
      <c r="E66" s="1"/>
      <c r="F66" s="1"/>
      <c r="H66" s="1"/>
      <c r="I66" s="55"/>
      <c r="J66" s="80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Z66"/>
    </row>
    <row r="67" spans="1:52" ht="15" customHeight="1">
      <c r="A67" s="23"/>
      <c r="B67" s="1"/>
      <c r="C67" s="1"/>
      <c r="D67" s="1"/>
      <c r="E67" s="1"/>
      <c r="F67" s="1"/>
      <c r="H67" s="1"/>
      <c r="I67" s="55"/>
      <c r="J67" s="80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Z67"/>
    </row>
    <row r="68" spans="1:52" ht="15" customHeight="1">
      <c r="A68" s="23"/>
      <c r="B68" s="1"/>
      <c r="C68" s="1"/>
      <c r="D68" s="1"/>
      <c r="E68" s="1"/>
      <c r="F68" s="1"/>
      <c r="G68" s="1"/>
      <c r="H68" s="1"/>
      <c r="I68" s="55"/>
      <c r="J68" s="80"/>
      <c r="K68" s="80"/>
      <c r="L68" s="80"/>
      <c r="M68" s="80"/>
      <c r="N68" s="80"/>
      <c r="O68" s="80"/>
      <c r="P68" s="80"/>
      <c r="Q68" s="80"/>
      <c r="R68" s="80"/>
      <c r="S68" s="1"/>
      <c r="T68" s="1"/>
      <c r="U68" s="1"/>
      <c r="V68" s="1"/>
      <c r="W68" s="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81"/>
      <c r="AO68" s="81"/>
      <c r="AP68" s="81"/>
      <c r="AQ68" s="81"/>
      <c r="AR68" s="81"/>
      <c r="AS68" s="81"/>
      <c r="AT68" s="81"/>
      <c r="AU68" s="81"/>
      <c r="AV68" s="81"/>
      <c r="AW68" s="81"/>
      <c r="AX68" s="81"/>
      <c r="AZ68"/>
    </row>
    <row r="69" spans="1:52" ht="15" customHeight="1">
      <c r="A69" s="1"/>
      <c r="B69" s="12" t="s">
        <v>49</v>
      </c>
      <c r="C69" s="50"/>
      <c r="D69" s="50"/>
      <c r="E69" s="50"/>
      <c r="F69" s="51"/>
      <c r="G69" s="51"/>
      <c r="H69" s="51"/>
      <c r="I69" s="133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Z69"/>
    </row>
    <row r="70" spans="1:52" ht="15" customHeight="1">
      <c r="K70" s="1"/>
      <c r="AZ70"/>
    </row>
  </sheetData>
  <conditionalFormatting sqref="I57">
    <cfRule type="cellIs" dxfId="11" priority="1" stopIfTrue="1" operator="equal">
      <formula>"Copy-Paste"</formula>
    </cfRule>
  </conditionalFormatting>
  <pageMargins left="0.23622047244094502" right="0.23622047244094502" top="0.74803149606299213" bottom="0.74803149606299213" header="0.31496062992126012" footer="0.31496062992126012"/>
  <pageSetup paperSize="0" fitToHeight="0" orientation="landscape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C0DA"/>
    <pageSetUpPr fitToPage="1"/>
  </sheetPr>
  <dimension ref="A1:AZ163"/>
  <sheetViews>
    <sheetView zoomScale="90" zoomScaleNormal="90" workbookViewId="0">
      <selection activeCell="I22" sqref="I22"/>
    </sheetView>
  </sheetViews>
  <sheetFormatPr defaultColWidth="0" defaultRowHeight="0" customHeight="1" zeroHeight="1"/>
  <cols>
    <col min="1" max="4" width="2.5703125" style="11" customWidth="1"/>
    <col min="5" max="5" width="50.5703125" style="11" customWidth="1"/>
    <col min="6" max="6" width="1.5703125" style="11" customWidth="1"/>
    <col min="7" max="7" width="15.5703125" style="11" customWidth="1"/>
    <col min="8" max="8" width="10.7109375" style="11" bestFit="1" customWidth="1"/>
    <col min="9" max="9" width="10.5703125" style="139" customWidth="1"/>
    <col min="10" max="10" width="1.5703125" style="11" customWidth="1"/>
    <col min="11" max="44" width="10.5703125" style="11" customWidth="1"/>
    <col min="45" max="50" width="10.7109375" style="11" customWidth="1"/>
    <col min="51" max="51" width="3.140625" customWidth="1"/>
    <col min="52" max="52" width="9.140625" hidden="1" customWidth="1"/>
    <col min="53" max="16384" width="9.140625" hidden="1"/>
  </cols>
  <sheetData>
    <row r="1" spans="1:50" ht="14.45">
      <c r="A1" s="45" t="s">
        <v>28</v>
      </c>
      <c r="B1" s="46"/>
      <c r="C1" s="46"/>
      <c r="D1" s="46"/>
      <c r="E1" s="46"/>
      <c r="F1" s="46"/>
      <c r="G1" s="46"/>
      <c r="H1" s="46" t="s">
        <v>64</v>
      </c>
      <c r="I1" s="131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</row>
    <row r="2" spans="1:50" ht="15" customHeight="1">
      <c r="A2" s="46"/>
      <c r="B2" s="46"/>
      <c r="C2" s="46"/>
      <c r="D2" s="46"/>
      <c r="E2" s="48" t="s">
        <v>65</v>
      </c>
      <c r="F2" s="48"/>
      <c r="G2" s="48" t="s">
        <v>66</v>
      </c>
      <c r="H2" s="48" t="s">
        <v>67</v>
      </c>
      <c r="I2" s="49" t="s">
        <v>68</v>
      </c>
      <c r="J2" s="46"/>
      <c r="K2" s="48" t="s">
        <v>69</v>
      </c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</row>
    <row r="3" spans="1:50" ht="15" customHeight="1">
      <c r="A3" s="46"/>
      <c r="B3" s="46"/>
      <c r="C3" s="46"/>
      <c r="D3" s="46"/>
      <c r="E3" s="58" t="s">
        <v>74</v>
      </c>
      <c r="F3" s="48"/>
      <c r="G3" s="48"/>
      <c r="H3" s="48"/>
      <c r="I3" s="48"/>
      <c r="J3" s="46"/>
      <c r="K3" s="60">
        <f>Inputs!K12</f>
        <v>45658</v>
      </c>
      <c r="L3" s="61">
        <f t="shared" ref="L3:AX3" si="0">+K4+1</f>
        <v>46023</v>
      </c>
      <c r="M3" s="61">
        <f t="shared" si="0"/>
        <v>46388</v>
      </c>
      <c r="N3" s="61">
        <f t="shared" si="0"/>
        <v>46753</v>
      </c>
      <c r="O3" s="61">
        <f t="shared" si="0"/>
        <v>47119</v>
      </c>
      <c r="P3" s="61">
        <f t="shared" si="0"/>
        <v>47484</v>
      </c>
      <c r="Q3" s="61">
        <f t="shared" si="0"/>
        <v>47849</v>
      </c>
      <c r="R3" s="61">
        <f t="shared" si="0"/>
        <v>48214</v>
      </c>
      <c r="S3" s="61">
        <f t="shared" si="0"/>
        <v>48580</v>
      </c>
      <c r="T3" s="61">
        <f t="shared" si="0"/>
        <v>48945</v>
      </c>
      <c r="U3" s="61">
        <f t="shared" si="0"/>
        <v>49310</v>
      </c>
      <c r="V3" s="61">
        <f t="shared" si="0"/>
        <v>49675</v>
      </c>
      <c r="W3" s="61">
        <f t="shared" si="0"/>
        <v>50041</v>
      </c>
      <c r="X3" s="61">
        <f t="shared" si="0"/>
        <v>50406</v>
      </c>
      <c r="Y3" s="61">
        <f t="shared" si="0"/>
        <v>50771</v>
      </c>
      <c r="Z3" s="61">
        <f t="shared" si="0"/>
        <v>51136</v>
      </c>
      <c r="AA3" s="61">
        <f t="shared" si="0"/>
        <v>51502</v>
      </c>
      <c r="AB3" s="61">
        <f t="shared" si="0"/>
        <v>51867</v>
      </c>
      <c r="AC3" s="61">
        <f t="shared" si="0"/>
        <v>52232</v>
      </c>
      <c r="AD3" s="61">
        <f t="shared" si="0"/>
        <v>52597</v>
      </c>
      <c r="AE3" s="61">
        <f t="shared" si="0"/>
        <v>52963</v>
      </c>
      <c r="AF3" s="61">
        <f t="shared" si="0"/>
        <v>53328</v>
      </c>
      <c r="AG3" s="61">
        <f t="shared" si="0"/>
        <v>53693</v>
      </c>
      <c r="AH3" s="61">
        <f t="shared" si="0"/>
        <v>54058</v>
      </c>
      <c r="AI3" s="61">
        <f t="shared" si="0"/>
        <v>54424</v>
      </c>
      <c r="AJ3" s="61">
        <f t="shared" si="0"/>
        <v>54789</v>
      </c>
      <c r="AK3" s="61">
        <f t="shared" si="0"/>
        <v>55154</v>
      </c>
      <c r="AL3" s="61">
        <f t="shared" si="0"/>
        <v>55519</v>
      </c>
      <c r="AM3" s="61">
        <f t="shared" si="0"/>
        <v>55885</v>
      </c>
      <c r="AN3" s="61">
        <f t="shared" si="0"/>
        <v>56250</v>
      </c>
      <c r="AO3" s="61">
        <f t="shared" si="0"/>
        <v>56615</v>
      </c>
      <c r="AP3" s="61">
        <f t="shared" si="0"/>
        <v>56980</v>
      </c>
      <c r="AQ3" s="61">
        <f t="shared" si="0"/>
        <v>57346</v>
      </c>
      <c r="AR3" s="61">
        <f t="shared" si="0"/>
        <v>57711</v>
      </c>
      <c r="AS3" s="61">
        <f t="shared" si="0"/>
        <v>58076</v>
      </c>
      <c r="AT3" s="61">
        <f t="shared" si="0"/>
        <v>58441</v>
      </c>
      <c r="AU3" s="61">
        <f t="shared" si="0"/>
        <v>58807</v>
      </c>
      <c r="AV3" s="61">
        <f t="shared" si="0"/>
        <v>59172</v>
      </c>
      <c r="AW3" s="61">
        <f t="shared" si="0"/>
        <v>59537</v>
      </c>
      <c r="AX3" s="61">
        <f t="shared" si="0"/>
        <v>59902</v>
      </c>
    </row>
    <row r="4" spans="1:50" ht="15" customHeight="1">
      <c r="A4" s="58"/>
      <c r="B4" s="58"/>
      <c r="C4" s="58"/>
      <c r="D4" s="58"/>
      <c r="E4" s="58" t="s">
        <v>75</v>
      </c>
      <c r="F4" s="58"/>
      <c r="G4" s="58"/>
      <c r="H4" s="58"/>
      <c r="I4" s="132"/>
      <c r="J4" s="58"/>
      <c r="K4" s="60">
        <f>Inputs!K13</f>
        <v>46022</v>
      </c>
      <c r="L4" s="61">
        <f t="shared" ref="L4:AX4" si="1">DATE(YEAR(K4) + 1, MONTH(K4), DAY(K4))</f>
        <v>46387</v>
      </c>
      <c r="M4" s="61">
        <f t="shared" si="1"/>
        <v>46752</v>
      </c>
      <c r="N4" s="61">
        <f t="shared" si="1"/>
        <v>47118</v>
      </c>
      <c r="O4" s="61">
        <f t="shared" si="1"/>
        <v>47483</v>
      </c>
      <c r="P4" s="61">
        <f t="shared" si="1"/>
        <v>47848</v>
      </c>
      <c r="Q4" s="61">
        <f t="shared" si="1"/>
        <v>48213</v>
      </c>
      <c r="R4" s="61">
        <f t="shared" si="1"/>
        <v>48579</v>
      </c>
      <c r="S4" s="61">
        <f t="shared" si="1"/>
        <v>48944</v>
      </c>
      <c r="T4" s="61">
        <f t="shared" si="1"/>
        <v>49309</v>
      </c>
      <c r="U4" s="61">
        <f t="shared" si="1"/>
        <v>49674</v>
      </c>
      <c r="V4" s="61">
        <f t="shared" si="1"/>
        <v>50040</v>
      </c>
      <c r="W4" s="61">
        <f t="shared" si="1"/>
        <v>50405</v>
      </c>
      <c r="X4" s="61">
        <f t="shared" si="1"/>
        <v>50770</v>
      </c>
      <c r="Y4" s="61">
        <f t="shared" si="1"/>
        <v>51135</v>
      </c>
      <c r="Z4" s="61">
        <f t="shared" si="1"/>
        <v>51501</v>
      </c>
      <c r="AA4" s="61">
        <f t="shared" si="1"/>
        <v>51866</v>
      </c>
      <c r="AB4" s="61">
        <f t="shared" si="1"/>
        <v>52231</v>
      </c>
      <c r="AC4" s="61">
        <f t="shared" si="1"/>
        <v>52596</v>
      </c>
      <c r="AD4" s="61">
        <f t="shared" si="1"/>
        <v>52962</v>
      </c>
      <c r="AE4" s="61">
        <f t="shared" si="1"/>
        <v>53327</v>
      </c>
      <c r="AF4" s="61">
        <f t="shared" si="1"/>
        <v>53692</v>
      </c>
      <c r="AG4" s="61">
        <f t="shared" si="1"/>
        <v>54057</v>
      </c>
      <c r="AH4" s="61">
        <f t="shared" si="1"/>
        <v>54423</v>
      </c>
      <c r="AI4" s="61">
        <f t="shared" si="1"/>
        <v>54788</v>
      </c>
      <c r="AJ4" s="61">
        <f t="shared" si="1"/>
        <v>55153</v>
      </c>
      <c r="AK4" s="61">
        <f t="shared" si="1"/>
        <v>55518</v>
      </c>
      <c r="AL4" s="61">
        <f t="shared" si="1"/>
        <v>55884</v>
      </c>
      <c r="AM4" s="61">
        <f t="shared" si="1"/>
        <v>56249</v>
      </c>
      <c r="AN4" s="61">
        <f t="shared" si="1"/>
        <v>56614</v>
      </c>
      <c r="AO4" s="61">
        <f t="shared" si="1"/>
        <v>56979</v>
      </c>
      <c r="AP4" s="61">
        <f t="shared" si="1"/>
        <v>57345</v>
      </c>
      <c r="AQ4" s="61">
        <f t="shared" si="1"/>
        <v>57710</v>
      </c>
      <c r="AR4" s="61">
        <f t="shared" si="1"/>
        <v>58075</v>
      </c>
      <c r="AS4" s="61">
        <f t="shared" si="1"/>
        <v>58440</v>
      </c>
      <c r="AT4" s="61">
        <f t="shared" si="1"/>
        <v>58806</v>
      </c>
      <c r="AU4" s="61">
        <f t="shared" si="1"/>
        <v>59171</v>
      </c>
      <c r="AV4" s="61">
        <f t="shared" si="1"/>
        <v>59536</v>
      </c>
      <c r="AW4" s="61">
        <f t="shared" si="1"/>
        <v>59901</v>
      </c>
      <c r="AX4" s="61">
        <f t="shared" si="1"/>
        <v>60267</v>
      </c>
    </row>
    <row r="5" spans="1:50" ht="15" customHeight="1">
      <c r="A5" s="1"/>
      <c r="B5" s="1"/>
      <c r="C5" s="1"/>
      <c r="D5" s="1"/>
      <c r="E5" s="1"/>
      <c r="F5" s="1"/>
      <c r="G5" s="1"/>
      <c r="H5" s="1"/>
      <c r="I5" s="55"/>
      <c r="J5" s="80"/>
      <c r="K5" s="80"/>
      <c r="L5" s="80"/>
      <c r="M5" s="80"/>
      <c r="N5" s="80"/>
      <c r="O5" s="80"/>
      <c r="P5" s="80"/>
      <c r="Q5" s="80"/>
      <c r="R5" s="80"/>
      <c r="S5" s="1"/>
      <c r="T5" s="1"/>
      <c r="U5" s="1"/>
      <c r="V5" s="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</row>
    <row r="6" spans="1:50" ht="15" customHeight="1">
      <c r="A6" s="1"/>
      <c r="B6" s="12" t="s">
        <v>264</v>
      </c>
      <c r="C6" s="50"/>
      <c r="D6" s="50"/>
      <c r="E6" s="50"/>
      <c r="F6" s="51"/>
      <c r="G6" s="51"/>
      <c r="H6" s="51"/>
      <c r="I6" s="133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</row>
    <row r="7" spans="1:50" ht="15" customHeight="1">
      <c r="A7" s="1"/>
      <c r="B7" s="1"/>
      <c r="C7" s="1"/>
      <c r="D7" s="1"/>
      <c r="E7" s="1"/>
      <c r="F7" s="1"/>
      <c r="G7" s="1"/>
      <c r="H7" s="1"/>
      <c r="I7" s="55"/>
      <c r="J7" s="80"/>
      <c r="K7" s="80"/>
      <c r="L7" s="80"/>
      <c r="M7" s="80"/>
      <c r="N7" s="80"/>
      <c r="O7" s="80"/>
      <c r="P7" s="80"/>
      <c r="Q7" s="80"/>
      <c r="R7" s="80"/>
      <c r="S7" s="1"/>
      <c r="T7" s="1"/>
      <c r="U7" s="1"/>
      <c r="V7" s="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</row>
    <row r="8" spans="1:50" ht="15" customHeight="1">
      <c r="A8" s="1"/>
      <c r="B8" s="1"/>
      <c r="C8" s="1"/>
      <c r="D8" s="1"/>
      <c r="E8" s="1" t="s">
        <v>224</v>
      </c>
      <c r="F8" s="1"/>
      <c r="G8" s="11" t="s">
        <v>225</v>
      </c>
      <c r="H8" s="1"/>
      <c r="I8" s="55"/>
      <c r="J8" s="80"/>
      <c r="K8" s="16">
        <f>Inputs!K147</f>
        <v>1</v>
      </c>
      <c r="L8" s="16">
        <f>Inputs!L147</f>
        <v>1</v>
      </c>
      <c r="M8" s="16">
        <f>Inputs!M147</f>
        <v>1</v>
      </c>
      <c r="N8" s="16">
        <f>Inputs!N147</f>
        <v>1</v>
      </c>
      <c r="O8" s="16">
        <f>Inputs!O147</f>
        <v>0</v>
      </c>
      <c r="P8" s="16">
        <f>Inputs!P147</f>
        <v>0</v>
      </c>
      <c r="Q8" s="16">
        <f>Inputs!Q147</f>
        <v>0</v>
      </c>
      <c r="R8" s="16">
        <f>Inputs!R147</f>
        <v>0</v>
      </c>
      <c r="S8" s="16">
        <f>Inputs!S147</f>
        <v>0</v>
      </c>
      <c r="T8" s="16">
        <f>Inputs!T147</f>
        <v>0</v>
      </c>
      <c r="U8" s="16">
        <f>Inputs!U147</f>
        <v>0</v>
      </c>
      <c r="V8" s="16">
        <f>Inputs!V147</f>
        <v>0</v>
      </c>
      <c r="W8" s="16">
        <f>Inputs!W147</f>
        <v>0</v>
      </c>
      <c r="X8" s="16">
        <f>Inputs!X147</f>
        <v>0</v>
      </c>
      <c r="Y8" s="16">
        <f>Inputs!Y147</f>
        <v>0</v>
      </c>
      <c r="Z8" s="16">
        <f>Inputs!Z147</f>
        <v>0</v>
      </c>
      <c r="AA8" s="16">
        <f>Inputs!AA147</f>
        <v>0</v>
      </c>
      <c r="AB8" s="16">
        <f>Inputs!AB147</f>
        <v>0</v>
      </c>
      <c r="AC8" s="16">
        <f>Inputs!AC147</f>
        <v>0</v>
      </c>
      <c r="AD8" s="16">
        <f>Inputs!AD147</f>
        <v>0</v>
      </c>
      <c r="AE8" s="16">
        <f>Inputs!AE147</f>
        <v>0</v>
      </c>
      <c r="AF8" s="16">
        <f>Inputs!AF147</f>
        <v>0</v>
      </c>
      <c r="AG8" s="16">
        <f>Inputs!AG147</f>
        <v>0</v>
      </c>
      <c r="AH8" s="16">
        <f>Inputs!AH147</f>
        <v>0</v>
      </c>
      <c r="AI8" s="16">
        <f>Inputs!AI147</f>
        <v>0</v>
      </c>
      <c r="AJ8" s="16">
        <f>Inputs!AJ147</f>
        <v>0</v>
      </c>
      <c r="AK8" s="16">
        <f>Inputs!AK147</f>
        <v>0</v>
      </c>
      <c r="AL8" s="16">
        <f>Inputs!AL147</f>
        <v>0</v>
      </c>
      <c r="AM8" s="16">
        <f>Inputs!AM147</f>
        <v>0</v>
      </c>
      <c r="AN8" s="16">
        <f>Inputs!AN147</f>
        <v>0</v>
      </c>
      <c r="AO8" s="16">
        <f>Inputs!AO147</f>
        <v>0</v>
      </c>
      <c r="AP8" s="16">
        <f>Inputs!AP147</f>
        <v>0</v>
      </c>
      <c r="AQ8" s="16">
        <f>Inputs!AQ147</f>
        <v>0</v>
      </c>
      <c r="AR8" s="16">
        <f>Inputs!AR147</f>
        <v>0</v>
      </c>
      <c r="AS8" s="16">
        <f>Inputs!AS147</f>
        <v>0</v>
      </c>
      <c r="AT8" s="16">
        <f>Inputs!AT147</f>
        <v>0</v>
      </c>
      <c r="AU8" s="16">
        <f>Inputs!AU147</f>
        <v>0</v>
      </c>
      <c r="AV8" s="16">
        <f>Inputs!AV147</f>
        <v>0</v>
      </c>
      <c r="AW8" s="16">
        <f>Inputs!AW147</f>
        <v>0</v>
      </c>
      <c r="AX8" s="16">
        <f>Inputs!AX147</f>
        <v>0</v>
      </c>
    </row>
    <row r="9" spans="1:50" ht="15" customHeight="1">
      <c r="A9" s="1"/>
      <c r="B9" s="1"/>
      <c r="C9" s="1"/>
      <c r="D9" s="1"/>
      <c r="E9" s="11" t="s">
        <v>227</v>
      </c>
      <c r="F9" s="1"/>
      <c r="G9" s="1" t="s">
        <v>225</v>
      </c>
      <c r="H9" s="1"/>
      <c r="I9" s="55"/>
      <c r="J9" s="80"/>
      <c r="K9" s="16">
        <f>Inputs!K149</f>
        <v>0</v>
      </c>
      <c r="L9" s="16">
        <f>Inputs!L149</f>
        <v>0</v>
      </c>
      <c r="M9" s="16">
        <f>Inputs!M149</f>
        <v>0</v>
      </c>
      <c r="N9" s="16">
        <f>Inputs!N149</f>
        <v>0</v>
      </c>
      <c r="O9" s="16">
        <f>Inputs!O149</f>
        <v>0</v>
      </c>
      <c r="P9" s="16">
        <f>Inputs!P149</f>
        <v>0</v>
      </c>
      <c r="Q9" s="16">
        <f>Inputs!Q149</f>
        <v>1</v>
      </c>
      <c r="R9" s="16">
        <f>Inputs!R149</f>
        <v>1</v>
      </c>
      <c r="S9" s="16">
        <f>Inputs!S149</f>
        <v>1</v>
      </c>
      <c r="T9" s="16">
        <f>Inputs!T149</f>
        <v>1</v>
      </c>
      <c r="U9" s="16">
        <f>Inputs!U149</f>
        <v>1</v>
      </c>
      <c r="V9" s="16">
        <f>Inputs!V149</f>
        <v>1</v>
      </c>
      <c r="W9" s="16">
        <f>Inputs!W149</f>
        <v>1</v>
      </c>
      <c r="X9" s="16">
        <f>Inputs!X149</f>
        <v>1</v>
      </c>
      <c r="Y9" s="16">
        <f>Inputs!Y149</f>
        <v>1</v>
      </c>
      <c r="Z9" s="16">
        <f>Inputs!Z149</f>
        <v>1</v>
      </c>
      <c r="AA9" s="16">
        <f>Inputs!AA149</f>
        <v>1</v>
      </c>
      <c r="AB9" s="16">
        <f>Inputs!AB149</f>
        <v>1</v>
      </c>
      <c r="AC9" s="16">
        <f>Inputs!AC149</f>
        <v>1</v>
      </c>
      <c r="AD9" s="16">
        <f>Inputs!AD149</f>
        <v>1</v>
      </c>
      <c r="AE9" s="16">
        <f>Inputs!AE149</f>
        <v>1</v>
      </c>
      <c r="AF9" s="16">
        <f>Inputs!AF149</f>
        <v>1</v>
      </c>
      <c r="AG9" s="16">
        <f>Inputs!AG149</f>
        <v>1</v>
      </c>
      <c r="AH9" s="16">
        <f>Inputs!AH149</f>
        <v>1</v>
      </c>
      <c r="AI9" s="16">
        <f>Inputs!AI149</f>
        <v>1</v>
      </c>
      <c r="AJ9" s="16">
        <f>Inputs!AJ149</f>
        <v>1</v>
      </c>
      <c r="AK9" s="16">
        <f>Inputs!AK149</f>
        <v>1</v>
      </c>
      <c r="AL9" s="16">
        <f>Inputs!AL149</f>
        <v>1</v>
      </c>
      <c r="AM9" s="16">
        <f>Inputs!AM149</f>
        <v>1</v>
      </c>
      <c r="AN9" s="16">
        <f>Inputs!AN149</f>
        <v>0</v>
      </c>
      <c r="AO9" s="16">
        <f>Inputs!AO149</f>
        <v>0</v>
      </c>
      <c r="AP9" s="16">
        <f>Inputs!AP149</f>
        <v>0</v>
      </c>
      <c r="AQ9" s="16">
        <f>Inputs!AQ149</f>
        <v>0</v>
      </c>
      <c r="AR9" s="16">
        <f>Inputs!AR149</f>
        <v>0</v>
      </c>
      <c r="AS9" s="16">
        <f>Inputs!AS149</f>
        <v>0</v>
      </c>
      <c r="AT9" s="16">
        <f>Inputs!AT149</f>
        <v>0</v>
      </c>
      <c r="AU9" s="16">
        <f>Inputs!AU149</f>
        <v>0</v>
      </c>
      <c r="AV9" s="16">
        <f>Inputs!AV149</f>
        <v>0</v>
      </c>
      <c r="AW9" s="16">
        <f>Inputs!AW149</f>
        <v>0</v>
      </c>
      <c r="AX9" s="16">
        <f>Inputs!AX149</f>
        <v>0</v>
      </c>
    </row>
    <row r="10" spans="1:50" ht="15" customHeight="1">
      <c r="A10" s="1"/>
      <c r="B10" s="1"/>
      <c r="C10" s="1"/>
      <c r="D10" s="1"/>
      <c r="E10" s="11" t="s">
        <v>229</v>
      </c>
      <c r="F10" s="1"/>
      <c r="G10" s="1" t="s">
        <v>230</v>
      </c>
      <c r="H10" s="1"/>
      <c r="I10" s="55"/>
      <c r="J10" s="80"/>
      <c r="K10" s="16">
        <f>Inputs!K151</f>
        <v>0</v>
      </c>
      <c r="L10" s="16">
        <f>Inputs!L151</f>
        <v>0</v>
      </c>
      <c r="M10" s="16">
        <f>Inputs!M151</f>
        <v>0</v>
      </c>
      <c r="N10" s="16">
        <f>Inputs!N151</f>
        <v>0</v>
      </c>
      <c r="O10" s="16">
        <f>Inputs!O151</f>
        <v>1</v>
      </c>
      <c r="P10" s="16">
        <f>Inputs!P151</f>
        <v>2</v>
      </c>
      <c r="Q10" s="16">
        <f>Inputs!Q151</f>
        <v>3</v>
      </c>
      <c r="R10" s="16">
        <f>Inputs!R151</f>
        <v>4</v>
      </c>
      <c r="S10" s="16">
        <f>Inputs!S151</f>
        <v>5</v>
      </c>
      <c r="T10" s="16">
        <f>Inputs!T151</f>
        <v>6</v>
      </c>
      <c r="U10" s="16">
        <f>Inputs!U151</f>
        <v>7</v>
      </c>
      <c r="V10" s="16">
        <f>Inputs!V151</f>
        <v>8</v>
      </c>
      <c r="W10" s="16">
        <f>Inputs!W151</f>
        <v>9</v>
      </c>
      <c r="X10" s="16">
        <f>Inputs!X151</f>
        <v>10</v>
      </c>
      <c r="Y10" s="16">
        <f>Inputs!Y151</f>
        <v>11</v>
      </c>
      <c r="Z10" s="16">
        <f>Inputs!Z151</f>
        <v>12</v>
      </c>
      <c r="AA10" s="16">
        <f>Inputs!AA151</f>
        <v>13</v>
      </c>
      <c r="AB10" s="16">
        <f>Inputs!AB151</f>
        <v>14</v>
      </c>
      <c r="AC10" s="16">
        <f>Inputs!AC151</f>
        <v>15</v>
      </c>
      <c r="AD10" s="16">
        <f>Inputs!AD151</f>
        <v>16</v>
      </c>
      <c r="AE10" s="16">
        <f>Inputs!AE151</f>
        <v>17</v>
      </c>
      <c r="AF10" s="16">
        <f>Inputs!AF151</f>
        <v>18</v>
      </c>
      <c r="AG10" s="16">
        <f>Inputs!AG151</f>
        <v>19</v>
      </c>
      <c r="AH10" s="16">
        <f>Inputs!AH151</f>
        <v>20</v>
      </c>
      <c r="AI10" s="16">
        <f>Inputs!AI151</f>
        <v>21</v>
      </c>
      <c r="AJ10" s="16">
        <f>Inputs!AJ151</f>
        <v>22</v>
      </c>
      <c r="AK10" s="16">
        <f>Inputs!AK151</f>
        <v>23</v>
      </c>
      <c r="AL10" s="16">
        <f>Inputs!AL151</f>
        <v>24</v>
      </c>
      <c r="AM10" s="16">
        <f>Inputs!AM151</f>
        <v>25</v>
      </c>
      <c r="AN10" s="16">
        <f>Inputs!AN151</f>
        <v>0</v>
      </c>
      <c r="AO10" s="16">
        <f>Inputs!AO151</f>
        <v>0</v>
      </c>
      <c r="AP10" s="16">
        <f>Inputs!AP151</f>
        <v>0</v>
      </c>
      <c r="AQ10" s="16">
        <f>Inputs!AQ151</f>
        <v>0</v>
      </c>
      <c r="AR10" s="16">
        <f>Inputs!AR151</f>
        <v>0</v>
      </c>
      <c r="AS10" s="16">
        <f>Inputs!AS151</f>
        <v>0</v>
      </c>
      <c r="AT10" s="16">
        <f>Inputs!AT151</f>
        <v>0</v>
      </c>
      <c r="AU10" s="16">
        <f>Inputs!AU151</f>
        <v>0</v>
      </c>
      <c r="AV10" s="16">
        <f>Inputs!AV151</f>
        <v>0</v>
      </c>
      <c r="AW10" s="16">
        <f>Inputs!AW151</f>
        <v>0</v>
      </c>
      <c r="AX10" s="16">
        <f>Inputs!AX151</f>
        <v>0</v>
      </c>
    </row>
    <row r="11" spans="1:50" ht="15" customHeight="1">
      <c r="A11" s="1"/>
      <c r="B11" s="1"/>
      <c r="C11" s="1"/>
      <c r="D11" s="1"/>
      <c r="E11" s="11" t="s">
        <v>231</v>
      </c>
      <c r="F11" s="1"/>
      <c r="G11" s="1" t="s">
        <v>225</v>
      </c>
      <c r="H11" s="1"/>
      <c r="I11" s="55"/>
      <c r="J11" s="80"/>
      <c r="K11" s="16">
        <f>Inputs!K152</f>
        <v>0</v>
      </c>
      <c r="L11" s="16">
        <f>Inputs!L152</f>
        <v>0</v>
      </c>
      <c r="M11" s="16">
        <f>Inputs!M152</f>
        <v>0</v>
      </c>
      <c r="N11" s="16">
        <f>Inputs!N152</f>
        <v>0</v>
      </c>
      <c r="O11" s="16">
        <f>Inputs!O152</f>
        <v>1</v>
      </c>
      <c r="P11" s="16">
        <f>Inputs!P152</f>
        <v>0</v>
      </c>
      <c r="Q11" s="16">
        <f>Inputs!Q152</f>
        <v>0</v>
      </c>
      <c r="R11" s="16">
        <f>Inputs!R152</f>
        <v>0</v>
      </c>
      <c r="S11" s="16">
        <f>Inputs!S152</f>
        <v>0</v>
      </c>
      <c r="T11" s="16">
        <f>Inputs!T152</f>
        <v>0</v>
      </c>
      <c r="U11" s="16">
        <f>Inputs!U152</f>
        <v>0</v>
      </c>
      <c r="V11" s="16">
        <f>Inputs!V152</f>
        <v>0</v>
      </c>
      <c r="W11" s="16">
        <f>Inputs!W152</f>
        <v>0</v>
      </c>
      <c r="X11" s="16">
        <f>Inputs!X152</f>
        <v>0</v>
      </c>
      <c r="Y11" s="16">
        <f>Inputs!Y152</f>
        <v>0</v>
      </c>
      <c r="Z11" s="16">
        <f>Inputs!Z152</f>
        <v>0</v>
      </c>
      <c r="AA11" s="16">
        <f>Inputs!AA152</f>
        <v>0</v>
      </c>
      <c r="AB11" s="16">
        <f>Inputs!AB152</f>
        <v>0</v>
      </c>
      <c r="AC11" s="16">
        <f>Inputs!AC152</f>
        <v>0</v>
      </c>
      <c r="AD11" s="16">
        <f>Inputs!AD152</f>
        <v>0</v>
      </c>
      <c r="AE11" s="16">
        <f>Inputs!AE152</f>
        <v>0</v>
      </c>
      <c r="AF11" s="16">
        <f>Inputs!AF152</f>
        <v>0</v>
      </c>
      <c r="AG11" s="16">
        <f>Inputs!AG152</f>
        <v>0</v>
      </c>
      <c r="AH11" s="16">
        <f>Inputs!AH152</f>
        <v>0</v>
      </c>
      <c r="AI11" s="16">
        <f>Inputs!AI152</f>
        <v>0</v>
      </c>
      <c r="AJ11" s="16">
        <f>Inputs!AJ152</f>
        <v>0</v>
      </c>
      <c r="AK11" s="16">
        <f>Inputs!AK152</f>
        <v>0</v>
      </c>
      <c r="AL11" s="16">
        <f>Inputs!AL152</f>
        <v>0</v>
      </c>
      <c r="AM11" s="16">
        <f>Inputs!AM152</f>
        <v>0</v>
      </c>
      <c r="AN11" s="16">
        <f>Inputs!AN152</f>
        <v>0</v>
      </c>
      <c r="AO11" s="16">
        <f>Inputs!AO152</f>
        <v>0</v>
      </c>
      <c r="AP11" s="16">
        <f>Inputs!AP152</f>
        <v>0</v>
      </c>
      <c r="AQ11" s="16">
        <f>Inputs!AQ152</f>
        <v>0</v>
      </c>
      <c r="AR11" s="16">
        <f>Inputs!AR152</f>
        <v>0</v>
      </c>
      <c r="AS11" s="16">
        <f>Inputs!AS152</f>
        <v>0</v>
      </c>
      <c r="AT11" s="16">
        <f>Inputs!AT152</f>
        <v>0</v>
      </c>
      <c r="AU11" s="16">
        <f>Inputs!AU152</f>
        <v>0</v>
      </c>
      <c r="AV11" s="16">
        <f>Inputs!AV152</f>
        <v>0</v>
      </c>
      <c r="AW11" s="16">
        <f>Inputs!AW152</f>
        <v>0</v>
      </c>
      <c r="AX11" s="16">
        <f>Inputs!AX152</f>
        <v>0</v>
      </c>
    </row>
    <row r="12" spans="1:50" ht="15" customHeight="1">
      <c r="E12" s="11" t="s">
        <v>232</v>
      </c>
      <c r="G12" s="11" t="s">
        <v>225</v>
      </c>
      <c r="I12" s="88"/>
      <c r="K12" s="16">
        <f>Inputs!K153</f>
        <v>0</v>
      </c>
      <c r="L12" s="16">
        <f>Inputs!L153</f>
        <v>0</v>
      </c>
      <c r="M12" s="16">
        <f>Inputs!M153</f>
        <v>0</v>
      </c>
      <c r="N12" s="16">
        <f>Inputs!N153</f>
        <v>0</v>
      </c>
      <c r="O12" s="16">
        <f>Inputs!O153</f>
        <v>0</v>
      </c>
      <c r="P12" s="16">
        <f>Inputs!P153</f>
        <v>0</v>
      </c>
      <c r="Q12" s="16">
        <f>Inputs!Q153</f>
        <v>1</v>
      </c>
      <c r="R12" s="16">
        <f>Inputs!R153</f>
        <v>0</v>
      </c>
      <c r="S12" s="16">
        <f>Inputs!S153</f>
        <v>0</v>
      </c>
      <c r="T12" s="16">
        <f>Inputs!T153</f>
        <v>0</v>
      </c>
      <c r="U12" s="16">
        <f>Inputs!U153</f>
        <v>0</v>
      </c>
      <c r="V12" s="16">
        <f>Inputs!V153</f>
        <v>0</v>
      </c>
      <c r="W12" s="16">
        <f>Inputs!W153</f>
        <v>0</v>
      </c>
      <c r="X12" s="16">
        <f>Inputs!X153</f>
        <v>0</v>
      </c>
      <c r="Y12" s="16">
        <f>Inputs!Y153</f>
        <v>0</v>
      </c>
      <c r="Z12" s="16">
        <f>Inputs!Z153</f>
        <v>0</v>
      </c>
      <c r="AA12" s="16">
        <f>Inputs!AA153</f>
        <v>0</v>
      </c>
      <c r="AB12" s="16">
        <f>Inputs!AB153</f>
        <v>0</v>
      </c>
      <c r="AC12" s="16">
        <f>Inputs!AC153</f>
        <v>0</v>
      </c>
      <c r="AD12" s="16">
        <f>Inputs!AD153</f>
        <v>0</v>
      </c>
      <c r="AE12" s="16">
        <f>Inputs!AE153</f>
        <v>0</v>
      </c>
      <c r="AF12" s="16">
        <f>Inputs!AF153</f>
        <v>0</v>
      </c>
      <c r="AG12" s="16">
        <f>Inputs!AG153</f>
        <v>0</v>
      </c>
      <c r="AH12" s="16">
        <f>Inputs!AH153</f>
        <v>0</v>
      </c>
      <c r="AI12" s="16">
        <f>Inputs!AI153</f>
        <v>0</v>
      </c>
      <c r="AJ12" s="16">
        <f>Inputs!AJ153</f>
        <v>0</v>
      </c>
      <c r="AK12" s="16">
        <f>Inputs!AK153</f>
        <v>0</v>
      </c>
      <c r="AL12" s="16">
        <f>Inputs!AL153</f>
        <v>0</v>
      </c>
      <c r="AM12" s="16">
        <f>Inputs!AM153</f>
        <v>0</v>
      </c>
      <c r="AN12" s="16">
        <f>Inputs!AN153</f>
        <v>0</v>
      </c>
      <c r="AO12" s="16">
        <f>Inputs!AO153</f>
        <v>0</v>
      </c>
      <c r="AP12" s="16">
        <f>Inputs!AP153</f>
        <v>0</v>
      </c>
      <c r="AQ12" s="16">
        <f>Inputs!AQ153</f>
        <v>0</v>
      </c>
      <c r="AR12" s="16">
        <f>Inputs!AR153</f>
        <v>0</v>
      </c>
      <c r="AS12" s="16">
        <f>Inputs!AS153</f>
        <v>0</v>
      </c>
      <c r="AT12" s="16">
        <f>Inputs!AT153</f>
        <v>0</v>
      </c>
      <c r="AU12" s="16">
        <f>Inputs!AU153</f>
        <v>0</v>
      </c>
      <c r="AV12" s="16">
        <f>Inputs!AV153</f>
        <v>0</v>
      </c>
      <c r="AW12" s="16">
        <f>Inputs!AW153</f>
        <v>0</v>
      </c>
      <c r="AX12" s="16">
        <f>Inputs!AX153</f>
        <v>0</v>
      </c>
    </row>
    <row r="13" spans="1:50" ht="15" customHeight="1">
      <c r="E13" s="11" t="s">
        <v>234</v>
      </c>
      <c r="G13" s="11" t="s">
        <v>225</v>
      </c>
      <c r="I13" s="88"/>
      <c r="K13" s="16">
        <f>Inputs!K154</f>
        <v>1</v>
      </c>
      <c r="L13" s="16">
        <f>Inputs!L154</f>
        <v>0</v>
      </c>
      <c r="M13" s="16">
        <f>Inputs!M154</f>
        <v>0</v>
      </c>
      <c r="N13" s="16">
        <f>Inputs!N154</f>
        <v>0</v>
      </c>
      <c r="O13" s="16">
        <f>Inputs!O154</f>
        <v>0</v>
      </c>
      <c r="P13" s="16">
        <f>Inputs!P154</f>
        <v>0</v>
      </c>
      <c r="Q13" s="16">
        <f>Inputs!Q154</f>
        <v>0</v>
      </c>
      <c r="R13" s="16">
        <f>Inputs!R154</f>
        <v>0</v>
      </c>
      <c r="S13" s="16">
        <f>Inputs!S154</f>
        <v>0</v>
      </c>
      <c r="T13" s="16">
        <f>Inputs!T154</f>
        <v>0</v>
      </c>
      <c r="U13" s="16">
        <f>Inputs!U154</f>
        <v>0</v>
      </c>
      <c r="V13" s="16">
        <f>Inputs!V154</f>
        <v>0</v>
      </c>
      <c r="W13" s="16">
        <f>Inputs!W154</f>
        <v>0</v>
      </c>
      <c r="X13" s="16">
        <f>Inputs!X154</f>
        <v>0</v>
      </c>
      <c r="Y13" s="16">
        <f>Inputs!Y154</f>
        <v>0</v>
      </c>
      <c r="Z13" s="16">
        <f>Inputs!Z154</f>
        <v>0</v>
      </c>
      <c r="AA13" s="16">
        <f>Inputs!AA154</f>
        <v>0</v>
      </c>
      <c r="AB13" s="16">
        <f>Inputs!AB154</f>
        <v>0</v>
      </c>
      <c r="AC13" s="16">
        <f>Inputs!AC154</f>
        <v>0</v>
      </c>
      <c r="AD13" s="16">
        <f>Inputs!AD154</f>
        <v>0</v>
      </c>
      <c r="AE13" s="16">
        <f>Inputs!AE154</f>
        <v>0</v>
      </c>
      <c r="AF13" s="16">
        <f>Inputs!AF154</f>
        <v>0</v>
      </c>
      <c r="AG13" s="16">
        <f>Inputs!AG154</f>
        <v>0</v>
      </c>
      <c r="AH13" s="16">
        <f>Inputs!AH154</f>
        <v>0</v>
      </c>
      <c r="AI13" s="16">
        <f>Inputs!AI154</f>
        <v>0</v>
      </c>
      <c r="AJ13" s="16">
        <f>Inputs!AJ154</f>
        <v>0</v>
      </c>
      <c r="AK13" s="16">
        <f>Inputs!AK154</f>
        <v>0</v>
      </c>
      <c r="AL13" s="16">
        <f>Inputs!AL154</f>
        <v>0</v>
      </c>
      <c r="AM13" s="16">
        <f>Inputs!AM154</f>
        <v>0</v>
      </c>
      <c r="AN13" s="16">
        <f>Inputs!AN154</f>
        <v>0</v>
      </c>
      <c r="AO13" s="16">
        <f>Inputs!AO154</f>
        <v>0</v>
      </c>
      <c r="AP13" s="16">
        <f>Inputs!AP154</f>
        <v>0</v>
      </c>
      <c r="AQ13" s="16">
        <f>Inputs!AQ154</f>
        <v>0</v>
      </c>
      <c r="AR13" s="16">
        <f>Inputs!AR154</f>
        <v>0</v>
      </c>
      <c r="AS13" s="16">
        <f>Inputs!AS154</f>
        <v>0</v>
      </c>
      <c r="AT13" s="16">
        <f>Inputs!AT154</f>
        <v>0</v>
      </c>
      <c r="AU13" s="16">
        <f>Inputs!AU154</f>
        <v>0</v>
      </c>
      <c r="AV13" s="16">
        <f>Inputs!AV154</f>
        <v>0</v>
      </c>
      <c r="AW13" s="16">
        <f>Inputs!AW154</f>
        <v>0</v>
      </c>
      <c r="AX13" s="16">
        <f>Inputs!AX154</f>
        <v>0</v>
      </c>
    </row>
    <row r="14" spans="1:50" ht="15" customHeight="1">
      <c r="A14" s="86"/>
      <c r="E14" s="11" t="s">
        <v>235</v>
      </c>
      <c r="G14" s="11" t="s">
        <v>225</v>
      </c>
      <c r="I14" s="88"/>
      <c r="K14" s="16">
        <f>Inputs!K155</f>
        <v>0</v>
      </c>
      <c r="L14" s="16">
        <f>Inputs!L155</f>
        <v>1</v>
      </c>
      <c r="M14" s="16">
        <f>Inputs!M155</f>
        <v>0</v>
      </c>
      <c r="N14" s="16">
        <f>Inputs!N155</f>
        <v>0</v>
      </c>
      <c r="O14" s="16">
        <f>Inputs!O155</f>
        <v>0</v>
      </c>
      <c r="P14" s="16">
        <f>Inputs!P155</f>
        <v>0</v>
      </c>
      <c r="Q14" s="16">
        <f>Inputs!Q155</f>
        <v>0</v>
      </c>
      <c r="R14" s="16">
        <f>Inputs!R155</f>
        <v>0</v>
      </c>
      <c r="S14" s="16">
        <f>Inputs!S155</f>
        <v>0</v>
      </c>
      <c r="T14" s="16">
        <f>Inputs!T155</f>
        <v>0</v>
      </c>
      <c r="U14" s="16">
        <f>Inputs!U155</f>
        <v>0</v>
      </c>
      <c r="V14" s="16">
        <f>Inputs!V155</f>
        <v>0</v>
      </c>
      <c r="W14" s="16">
        <f>Inputs!W155</f>
        <v>0</v>
      </c>
      <c r="X14" s="16">
        <f>Inputs!X155</f>
        <v>0</v>
      </c>
      <c r="Y14" s="16">
        <f>Inputs!Y155</f>
        <v>0</v>
      </c>
      <c r="Z14" s="16">
        <f>Inputs!Z155</f>
        <v>0</v>
      </c>
      <c r="AA14" s="16">
        <f>Inputs!AA155</f>
        <v>0</v>
      </c>
      <c r="AB14" s="16">
        <f>Inputs!AB155</f>
        <v>0</v>
      </c>
      <c r="AC14" s="16">
        <f>Inputs!AC155</f>
        <v>0</v>
      </c>
      <c r="AD14" s="16">
        <f>Inputs!AD155</f>
        <v>0</v>
      </c>
      <c r="AE14" s="16">
        <f>Inputs!AE155</f>
        <v>0</v>
      </c>
      <c r="AF14" s="16">
        <f>Inputs!AF155</f>
        <v>0</v>
      </c>
      <c r="AG14" s="16">
        <f>Inputs!AG155</f>
        <v>0</v>
      </c>
      <c r="AH14" s="16">
        <f>Inputs!AH155</f>
        <v>0</v>
      </c>
      <c r="AI14" s="16">
        <f>Inputs!AI155</f>
        <v>0</v>
      </c>
      <c r="AJ14" s="16">
        <f>Inputs!AJ155</f>
        <v>0</v>
      </c>
      <c r="AK14" s="16">
        <f>Inputs!AK155</f>
        <v>0</v>
      </c>
      <c r="AL14" s="16">
        <f>Inputs!AL155</f>
        <v>0</v>
      </c>
      <c r="AM14" s="16">
        <f>Inputs!AM155</f>
        <v>0</v>
      </c>
      <c r="AN14" s="16">
        <f>Inputs!AN155</f>
        <v>0</v>
      </c>
      <c r="AO14" s="16">
        <f>Inputs!AO155</f>
        <v>0</v>
      </c>
      <c r="AP14" s="16">
        <f>Inputs!AP155</f>
        <v>0</v>
      </c>
      <c r="AQ14" s="16">
        <f>Inputs!AQ155</f>
        <v>0</v>
      </c>
      <c r="AR14" s="16">
        <f>Inputs!AR155</f>
        <v>0</v>
      </c>
      <c r="AS14" s="16">
        <f>Inputs!AS155</f>
        <v>0</v>
      </c>
      <c r="AT14" s="16">
        <f>Inputs!AT155</f>
        <v>0</v>
      </c>
      <c r="AU14" s="16">
        <f>Inputs!AU155</f>
        <v>0</v>
      </c>
      <c r="AV14" s="16">
        <f>Inputs!AV155</f>
        <v>0</v>
      </c>
      <c r="AW14" s="16">
        <f>Inputs!AW155</f>
        <v>0</v>
      </c>
      <c r="AX14" s="16">
        <f>Inputs!AX155</f>
        <v>0</v>
      </c>
    </row>
    <row r="15" spans="1:50" ht="15" customHeight="1">
      <c r="A15" s="86"/>
      <c r="E15" s="11" t="s">
        <v>236</v>
      </c>
      <c r="G15" s="11" t="s">
        <v>225</v>
      </c>
      <c r="I15" s="88"/>
      <c r="K15" s="16">
        <f>Inputs!K156</f>
        <v>0</v>
      </c>
      <c r="L15" s="16">
        <f>Inputs!L156</f>
        <v>1</v>
      </c>
      <c r="M15" s="16">
        <f>Inputs!M156</f>
        <v>1</v>
      </c>
      <c r="N15" s="16">
        <f>Inputs!N156</f>
        <v>1</v>
      </c>
      <c r="O15" s="16">
        <f>Inputs!O156</f>
        <v>1</v>
      </c>
      <c r="P15" s="16">
        <f>Inputs!P156</f>
        <v>1</v>
      </c>
      <c r="Q15" s="16">
        <f>Inputs!Q156</f>
        <v>0</v>
      </c>
      <c r="R15" s="16">
        <f>Inputs!R156</f>
        <v>0</v>
      </c>
      <c r="S15" s="16">
        <f>Inputs!S156</f>
        <v>0</v>
      </c>
      <c r="T15" s="16">
        <f>Inputs!T156</f>
        <v>0</v>
      </c>
      <c r="U15" s="16">
        <f>Inputs!U156</f>
        <v>0</v>
      </c>
      <c r="V15" s="16">
        <f>Inputs!V156</f>
        <v>0</v>
      </c>
      <c r="W15" s="16">
        <f>Inputs!W156</f>
        <v>0</v>
      </c>
      <c r="X15" s="16">
        <f>Inputs!X156</f>
        <v>0</v>
      </c>
      <c r="Y15" s="16">
        <f>Inputs!Y156</f>
        <v>0</v>
      </c>
      <c r="Z15" s="16">
        <f>Inputs!Z156</f>
        <v>0</v>
      </c>
      <c r="AA15" s="16">
        <f>Inputs!AA156</f>
        <v>0</v>
      </c>
      <c r="AB15" s="16">
        <f>Inputs!AB156</f>
        <v>0</v>
      </c>
      <c r="AC15" s="16">
        <f>Inputs!AC156</f>
        <v>0</v>
      </c>
      <c r="AD15" s="16">
        <f>Inputs!AD156</f>
        <v>0</v>
      </c>
      <c r="AE15" s="16">
        <f>Inputs!AE156</f>
        <v>0</v>
      </c>
      <c r="AF15" s="16">
        <f>Inputs!AF156</f>
        <v>0</v>
      </c>
      <c r="AG15" s="16">
        <f>Inputs!AG156</f>
        <v>0</v>
      </c>
      <c r="AH15" s="16">
        <f>Inputs!AH156</f>
        <v>0</v>
      </c>
      <c r="AI15" s="16">
        <f>Inputs!AI156</f>
        <v>0</v>
      </c>
      <c r="AJ15" s="16">
        <f>Inputs!AJ156</f>
        <v>0</v>
      </c>
      <c r="AK15" s="16">
        <f>Inputs!AK156</f>
        <v>0</v>
      </c>
      <c r="AL15" s="16">
        <f>Inputs!AL156</f>
        <v>0</v>
      </c>
      <c r="AM15" s="16">
        <f>Inputs!AM156</f>
        <v>0</v>
      </c>
      <c r="AN15" s="16">
        <f>Inputs!AN156</f>
        <v>0</v>
      </c>
      <c r="AO15" s="16">
        <f>Inputs!AO156</f>
        <v>0</v>
      </c>
      <c r="AP15" s="16">
        <f>Inputs!AP156</f>
        <v>0</v>
      </c>
      <c r="AQ15" s="16">
        <f>Inputs!AQ156</f>
        <v>0</v>
      </c>
      <c r="AR15" s="16">
        <f>Inputs!AR156</f>
        <v>0</v>
      </c>
      <c r="AS15" s="16">
        <f>Inputs!AS156</f>
        <v>0</v>
      </c>
      <c r="AT15" s="16">
        <f>Inputs!AT156</f>
        <v>0</v>
      </c>
      <c r="AU15" s="16">
        <f>Inputs!AU156</f>
        <v>0</v>
      </c>
      <c r="AV15" s="16">
        <f>Inputs!AV156</f>
        <v>0</v>
      </c>
      <c r="AW15" s="16">
        <f>Inputs!AW156</f>
        <v>0</v>
      </c>
      <c r="AX15" s="16">
        <f>Inputs!AX156</f>
        <v>0</v>
      </c>
    </row>
    <row r="16" spans="1:50" ht="15" customHeight="1">
      <c r="A16" s="86"/>
      <c r="E16" s="11" t="s">
        <v>288</v>
      </c>
      <c r="G16" s="11" t="s">
        <v>230</v>
      </c>
      <c r="I16" s="88"/>
      <c r="K16" s="16">
        <f>Inputs!K158</f>
        <v>0</v>
      </c>
      <c r="L16" s="16">
        <f>Inputs!L158</f>
        <v>0</v>
      </c>
      <c r="M16" s="16">
        <f>Inputs!M158</f>
        <v>0</v>
      </c>
      <c r="N16" s="16">
        <f>Inputs!N158</f>
        <v>0</v>
      </c>
      <c r="O16" s="16">
        <f>Inputs!O158</f>
        <v>0</v>
      </c>
      <c r="P16" s="16">
        <f>Inputs!P158</f>
        <v>0</v>
      </c>
      <c r="Q16" s="16">
        <f>Inputs!Q158</f>
        <v>1</v>
      </c>
      <c r="R16" s="16">
        <f>Inputs!R158</f>
        <v>2</v>
      </c>
      <c r="S16" s="16">
        <f>Inputs!S158</f>
        <v>3</v>
      </c>
      <c r="T16" s="16">
        <f>Inputs!T158</f>
        <v>4</v>
      </c>
      <c r="U16" s="16">
        <f>Inputs!U158</f>
        <v>5</v>
      </c>
      <c r="V16" s="16">
        <f>Inputs!V158</f>
        <v>6</v>
      </c>
      <c r="W16" s="16">
        <f>Inputs!W158</f>
        <v>7</v>
      </c>
      <c r="X16" s="16">
        <f>Inputs!X158</f>
        <v>8</v>
      </c>
      <c r="Y16" s="16">
        <f>Inputs!Y158</f>
        <v>9</v>
      </c>
      <c r="Z16" s="16">
        <f>Inputs!Z158</f>
        <v>10</v>
      </c>
      <c r="AA16" s="16">
        <f>Inputs!AA158</f>
        <v>11</v>
      </c>
      <c r="AB16" s="16">
        <f>Inputs!AB158</f>
        <v>12</v>
      </c>
      <c r="AC16" s="16">
        <f>Inputs!AC158</f>
        <v>13</v>
      </c>
      <c r="AD16" s="16">
        <f>Inputs!AD158</f>
        <v>14</v>
      </c>
      <c r="AE16" s="16">
        <f>Inputs!AE158</f>
        <v>15</v>
      </c>
      <c r="AF16" s="16">
        <f>Inputs!AF158</f>
        <v>16</v>
      </c>
      <c r="AG16" s="16">
        <f>Inputs!AG158</f>
        <v>17</v>
      </c>
      <c r="AH16" s="16">
        <f>Inputs!AH158</f>
        <v>18</v>
      </c>
      <c r="AI16" s="16">
        <f>Inputs!AI158</f>
        <v>19</v>
      </c>
      <c r="AJ16" s="16">
        <f>Inputs!AJ158</f>
        <v>20</v>
      </c>
      <c r="AK16" s="16">
        <f>Inputs!AK158</f>
        <v>21</v>
      </c>
      <c r="AL16" s="16">
        <f>Inputs!AL158</f>
        <v>22</v>
      </c>
      <c r="AM16" s="16">
        <f>Inputs!AM158</f>
        <v>23</v>
      </c>
      <c r="AN16" s="16">
        <f>Inputs!AN158</f>
        <v>24</v>
      </c>
      <c r="AO16" s="16">
        <f>Inputs!AO158</f>
        <v>25</v>
      </c>
      <c r="AP16" s="16">
        <f>Inputs!AP158</f>
        <v>0</v>
      </c>
      <c r="AQ16" s="16">
        <f>Inputs!AQ158</f>
        <v>0</v>
      </c>
      <c r="AR16" s="16">
        <f>Inputs!AR158</f>
        <v>0</v>
      </c>
      <c r="AS16" s="16">
        <f>Inputs!AS158</f>
        <v>0</v>
      </c>
      <c r="AT16" s="16">
        <f>Inputs!AT158</f>
        <v>0</v>
      </c>
      <c r="AU16" s="16">
        <f>Inputs!AU158</f>
        <v>0</v>
      </c>
      <c r="AV16" s="16">
        <f>Inputs!AV158</f>
        <v>0</v>
      </c>
      <c r="AW16" s="16">
        <f>Inputs!AW158</f>
        <v>0</v>
      </c>
      <c r="AX16" s="16">
        <f>Inputs!AX158</f>
        <v>0</v>
      </c>
    </row>
    <row r="17" spans="1:50" ht="15" customHeight="1">
      <c r="A17" s="1"/>
      <c r="B17" s="1"/>
      <c r="C17" s="1"/>
      <c r="D17" s="1"/>
      <c r="E17" s="1"/>
      <c r="F17" s="1"/>
      <c r="G17" s="1"/>
      <c r="H17" s="1"/>
      <c r="I17" s="55"/>
      <c r="J17" s="80"/>
      <c r="K17" s="80"/>
      <c r="L17" s="80"/>
      <c r="M17" s="80"/>
      <c r="N17" s="80"/>
      <c r="O17" s="80"/>
      <c r="P17" s="80"/>
      <c r="Q17" s="80"/>
      <c r="R17" s="80"/>
      <c r="S17" s="1"/>
      <c r="T17" s="1"/>
      <c r="U17" s="1"/>
      <c r="V17" s="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</row>
    <row r="18" spans="1:50" ht="15" customHeight="1">
      <c r="A18" s="1"/>
      <c r="B18" s="12" t="s">
        <v>289</v>
      </c>
      <c r="C18" s="50"/>
      <c r="D18" s="50"/>
      <c r="E18" s="50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</row>
    <row r="19" spans="1:50" ht="15" customHeight="1">
      <c r="A19" s="1"/>
      <c r="B19" s="1"/>
      <c r="C19" s="1"/>
      <c r="D19" s="1"/>
      <c r="E19" s="1"/>
      <c r="F19" s="1"/>
      <c r="G19" s="1"/>
      <c r="H19" s="1"/>
      <c r="I19" s="55"/>
      <c r="J19" s="80"/>
      <c r="K19" s="80"/>
      <c r="L19" s="80"/>
      <c r="M19" s="80"/>
      <c r="N19" s="80"/>
      <c r="O19" s="80"/>
      <c r="P19" s="80"/>
      <c r="Q19" s="80"/>
      <c r="R19" s="80"/>
      <c r="S19" s="1"/>
      <c r="T19" s="1"/>
      <c r="U19" s="1"/>
      <c r="V19" s="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</row>
    <row r="20" spans="1:50" ht="15" customHeight="1">
      <c r="A20" s="1"/>
      <c r="B20" s="1"/>
      <c r="C20" s="56" t="s">
        <v>289</v>
      </c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</row>
    <row r="21" spans="1:50" ht="15" customHeight="1">
      <c r="A21" s="93"/>
      <c r="B21" s="93"/>
      <c r="C21" s="93"/>
      <c r="D21" s="9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</row>
    <row r="22" spans="1:50" ht="15" customHeight="1">
      <c r="A22" s="1"/>
      <c r="B22" s="1"/>
      <c r="C22" s="1"/>
      <c r="D22" s="1"/>
      <c r="E22" s="77" t="s">
        <v>290</v>
      </c>
      <c r="F22" s="1"/>
      <c r="G22" s="77" t="str">
        <f>Inputs!G48</f>
        <v>real annual %</v>
      </c>
      <c r="I22" s="141">
        <f>Inputs!I50</f>
        <v>5.3800000000000001E-2</v>
      </c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  <c r="AA22" s="140"/>
      <c r="AB22" s="140"/>
      <c r="AC22" s="140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</row>
    <row r="23" spans="1:50" ht="15" customHeight="1">
      <c r="A23" s="93"/>
      <c r="B23" s="93"/>
      <c r="C23" s="93"/>
      <c r="D23" s="9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W23" s="140"/>
      <c r="X23" s="140"/>
      <c r="Y23" s="140"/>
      <c r="Z23" s="140"/>
      <c r="AA23" s="140"/>
      <c r="AB23" s="140"/>
      <c r="AC23" s="140"/>
      <c r="AD23" s="140"/>
      <c r="AE23" s="140"/>
      <c r="AF23" s="140"/>
      <c r="AG23" s="140"/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</row>
    <row r="24" spans="1:50" ht="15" customHeight="1">
      <c r="A24"/>
      <c r="B24" s="93"/>
      <c r="C24" s="93"/>
      <c r="D24" s="90"/>
      <c r="E24" s="1" t="s">
        <v>267</v>
      </c>
      <c r="G24" s="1" t="str">
        <f>Inputs!$I$6</f>
        <v>£m 2024 prices</v>
      </c>
      <c r="I24" s="140"/>
      <c r="J24" s="140"/>
      <c r="K24" s="16">
        <f>Pre_Op_RAV!K19</f>
        <v>0</v>
      </c>
      <c r="L24" s="16">
        <f>Pre_Op_RAV!L19</f>
        <v>10.060738678566178</v>
      </c>
      <c r="M24" s="16">
        <f>Pre_Op_RAV!M19</f>
        <v>164.47212738577926</v>
      </c>
      <c r="N24" s="16">
        <f>Pre_Op_RAV!N19</f>
        <v>319.33875364300701</v>
      </c>
      <c r="O24" s="16">
        <f>Pre_Op_RAV!O19</f>
        <v>479.67410584769959</v>
      </c>
      <c r="P24" s="16">
        <f>Pre_Op_RAV!P19</f>
        <v>0</v>
      </c>
      <c r="Q24" s="16">
        <f>Pre_Op_RAV!Q19</f>
        <v>0</v>
      </c>
      <c r="R24" s="16">
        <f>Pre_Op_RAV!R19</f>
        <v>0</v>
      </c>
      <c r="S24" s="16">
        <f>Pre_Op_RAV!S19</f>
        <v>0</v>
      </c>
      <c r="T24" s="16">
        <f>Pre_Op_RAV!T19</f>
        <v>0</v>
      </c>
      <c r="U24" s="16">
        <f>Pre_Op_RAV!U19</f>
        <v>0</v>
      </c>
      <c r="V24" s="16">
        <f>Pre_Op_RAV!V19</f>
        <v>0</v>
      </c>
      <c r="W24" s="16">
        <f>Pre_Op_RAV!W19</f>
        <v>0</v>
      </c>
      <c r="X24" s="16">
        <f>Pre_Op_RAV!X19</f>
        <v>0</v>
      </c>
      <c r="Y24" s="16">
        <f>Pre_Op_RAV!Y19</f>
        <v>0</v>
      </c>
      <c r="Z24" s="16">
        <f>Pre_Op_RAV!Z19</f>
        <v>0</v>
      </c>
      <c r="AA24" s="16">
        <f>Pre_Op_RAV!AA19</f>
        <v>0</v>
      </c>
      <c r="AB24" s="16">
        <f>Pre_Op_RAV!AB19</f>
        <v>0</v>
      </c>
      <c r="AC24" s="16">
        <f>Pre_Op_RAV!AC19</f>
        <v>0</v>
      </c>
      <c r="AD24" s="16">
        <f>Pre_Op_RAV!AD19</f>
        <v>0</v>
      </c>
      <c r="AE24" s="16">
        <f>Pre_Op_RAV!AE19</f>
        <v>0</v>
      </c>
      <c r="AF24" s="16">
        <f>Pre_Op_RAV!AF19</f>
        <v>0</v>
      </c>
      <c r="AG24" s="16">
        <f>Pre_Op_RAV!AG19</f>
        <v>0</v>
      </c>
      <c r="AH24" s="16">
        <f>Pre_Op_RAV!AH19</f>
        <v>0</v>
      </c>
      <c r="AI24" s="16">
        <f>Pre_Op_RAV!AI19</f>
        <v>0</v>
      </c>
      <c r="AJ24" s="16">
        <f>Pre_Op_RAV!AJ19</f>
        <v>0</v>
      </c>
      <c r="AK24" s="16">
        <f>Pre_Op_RAV!AK19</f>
        <v>0</v>
      </c>
      <c r="AL24" s="16">
        <f>Pre_Op_RAV!AL19</f>
        <v>0</v>
      </c>
      <c r="AM24" s="16">
        <f>Pre_Op_RAV!AM19</f>
        <v>0</v>
      </c>
      <c r="AN24" s="16">
        <f>Pre_Op_RAV!AN19</f>
        <v>0</v>
      </c>
      <c r="AO24" s="16">
        <f>Pre_Op_RAV!AO19</f>
        <v>0</v>
      </c>
      <c r="AP24" s="16">
        <f>Pre_Op_RAV!AP19</f>
        <v>0</v>
      </c>
      <c r="AQ24" s="16">
        <f>Pre_Op_RAV!AQ19</f>
        <v>0</v>
      </c>
      <c r="AR24" s="16">
        <f>Pre_Op_RAV!AR19</f>
        <v>0</v>
      </c>
      <c r="AS24" s="16">
        <f>Pre_Op_RAV!AS19</f>
        <v>0</v>
      </c>
      <c r="AT24" s="16">
        <f>Pre_Op_RAV!AT19</f>
        <v>0</v>
      </c>
      <c r="AU24" s="16">
        <f>Pre_Op_RAV!AU19</f>
        <v>0</v>
      </c>
      <c r="AV24" s="16">
        <f>Pre_Op_RAV!AV19</f>
        <v>0</v>
      </c>
      <c r="AW24" s="16">
        <f>Pre_Op_RAV!AW19</f>
        <v>0</v>
      </c>
      <c r="AX24" s="16">
        <f>Pre_Op_RAV!AX19</f>
        <v>0</v>
      </c>
    </row>
    <row r="25" spans="1:50" ht="15" customHeight="1">
      <c r="A25"/>
      <c r="B25" s="93"/>
      <c r="C25" s="93"/>
      <c r="D25" s="90"/>
      <c r="E25" s="1" t="s">
        <v>76</v>
      </c>
      <c r="G25" s="1" t="str">
        <f>Inputs!$I$6</f>
        <v>£m 2024 prices</v>
      </c>
      <c r="I25" s="140"/>
      <c r="J25" s="140"/>
      <c r="K25" s="16">
        <f>Inputs!K26</f>
        <v>9.8039215686274517</v>
      </c>
      <c r="L25" s="16">
        <f>Inputs!L26</f>
        <v>4.8058439061899261</v>
      </c>
      <c r="M25" s="16">
        <f>Inputs!M26</f>
        <v>0</v>
      </c>
      <c r="N25" s="16">
        <f>Inputs!N26</f>
        <v>0</v>
      </c>
      <c r="O25" s="16">
        <f>Inputs!O26</f>
        <v>0</v>
      </c>
      <c r="P25" s="16">
        <f>Inputs!P26</f>
        <v>0</v>
      </c>
      <c r="Q25" s="16">
        <f>Inputs!Q26</f>
        <v>0</v>
      </c>
      <c r="R25" s="16">
        <f>Inputs!R26</f>
        <v>0</v>
      </c>
      <c r="S25" s="16">
        <f>Inputs!S26</f>
        <v>0</v>
      </c>
      <c r="T25" s="16">
        <f>Inputs!T26</f>
        <v>0</v>
      </c>
      <c r="U25" s="16">
        <f>Inputs!U26</f>
        <v>0</v>
      </c>
      <c r="V25" s="16">
        <f>Inputs!V26</f>
        <v>0</v>
      </c>
      <c r="W25" s="16">
        <f>Inputs!W26</f>
        <v>0</v>
      </c>
      <c r="X25" s="16">
        <f>Inputs!X26</f>
        <v>0</v>
      </c>
      <c r="Y25" s="16">
        <f>Inputs!Y26</f>
        <v>0</v>
      </c>
      <c r="Z25" s="16">
        <f>Inputs!Z26</f>
        <v>0</v>
      </c>
      <c r="AA25" s="16">
        <f>Inputs!AA26</f>
        <v>0</v>
      </c>
      <c r="AB25" s="16">
        <f>Inputs!AB26</f>
        <v>0</v>
      </c>
      <c r="AC25" s="16">
        <f>Inputs!AC26</f>
        <v>0</v>
      </c>
      <c r="AD25" s="16">
        <f>Inputs!AD26</f>
        <v>0</v>
      </c>
      <c r="AE25" s="16">
        <f>Inputs!AE26</f>
        <v>0</v>
      </c>
      <c r="AF25" s="16">
        <f>Inputs!AF26</f>
        <v>0</v>
      </c>
      <c r="AG25" s="16">
        <f>Inputs!AG26</f>
        <v>0</v>
      </c>
      <c r="AH25" s="16">
        <f>Inputs!AH26</f>
        <v>0</v>
      </c>
      <c r="AI25" s="16">
        <f>Inputs!AI26</f>
        <v>0</v>
      </c>
      <c r="AJ25" s="16">
        <f>Inputs!AJ26</f>
        <v>0</v>
      </c>
      <c r="AK25" s="16">
        <f>Inputs!AK26</f>
        <v>0</v>
      </c>
      <c r="AL25" s="16">
        <f>Inputs!AL26</f>
        <v>0</v>
      </c>
      <c r="AM25" s="16">
        <f>Inputs!AM26</f>
        <v>0</v>
      </c>
      <c r="AN25" s="16">
        <f>Inputs!AN26</f>
        <v>0</v>
      </c>
      <c r="AO25" s="16">
        <f>Inputs!AO26</f>
        <v>0</v>
      </c>
      <c r="AP25" s="16">
        <f>Inputs!AP26</f>
        <v>0</v>
      </c>
      <c r="AQ25" s="16">
        <f>Inputs!AQ26</f>
        <v>0</v>
      </c>
      <c r="AR25" s="16">
        <f>Inputs!AR26</f>
        <v>0</v>
      </c>
      <c r="AS25" s="16">
        <f>Inputs!AS26</f>
        <v>0</v>
      </c>
      <c r="AT25" s="16">
        <f>Inputs!AT26</f>
        <v>0</v>
      </c>
      <c r="AU25" s="16">
        <f>Inputs!AU26</f>
        <v>0</v>
      </c>
      <c r="AV25" s="16">
        <f>Inputs!AV26</f>
        <v>0</v>
      </c>
      <c r="AW25" s="16">
        <f>Inputs!AW26</f>
        <v>0</v>
      </c>
      <c r="AX25" s="16">
        <f>Inputs!AX26</f>
        <v>0</v>
      </c>
    </row>
    <row r="26" spans="1:50" ht="15" customHeight="1">
      <c r="A26"/>
      <c r="B26" s="93"/>
      <c r="C26" s="93"/>
      <c r="D26" s="90"/>
      <c r="E26" s="1" t="s">
        <v>78</v>
      </c>
      <c r="G26" s="1" t="str">
        <f>Inputs!$I$6</f>
        <v>£m 2024 prices</v>
      </c>
      <c r="I26" s="140"/>
      <c r="J26" s="140"/>
      <c r="K26" s="16">
        <f>Inputs!K27</f>
        <v>0</v>
      </c>
      <c r="L26" s="16">
        <f>Inputs!L27</f>
        <v>144.17531718569779</v>
      </c>
      <c r="M26" s="16">
        <f>Inputs!M27</f>
        <v>141.34835018205666</v>
      </c>
      <c r="N26" s="16">
        <f>Inputs!N27</f>
        <v>138.5768139039771</v>
      </c>
      <c r="O26" s="16">
        <f>Inputs!O27</f>
        <v>0</v>
      </c>
      <c r="P26" s="16">
        <f>Inputs!P27</f>
        <v>0</v>
      </c>
      <c r="Q26" s="16">
        <f>Inputs!Q27</f>
        <v>0</v>
      </c>
      <c r="R26" s="16">
        <f>Inputs!R27</f>
        <v>0</v>
      </c>
      <c r="S26" s="16">
        <f>Inputs!S27</f>
        <v>0</v>
      </c>
      <c r="T26" s="16">
        <f>Inputs!T27</f>
        <v>0</v>
      </c>
      <c r="U26" s="16">
        <f>Inputs!U27</f>
        <v>0</v>
      </c>
      <c r="V26" s="16">
        <f>Inputs!V27</f>
        <v>0</v>
      </c>
      <c r="W26" s="16">
        <f>Inputs!W27</f>
        <v>0</v>
      </c>
      <c r="X26" s="16">
        <f>Inputs!X27</f>
        <v>0</v>
      </c>
      <c r="Y26" s="16">
        <f>Inputs!Y27</f>
        <v>0</v>
      </c>
      <c r="Z26" s="16">
        <f>Inputs!Z27</f>
        <v>0</v>
      </c>
      <c r="AA26" s="16">
        <f>Inputs!AA27</f>
        <v>0</v>
      </c>
      <c r="AB26" s="16">
        <f>Inputs!AB27</f>
        <v>0</v>
      </c>
      <c r="AC26" s="16">
        <f>Inputs!AC27</f>
        <v>0</v>
      </c>
      <c r="AD26" s="16">
        <f>Inputs!AD27</f>
        <v>0</v>
      </c>
      <c r="AE26" s="16">
        <f>Inputs!AE27</f>
        <v>0</v>
      </c>
      <c r="AF26" s="16">
        <f>Inputs!AF27</f>
        <v>0</v>
      </c>
      <c r="AG26" s="16">
        <f>Inputs!AG27</f>
        <v>0</v>
      </c>
      <c r="AH26" s="16">
        <f>Inputs!AH27</f>
        <v>0</v>
      </c>
      <c r="AI26" s="16">
        <f>Inputs!AI27</f>
        <v>0</v>
      </c>
      <c r="AJ26" s="16">
        <f>Inputs!AJ27</f>
        <v>0</v>
      </c>
      <c r="AK26" s="16">
        <f>Inputs!AK27</f>
        <v>0</v>
      </c>
      <c r="AL26" s="16">
        <f>Inputs!AL27</f>
        <v>0</v>
      </c>
      <c r="AM26" s="16">
        <f>Inputs!AM27</f>
        <v>0</v>
      </c>
      <c r="AN26" s="16">
        <f>Inputs!AN27</f>
        <v>0</v>
      </c>
      <c r="AO26" s="16">
        <f>Inputs!AO27</f>
        <v>0</v>
      </c>
      <c r="AP26" s="16">
        <f>Inputs!AP27</f>
        <v>0</v>
      </c>
      <c r="AQ26" s="16">
        <f>Inputs!AQ27</f>
        <v>0</v>
      </c>
      <c r="AR26" s="16">
        <f>Inputs!AR27</f>
        <v>0</v>
      </c>
      <c r="AS26" s="16">
        <f>Inputs!AS27</f>
        <v>0</v>
      </c>
      <c r="AT26" s="16">
        <f>Inputs!AT27</f>
        <v>0</v>
      </c>
      <c r="AU26" s="16">
        <f>Inputs!AU27</f>
        <v>0</v>
      </c>
      <c r="AV26" s="16">
        <f>Inputs!AV27</f>
        <v>0</v>
      </c>
      <c r="AW26" s="16">
        <f>Inputs!AW27</f>
        <v>0</v>
      </c>
      <c r="AX26" s="16">
        <f>Inputs!AX27</f>
        <v>0</v>
      </c>
    </row>
    <row r="27" spans="1:50" ht="15" customHeight="1">
      <c r="A27"/>
      <c r="B27" s="93"/>
      <c r="C27" s="93"/>
      <c r="D27" s="90"/>
      <c r="E27" s="1" t="s">
        <v>79</v>
      </c>
      <c r="G27" s="1" t="str">
        <f>Inputs!$I$6</f>
        <v>£m 2024 prices</v>
      </c>
      <c r="I27" s="140"/>
      <c r="J27" s="140"/>
      <c r="K27" s="16">
        <f>Inputs!K28</f>
        <v>0</v>
      </c>
      <c r="L27" s="16">
        <f>Inputs!L28</f>
        <v>0.96116878123798521</v>
      </c>
      <c r="M27" s="16">
        <f>Inputs!M28</f>
        <v>0.94232233454704439</v>
      </c>
      <c r="N27" s="16">
        <f>Inputs!N28</f>
        <v>0.92384542602651409</v>
      </c>
      <c r="O27" s="16">
        <f>Inputs!O28</f>
        <v>0.90573080982991572</v>
      </c>
      <c r="P27" s="16">
        <f>Inputs!P28</f>
        <v>0</v>
      </c>
      <c r="Q27" s="16">
        <f>Inputs!Q28</f>
        <v>0</v>
      </c>
      <c r="R27" s="16">
        <f>Inputs!R28</f>
        <v>0</v>
      </c>
      <c r="S27" s="16">
        <f>Inputs!S28</f>
        <v>0</v>
      </c>
      <c r="T27" s="16">
        <f>Inputs!T28</f>
        <v>0</v>
      </c>
      <c r="U27" s="16">
        <f>Inputs!U28</f>
        <v>0</v>
      </c>
      <c r="V27" s="16">
        <f>Inputs!V28</f>
        <v>0</v>
      </c>
      <c r="W27" s="16">
        <f>Inputs!W28</f>
        <v>0</v>
      </c>
      <c r="X27" s="16">
        <f>Inputs!X28</f>
        <v>0</v>
      </c>
      <c r="Y27" s="16">
        <f>Inputs!Y28</f>
        <v>0</v>
      </c>
      <c r="Z27" s="16">
        <f>Inputs!Z28</f>
        <v>0</v>
      </c>
      <c r="AA27" s="16">
        <f>Inputs!AA28</f>
        <v>0</v>
      </c>
      <c r="AB27" s="16">
        <f>Inputs!AB28</f>
        <v>0</v>
      </c>
      <c r="AC27" s="16">
        <f>Inputs!AC28</f>
        <v>0</v>
      </c>
      <c r="AD27" s="16">
        <f>Inputs!AD28</f>
        <v>0</v>
      </c>
      <c r="AE27" s="16">
        <f>Inputs!AE28</f>
        <v>0</v>
      </c>
      <c r="AF27" s="16">
        <f>Inputs!AF28</f>
        <v>0</v>
      </c>
      <c r="AG27" s="16">
        <f>Inputs!AG28</f>
        <v>0</v>
      </c>
      <c r="AH27" s="16">
        <f>Inputs!AH28</f>
        <v>0</v>
      </c>
      <c r="AI27" s="16">
        <f>Inputs!AI28</f>
        <v>0</v>
      </c>
      <c r="AJ27" s="16">
        <f>Inputs!AJ28</f>
        <v>0</v>
      </c>
      <c r="AK27" s="16">
        <f>Inputs!AK28</f>
        <v>0</v>
      </c>
      <c r="AL27" s="16">
        <f>Inputs!AL28</f>
        <v>0</v>
      </c>
      <c r="AM27" s="16">
        <f>Inputs!AM28</f>
        <v>0</v>
      </c>
      <c r="AN27" s="16">
        <f>Inputs!AN28</f>
        <v>0</v>
      </c>
      <c r="AO27" s="16">
        <f>Inputs!AO28</f>
        <v>0</v>
      </c>
      <c r="AP27" s="16">
        <f>Inputs!AP28</f>
        <v>0</v>
      </c>
      <c r="AQ27" s="16">
        <f>Inputs!AQ28</f>
        <v>0</v>
      </c>
      <c r="AR27" s="16">
        <f>Inputs!AR28</f>
        <v>0</v>
      </c>
      <c r="AS27" s="16">
        <f>Inputs!AS28</f>
        <v>0</v>
      </c>
      <c r="AT27" s="16">
        <f>Inputs!AT28</f>
        <v>0</v>
      </c>
      <c r="AU27" s="16">
        <f>Inputs!AU28</f>
        <v>0</v>
      </c>
      <c r="AV27" s="16">
        <f>Inputs!AV28</f>
        <v>0</v>
      </c>
      <c r="AW27" s="16">
        <f>Inputs!AW28</f>
        <v>0</v>
      </c>
      <c r="AX27" s="16">
        <f>Inputs!AX28</f>
        <v>0</v>
      </c>
    </row>
    <row r="28" spans="1:50" ht="15" customHeight="1">
      <c r="A28"/>
      <c r="B28" s="1"/>
      <c r="C28" s="1"/>
      <c r="D28" s="1"/>
      <c r="E28" s="77" t="s">
        <v>291</v>
      </c>
      <c r="F28" s="1"/>
      <c r="G28" s="1" t="str">
        <f>Inputs!$I$6</f>
        <v>£m 2024 prices</v>
      </c>
      <c r="H28" s="1"/>
      <c r="I28" s="80"/>
      <c r="J28" s="80"/>
      <c r="K28" s="142">
        <f t="shared" ref="K28:AX28" si="2">$I22*(K24+(K25+K26+K27)/(2+$I22))*K8</f>
        <v>0.2568171099387267</v>
      </c>
      <c r="L28" s="142">
        <f t="shared" si="2"/>
        <v>4.4690588340873862</v>
      </c>
      <c r="M28" s="142">
        <f t="shared" si="2"/>
        <v>12.575953740624024</v>
      </c>
      <c r="N28" s="142">
        <f t="shared" si="2"/>
        <v>20.834692874688976</v>
      </c>
      <c r="O28" s="142">
        <f t="shared" si="2"/>
        <v>0</v>
      </c>
      <c r="P28" s="142">
        <f t="shared" si="2"/>
        <v>0</v>
      </c>
      <c r="Q28" s="142">
        <f t="shared" si="2"/>
        <v>0</v>
      </c>
      <c r="R28" s="142">
        <f t="shared" si="2"/>
        <v>0</v>
      </c>
      <c r="S28" s="142">
        <f t="shared" si="2"/>
        <v>0</v>
      </c>
      <c r="T28" s="142">
        <f t="shared" si="2"/>
        <v>0</v>
      </c>
      <c r="U28" s="142">
        <f t="shared" si="2"/>
        <v>0</v>
      </c>
      <c r="V28" s="142">
        <f t="shared" si="2"/>
        <v>0</v>
      </c>
      <c r="W28" s="142">
        <f t="shared" si="2"/>
        <v>0</v>
      </c>
      <c r="X28" s="142">
        <f t="shared" si="2"/>
        <v>0</v>
      </c>
      <c r="Y28" s="142">
        <f t="shared" si="2"/>
        <v>0</v>
      </c>
      <c r="Z28" s="142">
        <f t="shared" si="2"/>
        <v>0</v>
      </c>
      <c r="AA28" s="142">
        <f t="shared" si="2"/>
        <v>0</v>
      </c>
      <c r="AB28" s="142">
        <f t="shared" si="2"/>
        <v>0</v>
      </c>
      <c r="AC28" s="142">
        <f t="shared" si="2"/>
        <v>0</v>
      </c>
      <c r="AD28" s="142">
        <f t="shared" si="2"/>
        <v>0</v>
      </c>
      <c r="AE28" s="142">
        <f t="shared" si="2"/>
        <v>0</v>
      </c>
      <c r="AF28" s="142">
        <f t="shared" si="2"/>
        <v>0</v>
      </c>
      <c r="AG28" s="142">
        <f t="shared" si="2"/>
        <v>0</v>
      </c>
      <c r="AH28" s="142">
        <f t="shared" si="2"/>
        <v>0</v>
      </c>
      <c r="AI28" s="142">
        <f t="shared" si="2"/>
        <v>0</v>
      </c>
      <c r="AJ28" s="142">
        <f t="shared" si="2"/>
        <v>0</v>
      </c>
      <c r="AK28" s="142">
        <f t="shared" si="2"/>
        <v>0</v>
      </c>
      <c r="AL28" s="142">
        <f t="shared" si="2"/>
        <v>0</v>
      </c>
      <c r="AM28" s="142">
        <f t="shared" si="2"/>
        <v>0</v>
      </c>
      <c r="AN28" s="142">
        <f t="shared" si="2"/>
        <v>0</v>
      </c>
      <c r="AO28" s="142">
        <f t="shared" si="2"/>
        <v>0</v>
      </c>
      <c r="AP28" s="142">
        <f t="shared" si="2"/>
        <v>0</v>
      </c>
      <c r="AQ28" s="142">
        <f t="shared" si="2"/>
        <v>0</v>
      </c>
      <c r="AR28" s="142">
        <f t="shared" si="2"/>
        <v>0</v>
      </c>
      <c r="AS28" s="142">
        <f t="shared" si="2"/>
        <v>0</v>
      </c>
      <c r="AT28" s="142">
        <f t="shared" si="2"/>
        <v>0</v>
      </c>
      <c r="AU28" s="142">
        <f t="shared" si="2"/>
        <v>0</v>
      </c>
      <c r="AV28" s="142">
        <f t="shared" si="2"/>
        <v>0</v>
      </c>
      <c r="AW28" s="142">
        <f t="shared" si="2"/>
        <v>0</v>
      </c>
      <c r="AX28" s="142">
        <f t="shared" si="2"/>
        <v>0</v>
      </c>
    </row>
    <row r="29" spans="1:50" ht="15" customHeight="1">
      <c r="A29" s="1"/>
      <c r="B29" s="1"/>
      <c r="C29" s="1"/>
      <c r="D29" s="1"/>
      <c r="E29" s="1"/>
      <c r="F29" s="1"/>
      <c r="G29" s="1"/>
      <c r="H29" s="1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</row>
    <row r="30" spans="1:50" ht="15" customHeight="1">
      <c r="A30" s="1"/>
      <c r="B30" s="12" t="s">
        <v>292</v>
      </c>
      <c r="C30" s="50"/>
      <c r="D30" s="50"/>
      <c r="E30" s="50"/>
      <c r="F30" s="51"/>
      <c r="G30" s="51"/>
      <c r="H30" s="51"/>
      <c r="I30" s="133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</row>
    <row r="31" spans="1:50" ht="15" customHeight="1">
      <c r="A31" s="1"/>
      <c r="B31" s="1"/>
      <c r="C31" s="1"/>
      <c r="D31" s="1"/>
      <c r="E31" s="1"/>
      <c r="F31" s="1"/>
      <c r="G31" s="1"/>
      <c r="H31" s="1"/>
      <c r="I31" s="55"/>
      <c r="J31" s="80"/>
      <c r="K31" s="80"/>
      <c r="L31" s="80"/>
      <c r="M31" s="80"/>
      <c r="N31" s="80"/>
      <c r="O31" s="80"/>
      <c r="P31" s="80"/>
      <c r="Q31" s="80"/>
      <c r="R31" s="80"/>
      <c r="S31" s="1"/>
      <c r="T31" s="1"/>
      <c r="U31" s="1"/>
      <c r="V31" s="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</row>
    <row r="32" spans="1:50" ht="15" customHeight="1">
      <c r="A32" s="1"/>
      <c r="B32" s="1"/>
      <c r="C32" s="56" t="s">
        <v>293</v>
      </c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</row>
    <row r="33" spans="1:50" ht="15" customHeight="1">
      <c r="E33" s="77"/>
      <c r="G33" s="77"/>
      <c r="I33" s="77"/>
    </row>
    <row r="34" spans="1:50" ht="15" customHeight="1">
      <c r="E34" s="77" t="s">
        <v>144</v>
      </c>
      <c r="I34" s="77">
        <f>Inputs!I52</f>
        <v>0.375</v>
      </c>
    </row>
    <row r="35" spans="1:50" ht="15" customHeight="1">
      <c r="E35" s="77" t="s">
        <v>145</v>
      </c>
      <c r="G35" s="77" t="str">
        <f>Inputs!G53</f>
        <v>%</v>
      </c>
      <c r="I35" s="77">
        <f>Inputs!I53</f>
        <v>0.5</v>
      </c>
    </row>
    <row r="36" spans="1:50" ht="15" customHeight="1">
      <c r="E36" s="84"/>
      <c r="G36" s="1"/>
      <c r="I36" s="11"/>
    </row>
    <row r="37" spans="1:50" ht="15" customHeight="1">
      <c r="E37" s="77" t="s">
        <v>147</v>
      </c>
      <c r="G37" s="77" t="str">
        <f>Inputs!G56</f>
        <v>%</v>
      </c>
      <c r="I37" s="77">
        <f>Inputs!I56</f>
        <v>2.5000000000000001E-2</v>
      </c>
    </row>
    <row r="38" spans="1:50" ht="15" customHeight="1">
      <c r="E38" s="77" t="s">
        <v>146</v>
      </c>
      <c r="G38" s="77" t="str">
        <f>Inputs!G55</f>
        <v>%</v>
      </c>
      <c r="I38" s="77">
        <f>Inputs!I55</f>
        <v>0.05</v>
      </c>
    </row>
    <row r="39" spans="1:50" ht="15" customHeight="1">
      <c r="E39" s="77"/>
      <c r="G39" s="77"/>
      <c r="I39" s="77"/>
    </row>
    <row r="40" spans="1:50" ht="15" customHeight="1">
      <c r="A40" s="1"/>
      <c r="B40" s="1"/>
      <c r="C40" s="56" t="s">
        <v>294</v>
      </c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</row>
    <row r="41" spans="1:50" ht="1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</row>
    <row r="42" spans="1:50" ht="15" customHeight="1">
      <c r="A42"/>
      <c r="B42" s="1"/>
      <c r="C42" s="1"/>
      <c r="D42" s="1"/>
      <c r="E42" s="1" t="s">
        <v>295</v>
      </c>
      <c r="F42" s="1"/>
      <c r="G42" s="1" t="str">
        <f>Inputs!$I$6</f>
        <v>£m 2024 prices</v>
      </c>
      <c r="H42" s="1"/>
      <c r="I42" s="55"/>
      <c r="J42" s="80"/>
      <c r="K42" s="138">
        <f t="shared" ref="K42:AX42" si="3">J50</f>
        <v>0</v>
      </c>
      <c r="L42" s="138">
        <f t="shared" si="3"/>
        <v>20.034982149875106</v>
      </c>
      <c r="M42" s="138">
        <f t="shared" si="3"/>
        <v>21.112864189538385</v>
      </c>
      <c r="N42" s="138">
        <f t="shared" si="3"/>
        <v>22.24873628293555</v>
      </c>
      <c r="O42" s="138">
        <f t="shared" si="3"/>
        <v>23.445718294957484</v>
      </c>
      <c r="P42" s="138">
        <f t="shared" si="3"/>
        <v>0</v>
      </c>
      <c r="Q42" s="138">
        <f t="shared" si="3"/>
        <v>0</v>
      </c>
      <c r="R42" s="138">
        <f t="shared" si="3"/>
        <v>0</v>
      </c>
      <c r="S42" s="138">
        <f t="shared" si="3"/>
        <v>0</v>
      </c>
      <c r="T42" s="138">
        <f>S50</f>
        <v>0</v>
      </c>
      <c r="U42" s="138">
        <f t="shared" si="3"/>
        <v>0</v>
      </c>
      <c r="V42" s="138">
        <f t="shared" si="3"/>
        <v>0</v>
      </c>
      <c r="W42" s="138">
        <f t="shared" si="3"/>
        <v>0</v>
      </c>
      <c r="X42" s="138">
        <f t="shared" si="3"/>
        <v>0</v>
      </c>
      <c r="Y42" s="138">
        <f t="shared" si="3"/>
        <v>0</v>
      </c>
      <c r="Z42" s="138">
        <f t="shared" si="3"/>
        <v>0</v>
      </c>
      <c r="AA42" s="138">
        <f t="shared" si="3"/>
        <v>0</v>
      </c>
      <c r="AB42" s="138">
        <f t="shared" si="3"/>
        <v>0</v>
      </c>
      <c r="AC42" s="138">
        <f t="shared" si="3"/>
        <v>0</v>
      </c>
      <c r="AD42" s="138">
        <f t="shared" si="3"/>
        <v>0</v>
      </c>
      <c r="AE42" s="138">
        <f t="shared" si="3"/>
        <v>0</v>
      </c>
      <c r="AF42" s="138">
        <f t="shared" si="3"/>
        <v>0</v>
      </c>
      <c r="AG42" s="138">
        <f t="shared" si="3"/>
        <v>0</v>
      </c>
      <c r="AH42" s="138">
        <f t="shared" si="3"/>
        <v>0</v>
      </c>
      <c r="AI42" s="138">
        <f t="shared" si="3"/>
        <v>0</v>
      </c>
      <c r="AJ42" s="138">
        <f t="shared" si="3"/>
        <v>0</v>
      </c>
      <c r="AK42" s="138">
        <f t="shared" si="3"/>
        <v>0</v>
      </c>
      <c r="AL42" s="138">
        <f t="shared" si="3"/>
        <v>0</v>
      </c>
      <c r="AM42" s="138">
        <f t="shared" si="3"/>
        <v>0</v>
      </c>
      <c r="AN42" s="138">
        <f t="shared" si="3"/>
        <v>0</v>
      </c>
      <c r="AO42" s="138">
        <f t="shared" si="3"/>
        <v>0</v>
      </c>
      <c r="AP42" s="138">
        <f t="shared" si="3"/>
        <v>0</v>
      </c>
      <c r="AQ42" s="138">
        <f t="shared" si="3"/>
        <v>0</v>
      </c>
      <c r="AR42" s="138">
        <f t="shared" si="3"/>
        <v>0</v>
      </c>
      <c r="AS42" s="138">
        <f t="shared" si="3"/>
        <v>0</v>
      </c>
      <c r="AT42" s="138">
        <f t="shared" si="3"/>
        <v>0</v>
      </c>
      <c r="AU42" s="138">
        <f t="shared" si="3"/>
        <v>0</v>
      </c>
      <c r="AV42" s="138">
        <f t="shared" si="3"/>
        <v>0</v>
      </c>
      <c r="AW42" s="138">
        <f t="shared" si="3"/>
        <v>0</v>
      </c>
      <c r="AX42" s="138">
        <f t="shared" si="3"/>
        <v>0</v>
      </c>
    </row>
    <row r="43" spans="1:50" ht="15" customHeight="1">
      <c r="A43"/>
      <c r="B43" s="1"/>
      <c r="C43" s="1"/>
      <c r="D43" s="1"/>
      <c r="E43" s="1" t="s">
        <v>296</v>
      </c>
      <c r="F43" s="1"/>
      <c r="G43" s="1" t="str">
        <f>Inputs!$I$6</f>
        <v>£m 2024 prices</v>
      </c>
      <c r="H43" s="1"/>
      <c r="I43" s="55"/>
      <c r="J43" s="80"/>
      <c r="K43" s="17">
        <f>$I34*K$13*$I37*Op_Rav!$K$11</f>
        <v>4.5054359686643393</v>
      </c>
      <c r="L43" s="17">
        <f>$I34*L$13*$I37*Op_Rav!$K$11</f>
        <v>0</v>
      </c>
      <c r="M43" s="17">
        <f>$I34*M$13*$I37*Op_Rav!$K$11</f>
        <v>0</v>
      </c>
      <c r="N43" s="17">
        <f>$I34*N$13*$I37*Op_Rav!$K$11</f>
        <v>0</v>
      </c>
      <c r="O43" s="17">
        <f>$I34*O$13*$I37*Op_Rav!$K$11</f>
        <v>0</v>
      </c>
      <c r="P43" s="17">
        <f>$I34*P$13*$I37*Op_Rav!$K$11</f>
        <v>0</v>
      </c>
      <c r="Q43" s="17">
        <f>$I34*Q$13*$I37*Op_Rav!$K$11</f>
        <v>0</v>
      </c>
      <c r="R43" s="17">
        <f>$I34*R$13*$I37*Op_Rav!$K$11</f>
        <v>0</v>
      </c>
      <c r="S43" s="17">
        <f>$I34*S$13*$I37*Op_Rav!$K$11</f>
        <v>0</v>
      </c>
      <c r="T43" s="17">
        <f>$I34*T$13*$I37*Op_Rav!$K$11</f>
        <v>0</v>
      </c>
      <c r="U43" s="17">
        <f>$I34*U$13*$I37*Op_Rav!$K$11</f>
        <v>0</v>
      </c>
      <c r="V43" s="17">
        <f>$I34*V$13*$I37*Op_Rav!$K$11</f>
        <v>0</v>
      </c>
      <c r="W43" s="17">
        <f>$I34*W$13*$I37*Op_Rav!$K$11</f>
        <v>0</v>
      </c>
      <c r="X43" s="17">
        <f>$I34*X$13*$I37*Op_Rav!$K$11</f>
        <v>0</v>
      </c>
      <c r="Y43" s="17">
        <f>$I34*Y$13*$I37*Op_Rav!$K$11</f>
        <v>0</v>
      </c>
      <c r="Z43" s="17">
        <f>$I34*Z$13*$I37*Op_Rav!$K$11</f>
        <v>0</v>
      </c>
      <c r="AA43" s="17">
        <f>$I34*AA$13*$I37*Op_Rav!$K$11</f>
        <v>0</v>
      </c>
      <c r="AB43" s="17">
        <f>$I34*AB$13*$I37*Op_Rav!$K$11</f>
        <v>0</v>
      </c>
      <c r="AC43" s="17">
        <f>$I34*AC$13*$I37*Op_Rav!$K$11</f>
        <v>0</v>
      </c>
      <c r="AD43" s="17">
        <f>$I34*AD$13*$I37*Op_Rav!$K$11</f>
        <v>0</v>
      </c>
      <c r="AE43" s="17">
        <f>$I34*AE$13*$I37*Op_Rav!$K$11</f>
        <v>0</v>
      </c>
      <c r="AF43" s="17">
        <f>$I34*AF$13*$I37*Op_Rav!$K$11</f>
        <v>0</v>
      </c>
      <c r="AG43" s="17">
        <f>$I34*AG$13*$I37*Op_Rav!$K$11</f>
        <v>0</v>
      </c>
      <c r="AH43" s="17">
        <f>$I34*AH$13*$I37*Op_Rav!$K$11</f>
        <v>0</v>
      </c>
      <c r="AI43" s="17">
        <f>$I34*AI$13*$I37*Op_Rav!$K$11</f>
        <v>0</v>
      </c>
      <c r="AJ43" s="17">
        <f>$I34*AJ$13*$I37*Op_Rav!$K$11</f>
        <v>0</v>
      </c>
      <c r="AK43" s="17">
        <f>$I34*AK$13*$I37*Op_Rav!$K$11</f>
        <v>0</v>
      </c>
      <c r="AL43" s="17">
        <f>$I34*AL$13*$I37*Op_Rav!$K$11</f>
        <v>0</v>
      </c>
      <c r="AM43" s="17">
        <f>$I34*AM$13*$I37*Op_Rav!$K$11</f>
        <v>0</v>
      </c>
      <c r="AN43" s="17">
        <f>$I34*AN$13*$I37*Op_Rav!$K$11</f>
        <v>0</v>
      </c>
      <c r="AO43" s="17">
        <f>$I34*AO$13*$I37*Op_Rav!$K$11</f>
        <v>0</v>
      </c>
      <c r="AP43" s="17">
        <f>$I34*AP$13*$I37*Op_Rav!$K$11</f>
        <v>0</v>
      </c>
      <c r="AQ43" s="17">
        <f>$I34*AQ$13*$I37*Op_Rav!$K$11</f>
        <v>0</v>
      </c>
      <c r="AR43" s="17">
        <f>$I34*AR$13*$I37*Op_Rav!$K$11</f>
        <v>0</v>
      </c>
      <c r="AS43" s="17">
        <f>$I34*AS$13*$I37*Op_Rav!$K$11</f>
        <v>0</v>
      </c>
      <c r="AT43" s="17">
        <f>$I34*AT$13*$I37*Op_Rav!$K$11</f>
        <v>0</v>
      </c>
      <c r="AU43" s="17">
        <f>$I34*AU$13*$I37*Op_Rav!$K$11</f>
        <v>0</v>
      </c>
      <c r="AV43" s="17">
        <f>$I34*AV$13*$I37*Op_Rav!$K$11</f>
        <v>0</v>
      </c>
      <c r="AW43" s="17">
        <f>$I34*AW$13*$I37*Op_Rav!$K$11</f>
        <v>0</v>
      </c>
      <c r="AX43" s="17">
        <f>$I34*AX$13*$I37*Op_Rav!$K$11</f>
        <v>0</v>
      </c>
    </row>
    <row r="44" spans="1:50" ht="15" customHeight="1">
      <c r="A44"/>
      <c r="B44" s="1"/>
      <c r="C44" s="1"/>
      <c r="D44" s="1"/>
      <c r="E44" s="1" t="s">
        <v>297</v>
      </c>
      <c r="F44" s="1"/>
      <c r="G44" s="1" t="str">
        <f>Inputs!$I$6</f>
        <v>£m 2024 prices</v>
      </c>
      <c r="H44" s="1"/>
      <c r="I44" s="55"/>
      <c r="J44" s="80"/>
      <c r="K44" s="17">
        <f>(1-$I34)*K$13*$I38*Op_Rav!$K$11</f>
        <v>15.018119895547796</v>
      </c>
      <c r="L44" s="17">
        <f>(1-$I34)*L$13*$I38*Op_Rav!$K$11</f>
        <v>0</v>
      </c>
      <c r="M44" s="17">
        <f>(1-$I34)*M$13*$I38*Op_Rav!$K$11</f>
        <v>0</v>
      </c>
      <c r="N44" s="17">
        <f>(1-$I34)*N$13*$I38*Op_Rav!$K$11</f>
        <v>0</v>
      </c>
      <c r="O44" s="17">
        <f>(1-$I34)*O$13*$I38*Op_Rav!$K$11</f>
        <v>0</v>
      </c>
      <c r="P44" s="17">
        <f>(1-$I34)*P$13*$I38*Op_Rav!$K$11</f>
        <v>0</v>
      </c>
      <c r="Q44" s="17">
        <f>(1-$I34)*Q$13*$I38*Op_Rav!$K$11</f>
        <v>0</v>
      </c>
      <c r="R44" s="17">
        <f>(1-$I34)*R$13*$I38*Op_Rav!$K$11</f>
        <v>0</v>
      </c>
      <c r="S44" s="17">
        <f>(1-$I34)*S$13*$I38*Op_Rav!$K$11</f>
        <v>0</v>
      </c>
      <c r="T44" s="17">
        <f>(1-$I34)*T$13*$I38*Op_Rav!$K$11</f>
        <v>0</v>
      </c>
      <c r="U44" s="17">
        <f>(1-$I34)*U$13*$I38*Op_Rav!$K$11</f>
        <v>0</v>
      </c>
      <c r="V44" s="17">
        <f>(1-$I34)*V$13*$I38*Op_Rav!$K$11</f>
        <v>0</v>
      </c>
      <c r="W44" s="17">
        <f>(1-$I34)*W$13*$I38*Op_Rav!$K$11</f>
        <v>0</v>
      </c>
      <c r="X44" s="17">
        <f>(1-$I34)*X$13*$I38*Op_Rav!$K$11</f>
        <v>0</v>
      </c>
      <c r="Y44" s="17">
        <f>(1-$I34)*Y$13*$I38*Op_Rav!$K$11</f>
        <v>0</v>
      </c>
      <c r="Z44" s="17">
        <f>(1-$I34)*Z$13*$I38*Op_Rav!$K$11</f>
        <v>0</v>
      </c>
      <c r="AA44" s="17">
        <f>(1-$I34)*AA$13*$I38*Op_Rav!$K$11</f>
        <v>0</v>
      </c>
      <c r="AB44" s="17">
        <f>(1-$I34)*AB$13*$I38*Op_Rav!$K$11</f>
        <v>0</v>
      </c>
      <c r="AC44" s="17">
        <f>(1-$I34)*AC$13*$I38*Op_Rav!$K$11</f>
        <v>0</v>
      </c>
      <c r="AD44" s="17">
        <f>(1-$I34)*AD$13*$I38*Op_Rav!$K$11</f>
        <v>0</v>
      </c>
      <c r="AE44" s="17">
        <f>(1-$I34)*AE$13*$I38*Op_Rav!$K$11</f>
        <v>0</v>
      </c>
      <c r="AF44" s="17">
        <f>(1-$I34)*AF$13*$I38*Op_Rav!$K$11</f>
        <v>0</v>
      </c>
      <c r="AG44" s="17">
        <f>(1-$I34)*AG$13*$I38*Op_Rav!$K$11</f>
        <v>0</v>
      </c>
      <c r="AH44" s="17">
        <f>(1-$I34)*AH$13*$I38*Op_Rav!$K$11</f>
        <v>0</v>
      </c>
      <c r="AI44" s="17">
        <f>(1-$I34)*AI$13*$I38*Op_Rav!$K$11</f>
        <v>0</v>
      </c>
      <c r="AJ44" s="17">
        <f>(1-$I34)*AJ$13*$I38*Op_Rav!$K$11</f>
        <v>0</v>
      </c>
      <c r="AK44" s="17">
        <f>(1-$I34)*AK$13*$I38*Op_Rav!$K$11</f>
        <v>0</v>
      </c>
      <c r="AL44" s="17">
        <f>(1-$I34)*AL$13*$I38*Op_Rav!$K$11</f>
        <v>0</v>
      </c>
      <c r="AM44" s="17">
        <f>(1-$I34)*AM$13*$I38*Op_Rav!$K$11</f>
        <v>0</v>
      </c>
      <c r="AN44" s="17">
        <f>(1-$I34)*AN$13*$I38*Op_Rav!$K$11</f>
        <v>0</v>
      </c>
      <c r="AO44" s="17">
        <f>(1-$I34)*AO$13*$I38*Op_Rav!$K$11</f>
        <v>0</v>
      </c>
      <c r="AP44" s="17">
        <f>(1-$I34)*AP$13*$I38*Op_Rav!$K$11</f>
        <v>0</v>
      </c>
      <c r="AQ44" s="17">
        <f>(1-$I34)*AQ$13*$I38*Op_Rav!$K$11</f>
        <v>0</v>
      </c>
      <c r="AR44" s="17">
        <f>(1-$I34)*AR$13*$I38*Op_Rav!$K$11</f>
        <v>0</v>
      </c>
      <c r="AS44" s="17">
        <f>(1-$I34)*AS$13*$I38*Op_Rav!$K$11</f>
        <v>0</v>
      </c>
      <c r="AT44" s="17">
        <f>(1-$I34)*AT$13*$I38*Op_Rav!$K$11</f>
        <v>0</v>
      </c>
      <c r="AU44" s="17">
        <f>(1-$I34)*AU$13*$I38*Op_Rav!$K$11</f>
        <v>0</v>
      </c>
      <c r="AV44" s="17">
        <f>(1-$I34)*AV$13*$I38*Op_Rav!$K$11</f>
        <v>0</v>
      </c>
      <c r="AW44" s="17">
        <f>(1-$I34)*AW$13*$I38*Op_Rav!$K$11</f>
        <v>0</v>
      </c>
      <c r="AX44" s="17">
        <f>(1-$I34)*AX$13*$I38*Op_Rav!$K$11</f>
        <v>0</v>
      </c>
    </row>
    <row r="45" spans="1:50" ht="15" customHeight="1">
      <c r="A45"/>
      <c r="B45" s="1"/>
      <c r="C45" s="1"/>
      <c r="D45" s="1"/>
      <c r="E45" s="1" t="s">
        <v>298</v>
      </c>
      <c r="F45" s="1"/>
      <c r="G45" s="1" t="str">
        <f>Inputs!$I$6</f>
        <v>£m 2024 prices</v>
      </c>
      <c r="H45" s="1"/>
      <c r="I45" s="55"/>
      <c r="J45" s="80"/>
      <c r="K45" s="17">
        <f>($I35-$I34)*Op_Rav!$K$11*$I37*K$11</f>
        <v>0</v>
      </c>
      <c r="L45" s="17">
        <f>($I35-$I34)*Op_Rav!$K$11*$I37*L$11</f>
        <v>0</v>
      </c>
      <c r="M45" s="17">
        <f>($I35-$I34)*Op_Rav!$K$11*$I37*M$11</f>
        <v>0</v>
      </c>
      <c r="N45" s="17">
        <f>($I35-$I34)*Op_Rav!$K$11*$I37*N$11</f>
        <v>0</v>
      </c>
      <c r="O45" s="17">
        <f>($I35-$I34)*Op_Rav!$K$11*$I37*O$11</f>
        <v>1.5018119895547797</v>
      </c>
      <c r="P45" s="17">
        <f>($I35-$I34)*Op_Rav!$K$11*$I37*P$11</f>
        <v>0</v>
      </c>
      <c r="Q45" s="17">
        <f>($I35-$I34)*Op_Rav!$K$11*$I37*Q$11</f>
        <v>0</v>
      </c>
      <c r="R45" s="17">
        <f>($I35-$I34)*Op_Rav!$K$11*$I37*R$11</f>
        <v>0</v>
      </c>
      <c r="S45" s="17">
        <f>($I35-$I34)*Op_Rav!$K$11*$I37*S$11</f>
        <v>0</v>
      </c>
      <c r="T45" s="17">
        <f>($I35-$I34)*Op_Rav!$K$11*$I37*T$11</f>
        <v>0</v>
      </c>
      <c r="U45" s="17">
        <f>($I35-$I34)*Op_Rav!$K$11*$I37*U$11</f>
        <v>0</v>
      </c>
      <c r="V45" s="17">
        <f>($I35-$I34)*Op_Rav!$K$11*$I37*V$11</f>
        <v>0</v>
      </c>
      <c r="W45" s="17">
        <f>($I35-$I34)*Op_Rav!$K$11*$I37*W$11</f>
        <v>0</v>
      </c>
      <c r="X45" s="17">
        <f>($I35-$I34)*Op_Rav!$K$11*$I37*X$11</f>
        <v>0</v>
      </c>
      <c r="Y45" s="17">
        <f>($I35-$I34)*Op_Rav!$K$11*$I37*Y$11</f>
        <v>0</v>
      </c>
      <c r="Z45" s="17">
        <f>($I35-$I34)*Op_Rav!$K$11*$I37*Z$11</f>
        <v>0</v>
      </c>
      <c r="AA45" s="17">
        <f>($I35-$I34)*Op_Rav!$K$11*$I37*AA$11</f>
        <v>0</v>
      </c>
      <c r="AB45" s="17">
        <f>($I35-$I34)*Op_Rav!$K$11*$I37*AB$11</f>
        <v>0</v>
      </c>
      <c r="AC45" s="17">
        <f>($I35-$I34)*Op_Rav!$K$11*$I37*AC$11</f>
        <v>0</v>
      </c>
      <c r="AD45" s="17">
        <f>($I35-$I34)*Op_Rav!$K$11*$I37*AD$11</f>
        <v>0</v>
      </c>
      <c r="AE45" s="17">
        <f>($I35-$I34)*Op_Rav!$K$11*$I37*AE$11</f>
        <v>0</v>
      </c>
      <c r="AF45" s="17">
        <f>($I35-$I34)*Op_Rav!$K$11*$I37*AF$11</f>
        <v>0</v>
      </c>
      <c r="AG45" s="17">
        <f>($I35-$I34)*Op_Rav!$K$11*$I37*AG$11</f>
        <v>0</v>
      </c>
      <c r="AH45" s="17">
        <f>($I35-$I34)*Op_Rav!$K$11*$I37*AH$11</f>
        <v>0</v>
      </c>
      <c r="AI45" s="17">
        <f>($I35-$I34)*Op_Rav!$K$11*$I37*AI$11</f>
        <v>0</v>
      </c>
      <c r="AJ45" s="17">
        <f>($I35-$I34)*Op_Rav!$K$11*$I37*AJ$11</f>
        <v>0</v>
      </c>
      <c r="AK45" s="17">
        <f>($I35-$I34)*Op_Rav!$K$11*$I37*AK$11</f>
        <v>0</v>
      </c>
      <c r="AL45" s="17">
        <f>($I35-$I34)*Op_Rav!$K$11*$I37*AL$11</f>
        <v>0</v>
      </c>
      <c r="AM45" s="17">
        <f>($I35-$I34)*Op_Rav!$K$11*$I37*AM$11</f>
        <v>0</v>
      </c>
      <c r="AN45" s="17">
        <f>($I35-$I34)*Op_Rav!$K$11*$I37*AN$11</f>
        <v>0</v>
      </c>
      <c r="AO45" s="17">
        <f>($I35-$I34)*Op_Rav!$K$11*$I37*AO$11</f>
        <v>0</v>
      </c>
      <c r="AP45" s="17">
        <f>($I35-$I34)*Op_Rav!$K$11*$I37*AP$11</f>
        <v>0</v>
      </c>
      <c r="AQ45" s="17">
        <f>($I35-$I34)*Op_Rav!$K$11*$I37*AQ$11</f>
        <v>0</v>
      </c>
      <c r="AR45" s="17">
        <f>($I35-$I34)*Op_Rav!$K$11*$I37*AR$11</f>
        <v>0</v>
      </c>
      <c r="AS45" s="17">
        <f>($I35-$I34)*Op_Rav!$K$11*$I37*AS$11</f>
        <v>0</v>
      </c>
      <c r="AT45" s="17">
        <f>($I35-$I34)*Op_Rav!$K$11*$I37*AT$11</f>
        <v>0</v>
      </c>
      <c r="AU45" s="17">
        <f>($I35-$I34)*Op_Rav!$K$11*$I37*AU$11</f>
        <v>0</v>
      </c>
      <c r="AV45" s="17">
        <f>($I35-$I34)*Op_Rav!$K$11*$I37*AV$11</f>
        <v>0</v>
      </c>
      <c r="AW45" s="17">
        <f>($I35-$I34)*Op_Rav!$K$11*$I37*AW$11</f>
        <v>0</v>
      </c>
      <c r="AX45" s="17">
        <f>($I35-$I34)*Op_Rav!$K$11*$I37*AX$11</f>
        <v>0</v>
      </c>
    </row>
    <row r="46" spans="1:50" ht="15" customHeight="1">
      <c r="A46"/>
      <c r="B46" s="1"/>
      <c r="C46" s="1"/>
      <c r="D46" s="1"/>
      <c r="E46" s="1" t="s">
        <v>299</v>
      </c>
      <c r="F46" s="1"/>
      <c r="G46" s="1" t="str">
        <f>Inputs!$I$6</f>
        <v>£m 2024 prices</v>
      </c>
      <c r="H46" s="1"/>
      <c r="I46" s="55"/>
      <c r="J46" s="80"/>
      <c r="K46" s="17">
        <f>($I34-$I35)*Op_Rav!$K$11*$I38*K$11</f>
        <v>0</v>
      </c>
      <c r="L46" s="17">
        <f>($I34-$I35)*Op_Rav!$K$11*$I38*L$11</f>
        <v>0</v>
      </c>
      <c r="M46" s="17">
        <f>($I34-$I35)*Op_Rav!$K$11*$I38*M$11</f>
        <v>0</v>
      </c>
      <c r="N46" s="17">
        <f>($I34-$I35)*Op_Rav!$K$11*$I38*N$11</f>
        <v>0</v>
      </c>
      <c r="O46" s="17">
        <f>($I34-$I35)*Op_Rav!$K$11*$I38*O$11</f>
        <v>-3.0036239791095594</v>
      </c>
      <c r="P46" s="17">
        <f>($I34-$I35)*Op_Rav!$K$11*$I38*P$11</f>
        <v>0</v>
      </c>
      <c r="Q46" s="17">
        <f>($I34-$I35)*Op_Rav!$K$11*$I38*Q$11</f>
        <v>0</v>
      </c>
      <c r="R46" s="17">
        <f>($I34-$I35)*Op_Rav!$K$11*$I38*R$11</f>
        <v>0</v>
      </c>
      <c r="S46" s="17">
        <f>($I34-$I35)*Op_Rav!$K$11*$I38*S$11</f>
        <v>0</v>
      </c>
      <c r="T46" s="17">
        <f>($I34-$I35)*Op_Rav!$K$11*$I38*T$11</f>
        <v>0</v>
      </c>
      <c r="U46" s="17">
        <f>($I34-$I35)*Op_Rav!$K$11*$I38*U$11</f>
        <v>0</v>
      </c>
      <c r="V46" s="17">
        <f>($I34-$I35)*Op_Rav!$K$11*$I38*V$11</f>
        <v>0</v>
      </c>
      <c r="W46" s="17">
        <f>($I34-$I35)*Op_Rav!$K$11*$I38*W$11</f>
        <v>0</v>
      </c>
      <c r="X46" s="17">
        <f>($I34-$I35)*Op_Rav!$K$11*$I38*X$11</f>
        <v>0</v>
      </c>
      <c r="Y46" s="17">
        <f>($I34-$I35)*Op_Rav!$K$11*$I38*Y$11</f>
        <v>0</v>
      </c>
      <c r="Z46" s="17">
        <f>($I34-$I35)*Op_Rav!$K$11*$I38*Z$11</f>
        <v>0</v>
      </c>
      <c r="AA46" s="17">
        <f>($I34-$I35)*Op_Rav!$K$11*$I38*AA$11</f>
        <v>0</v>
      </c>
      <c r="AB46" s="17">
        <f>($I34-$I35)*Op_Rav!$K$11*$I38*AB$11</f>
        <v>0</v>
      </c>
      <c r="AC46" s="17">
        <f>($I34-$I35)*Op_Rav!$K$11*$I38*AC$11</f>
        <v>0</v>
      </c>
      <c r="AD46" s="17">
        <f>($I34-$I35)*Op_Rav!$K$11*$I38*AD$11</f>
        <v>0</v>
      </c>
      <c r="AE46" s="17">
        <f>($I34-$I35)*Op_Rav!$K$11*$I38*AE$11</f>
        <v>0</v>
      </c>
      <c r="AF46" s="17">
        <f>($I34-$I35)*Op_Rav!$K$11*$I38*AF$11</f>
        <v>0</v>
      </c>
      <c r="AG46" s="17">
        <f>($I34-$I35)*Op_Rav!$K$11*$I38*AG$11</f>
        <v>0</v>
      </c>
      <c r="AH46" s="17">
        <f>($I34-$I35)*Op_Rav!$K$11*$I38*AH$11</f>
        <v>0</v>
      </c>
      <c r="AI46" s="17">
        <f>($I34-$I35)*Op_Rav!$K$11*$I38*AI$11</f>
        <v>0</v>
      </c>
      <c r="AJ46" s="17">
        <f>($I34-$I35)*Op_Rav!$K$11*$I38*AJ$11</f>
        <v>0</v>
      </c>
      <c r="AK46" s="17">
        <f>($I34-$I35)*Op_Rav!$K$11*$I38*AK$11</f>
        <v>0</v>
      </c>
      <c r="AL46" s="17">
        <f>($I34-$I35)*Op_Rav!$K$11*$I38*AL$11</f>
        <v>0</v>
      </c>
      <c r="AM46" s="17">
        <f>($I34-$I35)*Op_Rav!$K$11*$I38*AM$11</f>
        <v>0</v>
      </c>
      <c r="AN46" s="17">
        <f>($I34-$I35)*Op_Rav!$K$11*$I38*AN$11</f>
        <v>0</v>
      </c>
      <c r="AO46" s="17">
        <f>($I34-$I35)*Op_Rav!$K$11*$I38*AO$11</f>
        <v>0</v>
      </c>
      <c r="AP46" s="17">
        <f>($I34-$I35)*Op_Rav!$K$11*$I38*AP$11</f>
        <v>0</v>
      </c>
      <c r="AQ46" s="17">
        <f>($I34-$I35)*Op_Rav!$K$11*$I38*AQ$11</f>
        <v>0</v>
      </c>
      <c r="AR46" s="17">
        <f>($I34-$I35)*Op_Rav!$K$11*$I38*AR$11</f>
        <v>0</v>
      </c>
      <c r="AS46" s="17">
        <f>($I34-$I35)*Op_Rav!$K$11*$I38*AS$11</f>
        <v>0</v>
      </c>
      <c r="AT46" s="17">
        <f>($I34-$I35)*Op_Rav!$K$11*$I38*AT$11</f>
        <v>0</v>
      </c>
      <c r="AU46" s="17">
        <f>($I34-$I35)*Op_Rav!$K$11*$I38*AU$11</f>
        <v>0</v>
      </c>
      <c r="AV46" s="17">
        <f>($I34-$I35)*Op_Rav!$K$11*$I38*AV$11</f>
        <v>0</v>
      </c>
      <c r="AW46" s="17">
        <f>($I34-$I35)*Op_Rav!$K$11*$I38*AW$11</f>
        <v>0</v>
      </c>
      <c r="AX46" s="17">
        <f>($I34-$I35)*Op_Rav!$K$11*$I38*AX$11</f>
        <v>0</v>
      </c>
    </row>
    <row r="47" spans="1:50" ht="15" customHeight="1">
      <c r="A47"/>
      <c r="B47" s="1"/>
      <c r="C47" s="1"/>
      <c r="D47" s="1"/>
      <c r="E47" s="1" t="s">
        <v>300</v>
      </c>
      <c r="F47" s="1"/>
      <c r="G47" s="1" t="str">
        <f>Inputs!$I$6</f>
        <v>£m 2024 prices</v>
      </c>
      <c r="H47" s="1"/>
      <c r="I47" s="55"/>
      <c r="J47" s="80"/>
      <c r="K47" s="143">
        <f t="shared" ref="K47:AX47" si="4">SUM(K43:K46)</f>
        <v>19.523555864212135</v>
      </c>
      <c r="L47" s="143">
        <f t="shared" si="4"/>
        <v>0</v>
      </c>
      <c r="M47" s="143">
        <f t="shared" si="4"/>
        <v>0</v>
      </c>
      <c r="N47" s="143">
        <f t="shared" si="4"/>
        <v>0</v>
      </c>
      <c r="O47" s="143">
        <f t="shared" si="4"/>
        <v>-1.5018119895547797</v>
      </c>
      <c r="P47" s="143">
        <f t="shared" si="4"/>
        <v>0</v>
      </c>
      <c r="Q47" s="143">
        <f t="shared" si="4"/>
        <v>0</v>
      </c>
      <c r="R47" s="143">
        <f t="shared" si="4"/>
        <v>0</v>
      </c>
      <c r="S47" s="143">
        <f t="shared" si="4"/>
        <v>0</v>
      </c>
      <c r="T47" s="143">
        <f t="shared" si="4"/>
        <v>0</v>
      </c>
      <c r="U47" s="143">
        <f t="shared" si="4"/>
        <v>0</v>
      </c>
      <c r="V47" s="143">
        <f t="shared" si="4"/>
        <v>0</v>
      </c>
      <c r="W47" s="143">
        <f t="shared" si="4"/>
        <v>0</v>
      </c>
      <c r="X47" s="143">
        <f t="shared" si="4"/>
        <v>0</v>
      </c>
      <c r="Y47" s="143">
        <f t="shared" si="4"/>
        <v>0</v>
      </c>
      <c r="Z47" s="143">
        <f t="shared" si="4"/>
        <v>0</v>
      </c>
      <c r="AA47" s="143">
        <f t="shared" si="4"/>
        <v>0</v>
      </c>
      <c r="AB47" s="143">
        <f t="shared" si="4"/>
        <v>0</v>
      </c>
      <c r="AC47" s="143">
        <f t="shared" si="4"/>
        <v>0</v>
      </c>
      <c r="AD47" s="143">
        <f t="shared" si="4"/>
        <v>0</v>
      </c>
      <c r="AE47" s="143">
        <f t="shared" si="4"/>
        <v>0</v>
      </c>
      <c r="AF47" s="143">
        <f t="shared" si="4"/>
        <v>0</v>
      </c>
      <c r="AG47" s="143">
        <f t="shared" si="4"/>
        <v>0</v>
      </c>
      <c r="AH47" s="143">
        <f t="shared" si="4"/>
        <v>0</v>
      </c>
      <c r="AI47" s="143">
        <f t="shared" si="4"/>
        <v>0</v>
      </c>
      <c r="AJ47" s="143">
        <f t="shared" si="4"/>
        <v>0</v>
      </c>
      <c r="AK47" s="143">
        <f t="shared" si="4"/>
        <v>0</v>
      </c>
      <c r="AL47" s="143">
        <f t="shared" si="4"/>
        <v>0</v>
      </c>
      <c r="AM47" s="143">
        <f t="shared" si="4"/>
        <v>0</v>
      </c>
      <c r="AN47" s="143">
        <f t="shared" si="4"/>
        <v>0</v>
      </c>
      <c r="AO47" s="143">
        <f t="shared" si="4"/>
        <v>0</v>
      </c>
      <c r="AP47" s="143">
        <f t="shared" si="4"/>
        <v>0</v>
      </c>
      <c r="AQ47" s="143">
        <f t="shared" si="4"/>
        <v>0</v>
      </c>
      <c r="AR47" s="143">
        <f t="shared" si="4"/>
        <v>0</v>
      </c>
      <c r="AS47" s="143">
        <f t="shared" si="4"/>
        <v>0</v>
      </c>
      <c r="AT47" s="143">
        <f t="shared" si="4"/>
        <v>0</v>
      </c>
      <c r="AU47" s="143">
        <f t="shared" si="4"/>
        <v>0</v>
      </c>
      <c r="AV47" s="143">
        <f t="shared" si="4"/>
        <v>0</v>
      </c>
      <c r="AW47" s="143">
        <f t="shared" si="4"/>
        <v>0</v>
      </c>
      <c r="AX47" s="143">
        <f t="shared" si="4"/>
        <v>0</v>
      </c>
    </row>
    <row r="48" spans="1:50" ht="15" customHeight="1">
      <c r="A48"/>
      <c r="B48" s="1"/>
      <c r="C48" s="1"/>
      <c r="D48" s="1"/>
      <c r="E48" s="77" t="s">
        <v>301</v>
      </c>
      <c r="F48" s="1"/>
      <c r="G48" s="1" t="str">
        <f>Inputs!$I$6</f>
        <v>£m 2024 prices</v>
      </c>
      <c r="H48" s="1"/>
      <c r="I48" s="55"/>
      <c r="J48" s="80"/>
      <c r="K48" s="144">
        <f t="shared" ref="K48:AX48" si="5">($I22*(K42+(K43+K44+K45+K46)/(2+$I22))*K8)</f>
        <v>0.51142628566297255</v>
      </c>
      <c r="L48" s="144">
        <f t="shared" si="5"/>
        <v>1.0778820396632807</v>
      </c>
      <c r="M48" s="144">
        <f t="shared" si="5"/>
        <v>1.1358720933971651</v>
      </c>
      <c r="N48" s="144">
        <f t="shared" si="5"/>
        <v>1.1969820120219326</v>
      </c>
      <c r="O48" s="144">
        <f t="shared" si="5"/>
        <v>0</v>
      </c>
      <c r="P48" s="144">
        <f t="shared" si="5"/>
        <v>0</v>
      </c>
      <c r="Q48" s="144">
        <f t="shared" si="5"/>
        <v>0</v>
      </c>
      <c r="R48" s="144">
        <f t="shared" si="5"/>
        <v>0</v>
      </c>
      <c r="S48" s="144">
        <f t="shared" si="5"/>
        <v>0</v>
      </c>
      <c r="T48" s="144">
        <f t="shared" si="5"/>
        <v>0</v>
      </c>
      <c r="U48" s="144">
        <f t="shared" si="5"/>
        <v>0</v>
      </c>
      <c r="V48" s="144">
        <f t="shared" si="5"/>
        <v>0</v>
      </c>
      <c r="W48" s="144">
        <f t="shared" si="5"/>
        <v>0</v>
      </c>
      <c r="X48" s="144">
        <f t="shared" si="5"/>
        <v>0</v>
      </c>
      <c r="Y48" s="144">
        <f t="shared" si="5"/>
        <v>0</v>
      </c>
      <c r="Z48" s="144">
        <f t="shared" si="5"/>
        <v>0</v>
      </c>
      <c r="AA48" s="144">
        <f t="shared" si="5"/>
        <v>0</v>
      </c>
      <c r="AB48" s="144">
        <f t="shared" si="5"/>
        <v>0</v>
      </c>
      <c r="AC48" s="144">
        <f t="shared" si="5"/>
        <v>0</v>
      </c>
      <c r="AD48" s="144">
        <f t="shared" si="5"/>
        <v>0</v>
      </c>
      <c r="AE48" s="144">
        <f t="shared" si="5"/>
        <v>0</v>
      </c>
      <c r="AF48" s="144">
        <f t="shared" si="5"/>
        <v>0</v>
      </c>
      <c r="AG48" s="144">
        <f t="shared" si="5"/>
        <v>0</v>
      </c>
      <c r="AH48" s="144">
        <f t="shared" si="5"/>
        <v>0</v>
      </c>
      <c r="AI48" s="144">
        <f t="shared" si="5"/>
        <v>0</v>
      </c>
      <c r="AJ48" s="144">
        <f t="shared" si="5"/>
        <v>0</v>
      </c>
      <c r="AK48" s="144">
        <f t="shared" si="5"/>
        <v>0</v>
      </c>
      <c r="AL48" s="144">
        <f t="shared" si="5"/>
        <v>0</v>
      </c>
      <c r="AM48" s="144">
        <f t="shared" si="5"/>
        <v>0</v>
      </c>
      <c r="AN48" s="144">
        <f t="shared" si="5"/>
        <v>0</v>
      </c>
      <c r="AO48" s="144">
        <f t="shared" si="5"/>
        <v>0</v>
      </c>
      <c r="AP48" s="144">
        <f t="shared" si="5"/>
        <v>0</v>
      </c>
      <c r="AQ48" s="144">
        <f t="shared" si="5"/>
        <v>0</v>
      </c>
      <c r="AR48" s="144">
        <f t="shared" si="5"/>
        <v>0</v>
      </c>
      <c r="AS48" s="144">
        <f t="shared" si="5"/>
        <v>0</v>
      </c>
      <c r="AT48" s="144">
        <f t="shared" si="5"/>
        <v>0</v>
      </c>
      <c r="AU48" s="144">
        <f t="shared" si="5"/>
        <v>0</v>
      </c>
      <c r="AV48" s="144">
        <f t="shared" si="5"/>
        <v>0</v>
      </c>
      <c r="AW48" s="144">
        <f t="shared" si="5"/>
        <v>0</v>
      </c>
      <c r="AX48" s="144">
        <f t="shared" si="5"/>
        <v>0</v>
      </c>
    </row>
    <row r="49" spans="1:50" ht="15" customHeight="1">
      <c r="A49"/>
      <c r="B49" s="1"/>
      <c r="C49" s="1"/>
      <c r="D49" s="1"/>
      <c r="E49" s="77" t="s">
        <v>302</v>
      </c>
      <c r="F49" s="1"/>
      <c r="G49" s="1" t="str">
        <f>Inputs!$I$6</f>
        <v>£m 2024 prices</v>
      </c>
      <c r="H49" s="1"/>
      <c r="I49" s="55"/>
      <c r="J49" s="80"/>
      <c r="K49" s="17">
        <f t="shared" ref="K49:AX49" si="6">-SUM(K42,K47,K48)*K$11</f>
        <v>0</v>
      </c>
      <c r="L49" s="17">
        <f t="shared" si="6"/>
        <v>0</v>
      </c>
      <c r="M49" s="17">
        <f t="shared" si="6"/>
        <v>0</v>
      </c>
      <c r="N49" s="17">
        <f t="shared" si="6"/>
        <v>0</v>
      </c>
      <c r="O49" s="17">
        <f t="shared" si="6"/>
        <v>-21.943906305402702</v>
      </c>
      <c r="P49" s="17">
        <f t="shared" si="6"/>
        <v>0</v>
      </c>
      <c r="Q49" s="17">
        <f t="shared" si="6"/>
        <v>0</v>
      </c>
      <c r="R49" s="17">
        <f t="shared" si="6"/>
        <v>0</v>
      </c>
      <c r="S49" s="17">
        <f t="shared" si="6"/>
        <v>0</v>
      </c>
      <c r="T49" s="17">
        <f t="shared" si="6"/>
        <v>0</v>
      </c>
      <c r="U49" s="17">
        <f t="shared" si="6"/>
        <v>0</v>
      </c>
      <c r="V49" s="17">
        <f t="shared" si="6"/>
        <v>0</v>
      </c>
      <c r="W49" s="17">
        <f t="shared" si="6"/>
        <v>0</v>
      </c>
      <c r="X49" s="17">
        <f t="shared" si="6"/>
        <v>0</v>
      </c>
      <c r="Y49" s="17">
        <f t="shared" si="6"/>
        <v>0</v>
      </c>
      <c r="Z49" s="17">
        <f t="shared" si="6"/>
        <v>0</v>
      </c>
      <c r="AA49" s="17">
        <f t="shared" si="6"/>
        <v>0</v>
      </c>
      <c r="AB49" s="17">
        <f t="shared" si="6"/>
        <v>0</v>
      </c>
      <c r="AC49" s="17">
        <f t="shared" si="6"/>
        <v>0</v>
      </c>
      <c r="AD49" s="17">
        <f t="shared" si="6"/>
        <v>0</v>
      </c>
      <c r="AE49" s="17">
        <f t="shared" si="6"/>
        <v>0</v>
      </c>
      <c r="AF49" s="17">
        <f t="shared" si="6"/>
        <v>0</v>
      </c>
      <c r="AG49" s="17">
        <f t="shared" si="6"/>
        <v>0</v>
      </c>
      <c r="AH49" s="17">
        <f t="shared" si="6"/>
        <v>0</v>
      </c>
      <c r="AI49" s="17">
        <f t="shared" si="6"/>
        <v>0</v>
      </c>
      <c r="AJ49" s="17">
        <f t="shared" si="6"/>
        <v>0</v>
      </c>
      <c r="AK49" s="17">
        <f t="shared" si="6"/>
        <v>0</v>
      </c>
      <c r="AL49" s="17">
        <f t="shared" si="6"/>
        <v>0</v>
      </c>
      <c r="AM49" s="17">
        <f t="shared" si="6"/>
        <v>0</v>
      </c>
      <c r="AN49" s="17">
        <f t="shared" si="6"/>
        <v>0</v>
      </c>
      <c r="AO49" s="17">
        <f t="shared" si="6"/>
        <v>0</v>
      </c>
      <c r="AP49" s="17">
        <f t="shared" si="6"/>
        <v>0</v>
      </c>
      <c r="AQ49" s="17">
        <f t="shared" si="6"/>
        <v>0</v>
      </c>
      <c r="AR49" s="17">
        <f t="shared" si="6"/>
        <v>0</v>
      </c>
      <c r="AS49" s="17">
        <f t="shared" si="6"/>
        <v>0</v>
      </c>
      <c r="AT49" s="17">
        <f t="shared" si="6"/>
        <v>0</v>
      </c>
      <c r="AU49" s="17">
        <f t="shared" si="6"/>
        <v>0</v>
      </c>
      <c r="AV49" s="17">
        <f t="shared" si="6"/>
        <v>0</v>
      </c>
      <c r="AW49" s="17">
        <f t="shared" si="6"/>
        <v>0</v>
      </c>
      <c r="AX49" s="17">
        <f t="shared" si="6"/>
        <v>0</v>
      </c>
    </row>
    <row r="50" spans="1:50" ht="15" customHeight="1">
      <c r="A50"/>
      <c r="B50" s="1"/>
      <c r="C50" s="1"/>
      <c r="D50" s="1"/>
      <c r="E50" s="1" t="s">
        <v>303</v>
      </c>
      <c r="F50" s="1"/>
      <c r="G50" s="1" t="str">
        <f>Inputs!$I$6</f>
        <v>£m 2024 prices</v>
      </c>
      <c r="H50" s="1"/>
      <c r="I50" s="55"/>
      <c r="J50" s="80"/>
      <c r="K50" s="136">
        <f t="shared" ref="K50:AX50" si="7">SUM(K49,K48,K47,K42)</f>
        <v>20.034982149875106</v>
      </c>
      <c r="L50" s="136">
        <f t="shared" si="7"/>
        <v>21.112864189538385</v>
      </c>
      <c r="M50" s="136">
        <f t="shared" si="7"/>
        <v>22.24873628293555</v>
      </c>
      <c r="N50" s="136">
        <f t="shared" si="7"/>
        <v>23.445718294957484</v>
      </c>
      <c r="O50" s="136">
        <f t="shared" si="7"/>
        <v>0</v>
      </c>
      <c r="P50" s="136">
        <f t="shared" si="7"/>
        <v>0</v>
      </c>
      <c r="Q50" s="136">
        <f t="shared" si="7"/>
        <v>0</v>
      </c>
      <c r="R50" s="136">
        <f t="shared" si="7"/>
        <v>0</v>
      </c>
      <c r="S50" s="136">
        <f t="shared" si="7"/>
        <v>0</v>
      </c>
      <c r="T50" s="136">
        <f t="shared" si="7"/>
        <v>0</v>
      </c>
      <c r="U50" s="136">
        <f t="shared" si="7"/>
        <v>0</v>
      </c>
      <c r="V50" s="136">
        <f t="shared" si="7"/>
        <v>0</v>
      </c>
      <c r="W50" s="136">
        <f t="shared" si="7"/>
        <v>0</v>
      </c>
      <c r="X50" s="136">
        <f t="shared" si="7"/>
        <v>0</v>
      </c>
      <c r="Y50" s="136">
        <f t="shared" si="7"/>
        <v>0</v>
      </c>
      <c r="Z50" s="136">
        <f t="shared" si="7"/>
        <v>0</v>
      </c>
      <c r="AA50" s="136">
        <f t="shared" si="7"/>
        <v>0</v>
      </c>
      <c r="AB50" s="136">
        <f t="shared" si="7"/>
        <v>0</v>
      </c>
      <c r="AC50" s="136">
        <f t="shared" si="7"/>
        <v>0</v>
      </c>
      <c r="AD50" s="136">
        <f t="shared" si="7"/>
        <v>0</v>
      </c>
      <c r="AE50" s="136">
        <f t="shared" si="7"/>
        <v>0</v>
      </c>
      <c r="AF50" s="136">
        <f t="shared" si="7"/>
        <v>0</v>
      </c>
      <c r="AG50" s="136">
        <f t="shared" si="7"/>
        <v>0</v>
      </c>
      <c r="AH50" s="136">
        <f t="shared" si="7"/>
        <v>0</v>
      </c>
      <c r="AI50" s="136">
        <f t="shared" si="7"/>
        <v>0</v>
      </c>
      <c r="AJ50" s="136">
        <f t="shared" si="7"/>
        <v>0</v>
      </c>
      <c r="AK50" s="136">
        <f t="shared" si="7"/>
        <v>0</v>
      </c>
      <c r="AL50" s="136">
        <f t="shared" si="7"/>
        <v>0</v>
      </c>
      <c r="AM50" s="136">
        <f t="shared" si="7"/>
        <v>0</v>
      </c>
      <c r="AN50" s="136">
        <f t="shared" si="7"/>
        <v>0</v>
      </c>
      <c r="AO50" s="136">
        <f t="shared" si="7"/>
        <v>0</v>
      </c>
      <c r="AP50" s="136">
        <f t="shared" si="7"/>
        <v>0</v>
      </c>
      <c r="AQ50" s="136">
        <f t="shared" si="7"/>
        <v>0</v>
      </c>
      <c r="AR50" s="136">
        <f t="shared" si="7"/>
        <v>0</v>
      </c>
      <c r="AS50" s="136">
        <f t="shared" si="7"/>
        <v>0</v>
      </c>
      <c r="AT50" s="136">
        <f t="shared" si="7"/>
        <v>0</v>
      </c>
      <c r="AU50" s="136">
        <f t="shared" si="7"/>
        <v>0</v>
      </c>
      <c r="AV50" s="136">
        <f t="shared" si="7"/>
        <v>0</v>
      </c>
      <c r="AW50" s="136">
        <f t="shared" si="7"/>
        <v>0</v>
      </c>
      <c r="AX50" s="136">
        <f t="shared" si="7"/>
        <v>0</v>
      </c>
    </row>
    <row r="51" spans="1:50" ht="15" customHeight="1">
      <c r="A51"/>
      <c r="B51" s="1"/>
      <c r="C51" s="1"/>
      <c r="D51" s="1"/>
      <c r="E51" s="1"/>
      <c r="F51" s="1"/>
      <c r="G51" s="1"/>
      <c r="H51" s="1"/>
      <c r="I51" s="55"/>
      <c r="J51" s="80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</row>
    <row r="52" spans="1:50" ht="15" customHeight="1">
      <c r="A52" s="23"/>
      <c r="B52" s="12" t="s">
        <v>260</v>
      </c>
      <c r="C52" s="50"/>
      <c r="D52" s="50"/>
      <c r="E52" s="50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</row>
    <row r="53" spans="1:50" ht="15" customHeight="1">
      <c r="A53" s="23"/>
      <c r="B53" s="1"/>
      <c r="C53" s="1"/>
      <c r="D53" s="1"/>
      <c r="E53" s="1"/>
      <c r="F53" s="1"/>
      <c r="G53" s="1"/>
      <c r="H53" s="1"/>
      <c r="I53" s="55"/>
      <c r="J53" s="80"/>
      <c r="K53" s="80"/>
      <c r="L53" s="80"/>
      <c r="M53" s="80"/>
      <c r="N53" s="80"/>
      <c r="O53" s="80"/>
      <c r="P53" s="80"/>
      <c r="Q53" s="80"/>
      <c r="R53" s="80"/>
      <c r="S53" s="1"/>
      <c r="T53" s="1"/>
      <c r="U53" s="1"/>
      <c r="V53" s="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</row>
    <row r="54" spans="1:50" ht="15" customHeight="1">
      <c r="A54" s="23"/>
      <c r="B54" s="1"/>
      <c r="C54" s="56" t="s">
        <v>304</v>
      </c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</row>
    <row r="55" spans="1:50" ht="15" customHeight="1">
      <c r="A55" s="145"/>
      <c r="B55" s="93"/>
      <c r="C55" s="93"/>
      <c r="D55" s="9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  <c r="AA55" s="140"/>
      <c r="AB55" s="140"/>
      <c r="AC55" s="140"/>
      <c r="AD55" s="140"/>
      <c r="AE55" s="140"/>
      <c r="AF55" s="140"/>
      <c r="AG55" s="140"/>
      <c r="AH55" s="140"/>
      <c r="AI55" s="140"/>
      <c r="AJ55" s="140"/>
      <c r="AK55" s="140"/>
      <c r="AL55" s="140"/>
      <c r="AM55" s="140"/>
      <c r="AN55" s="140"/>
      <c r="AO55" s="140"/>
      <c r="AP55" s="140"/>
      <c r="AQ55" s="140"/>
      <c r="AR55" s="140"/>
      <c r="AS55" s="140"/>
      <c r="AT55" s="140"/>
      <c r="AU55" s="140"/>
      <c r="AV55" s="140"/>
      <c r="AW55" s="140"/>
      <c r="AX55" s="140"/>
    </row>
    <row r="56" spans="1:50" ht="15" customHeight="1">
      <c r="A56" s="92"/>
      <c r="B56" s="93"/>
      <c r="C56" s="93"/>
      <c r="D56" s="90"/>
      <c r="E56" s="1" t="s">
        <v>282</v>
      </c>
      <c r="G56" s="11" t="s">
        <v>77</v>
      </c>
      <c r="I56" s="140"/>
      <c r="J56" s="140"/>
      <c r="K56" s="18">
        <f>Pre_Op_RAV!K54</f>
        <v>0</v>
      </c>
      <c r="L56" s="18">
        <f>Pre_Op_RAV!L54</f>
        <v>185.76505</v>
      </c>
      <c r="M56" s="18">
        <f>Pre_Op_RAV!M54</f>
        <v>169.21504999999999</v>
      </c>
      <c r="N56" s="18">
        <f>Pre_Op_RAV!N54</f>
        <v>177.07505</v>
      </c>
      <c r="O56" s="18">
        <f>Pre_Op_RAV!O54</f>
        <v>31.005049999999994</v>
      </c>
      <c r="P56" s="18">
        <f>Pre_Op_RAV!P54</f>
        <v>0</v>
      </c>
      <c r="Q56" s="18">
        <f>Pre_Op_RAV!Q54</f>
        <v>0</v>
      </c>
      <c r="R56" s="18">
        <f>Pre_Op_RAV!R54</f>
        <v>0</v>
      </c>
      <c r="S56" s="18">
        <f>Pre_Op_RAV!S54</f>
        <v>0</v>
      </c>
      <c r="T56" s="18">
        <f>Pre_Op_RAV!T54</f>
        <v>0</v>
      </c>
      <c r="U56" s="18">
        <f>Pre_Op_RAV!U54</f>
        <v>0</v>
      </c>
      <c r="V56" s="18">
        <f>Pre_Op_RAV!V54</f>
        <v>0</v>
      </c>
      <c r="W56" s="18">
        <f>Pre_Op_RAV!W54</f>
        <v>0</v>
      </c>
      <c r="X56" s="18">
        <f>Pre_Op_RAV!X54</f>
        <v>0</v>
      </c>
      <c r="Y56" s="18">
        <f>Pre_Op_RAV!Y54</f>
        <v>0</v>
      </c>
      <c r="Z56" s="18">
        <f>Pre_Op_RAV!Z54</f>
        <v>0</v>
      </c>
      <c r="AA56" s="18">
        <f>Pre_Op_RAV!AA54</f>
        <v>0</v>
      </c>
      <c r="AB56" s="18">
        <f>Pre_Op_RAV!AB54</f>
        <v>0</v>
      </c>
      <c r="AC56" s="18">
        <f>Pre_Op_RAV!AC54</f>
        <v>0</v>
      </c>
      <c r="AD56" s="18">
        <f>Pre_Op_RAV!AD54</f>
        <v>0</v>
      </c>
      <c r="AE56" s="18">
        <f>Pre_Op_RAV!AE54</f>
        <v>0</v>
      </c>
      <c r="AF56" s="18">
        <f>Pre_Op_RAV!AF54</f>
        <v>0</v>
      </c>
      <c r="AG56" s="18">
        <f>Pre_Op_RAV!AG54</f>
        <v>0</v>
      </c>
      <c r="AH56" s="18">
        <f>Pre_Op_RAV!AH54</f>
        <v>0</v>
      </c>
      <c r="AI56" s="18">
        <f>Pre_Op_RAV!AI54</f>
        <v>0</v>
      </c>
      <c r="AJ56" s="18">
        <f>Pre_Op_RAV!AJ54</f>
        <v>0</v>
      </c>
      <c r="AK56" s="18">
        <f>Pre_Op_RAV!AK54</f>
        <v>0</v>
      </c>
      <c r="AL56" s="18">
        <f>Pre_Op_RAV!AL54</f>
        <v>0</v>
      </c>
      <c r="AM56" s="18">
        <f>Pre_Op_RAV!AM54</f>
        <v>0</v>
      </c>
      <c r="AN56" s="18">
        <f>Pre_Op_RAV!AN54</f>
        <v>0</v>
      </c>
      <c r="AO56" s="18">
        <f>Pre_Op_RAV!AO54</f>
        <v>0</v>
      </c>
      <c r="AP56" s="18">
        <f>Pre_Op_RAV!AP54</f>
        <v>0</v>
      </c>
      <c r="AQ56" s="18">
        <f>Pre_Op_RAV!AQ54</f>
        <v>0</v>
      </c>
      <c r="AR56" s="18">
        <f>Pre_Op_RAV!AR54</f>
        <v>0</v>
      </c>
      <c r="AS56" s="18">
        <f>Pre_Op_RAV!AS54</f>
        <v>0</v>
      </c>
      <c r="AT56" s="18">
        <f>Pre_Op_RAV!AT54</f>
        <v>0</v>
      </c>
      <c r="AU56" s="18">
        <f>Pre_Op_RAV!AU54</f>
        <v>0</v>
      </c>
      <c r="AV56" s="18">
        <f>Pre_Op_RAV!AV54</f>
        <v>0</v>
      </c>
      <c r="AW56" s="18">
        <f>Pre_Op_RAV!AW54</f>
        <v>0</v>
      </c>
      <c r="AX56" s="18">
        <f>Pre_Op_RAV!AX54</f>
        <v>0</v>
      </c>
    </row>
    <row r="57" spans="1:50" ht="15" customHeight="1">
      <c r="A57" s="145"/>
      <c r="B57" s="93"/>
      <c r="C57" s="93"/>
      <c r="D57" s="9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  <c r="AA57" s="140"/>
      <c r="AB57" s="140"/>
      <c r="AC57" s="140"/>
      <c r="AD57" s="140"/>
      <c r="AE57" s="140"/>
      <c r="AF57" s="140"/>
      <c r="AG57" s="140"/>
      <c r="AH57" s="140"/>
      <c r="AI57" s="140"/>
      <c r="AJ57" s="140"/>
      <c r="AK57" s="140"/>
      <c r="AL57" s="140"/>
      <c r="AM57" s="140"/>
      <c r="AN57" s="140"/>
      <c r="AO57" s="140"/>
      <c r="AP57" s="140"/>
      <c r="AQ57" s="140"/>
      <c r="AR57" s="140"/>
      <c r="AS57" s="140"/>
      <c r="AT57" s="140"/>
      <c r="AU57" s="140"/>
      <c r="AV57" s="140"/>
      <c r="AW57" s="140"/>
      <c r="AX57" s="140"/>
    </row>
    <row r="58" spans="1:50" ht="15" customHeight="1">
      <c r="A58" s="145"/>
      <c r="B58" s="93"/>
      <c r="C58" s="93"/>
      <c r="D58" s="90"/>
      <c r="E58" s="11" t="s">
        <v>305</v>
      </c>
      <c r="G58" s="11" t="s">
        <v>77</v>
      </c>
      <c r="I58" s="140">
        <f>IF(Inputs!I60=1,Inputs!I61,I59*SUM(K56:AX56))</f>
        <v>500</v>
      </c>
      <c r="J58" s="140"/>
      <c r="K58" s="14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  <c r="AA58" s="140"/>
      <c r="AB58" s="140"/>
      <c r="AC58" s="140"/>
      <c r="AD58" s="140"/>
      <c r="AE58" s="140"/>
      <c r="AF58" s="140"/>
      <c r="AG58" s="140"/>
      <c r="AH58" s="140"/>
      <c r="AI58" s="140"/>
      <c r="AJ58" s="140"/>
      <c r="AK58" s="140"/>
      <c r="AL58" s="140"/>
      <c r="AM58" s="140"/>
      <c r="AN58" s="140"/>
      <c r="AO58" s="140"/>
      <c r="AP58" s="140"/>
      <c r="AQ58" s="140"/>
      <c r="AR58" s="140"/>
      <c r="AS58" s="140"/>
      <c r="AT58" s="140"/>
      <c r="AU58" s="140"/>
      <c r="AV58" s="140"/>
      <c r="AW58" s="140"/>
      <c r="AX58" s="140"/>
    </row>
    <row r="59" spans="1:50" ht="15" customHeight="1">
      <c r="A59" s="145"/>
      <c r="B59" s="93"/>
      <c r="C59" s="93"/>
      <c r="D59" s="90"/>
      <c r="E59" s="11" t="s">
        <v>306</v>
      </c>
      <c r="F59" s="1"/>
      <c r="G59" s="11" t="s">
        <v>142</v>
      </c>
      <c r="I59" s="77">
        <f>IF(Inputs!I60=2,Inputs!I62,Finance!I58/SUM(Finance!K56:AX56))</f>
        <v>0.88800451532535951</v>
      </c>
      <c r="J59" s="140"/>
      <c r="K59" s="140"/>
      <c r="L59" s="140"/>
      <c r="M59" s="140"/>
      <c r="N59" s="140"/>
      <c r="O59" s="140"/>
      <c r="P59" s="140"/>
      <c r="Q59" s="140"/>
      <c r="R59" s="140"/>
      <c r="W59" s="140"/>
      <c r="X59" s="140"/>
      <c r="Y59" s="140"/>
      <c r="Z59" s="140"/>
      <c r="AA59" s="140"/>
      <c r="AB59" s="140"/>
      <c r="AC59" s="140"/>
      <c r="AD59" s="140"/>
      <c r="AE59" s="140"/>
      <c r="AF59" s="140"/>
      <c r="AG59" s="140"/>
      <c r="AH59" s="140"/>
      <c r="AI59" s="140"/>
      <c r="AJ59" s="140"/>
      <c r="AK59" s="140"/>
      <c r="AL59" s="140"/>
      <c r="AM59" s="140"/>
      <c r="AN59" s="140"/>
      <c r="AO59" s="140"/>
      <c r="AP59" s="140"/>
      <c r="AQ59" s="140"/>
      <c r="AR59" s="140"/>
      <c r="AS59" s="140"/>
      <c r="AT59" s="140"/>
      <c r="AU59" s="140"/>
      <c r="AV59" s="140"/>
      <c r="AW59" s="140"/>
      <c r="AX59" s="140"/>
    </row>
    <row r="60" spans="1:50" ht="15" customHeight="1">
      <c r="A60" s="145"/>
      <c r="B60" s="93"/>
      <c r="C60" s="93"/>
      <c r="D60" s="90"/>
      <c r="E60" s="11" t="s">
        <v>307</v>
      </c>
      <c r="G60" s="11" t="s">
        <v>142</v>
      </c>
      <c r="I60" s="140"/>
      <c r="J60" s="140"/>
      <c r="K60" s="146">
        <f>IF(Finance!K15&gt;0,INDEX(Inputs!$K$79:$T$79,1,SUM(Finance!$K$15:K15)),0)</f>
        <v>0</v>
      </c>
      <c r="L60" s="146">
        <f>IF(Finance!L15&gt;0,INDEX(Inputs!$K$79:$T$79,1,SUM(Finance!$K$15:L15)),0)</f>
        <v>0.25</v>
      </c>
      <c r="M60" s="146">
        <f>IF(Finance!M15&gt;0,INDEX(Inputs!$K$79:$T$79,1,SUM(Finance!$K$15:M15)),0)</f>
        <v>0.3</v>
      </c>
      <c r="N60" s="146">
        <f>IF(Finance!N15&gt;0,INDEX(Inputs!$K$79:$T$79,1,SUM(Finance!$K$15:N15)),0)</f>
        <v>0.3</v>
      </c>
      <c r="O60" s="146">
        <f>IF(Finance!O15&gt;0,INDEX(Inputs!$K$79:$T$79,1,SUM(Finance!$K$15:O15)),0)</f>
        <v>0.15</v>
      </c>
      <c r="P60" s="146">
        <f>IF(Finance!P15&gt;0,INDEX(Inputs!$K$79:$T$79,1,SUM(Finance!$K$15:P15)),0)</f>
        <v>0</v>
      </c>
      <c r="Q60" s="146">
        <f>IF(Finance!Q15&gt;0,INDEX(Inputs!$K$79:$T$79,1,SUM(Finance!$K$15:Q15)),0)</f>
        <v>0</v>
      </c>
      <c r="R60" s="146">
        <f>IF(Finance!R15&gt;0,INDEX(Inputs!$K$79:$T$79,1,SUM(Finance!$K$15:R15)),0)</f>
        <v>0</v>
      </c>
      <c r="S60" s="146">
        <f>IF(Finance!S15&gt;0,INDEX(Inputs!$K$79:$T$79,1,SUM(Finance!$K$15:S15)),0)</f>
        <v>0</v>
      </c>
      <c r="T60" s="146">
        <f>IF(Finance!T15&gt;0,INDEX(Inputs!$K$79:$T$79,1,SUM(Finance!$K$15:T15)),0)</f>
        <v>0</v>
      </c>
      <c r="U60" s="146">
        <f>IF(Finance!U15&gt;0,INDEX(Inputs!$K$79:$T$79,1,SUM(Finance!$K$15:U15)),0)</f>
        <v>0</v>
      </c>
      <c r="V60" s="146">
        <f>IF(Finance!V15&gt;0,INDEX(Inputs!$K$79:$T$79,1,SUM(Finance!$K$15:V15)),0)</f>
        <v>0</v>
      </c>
      <c r="W60" s="146">
        <f>IF(Finance!W15&gt;0,INDEX(Inputs!$K$79:$T$79,1,SUM(Finance!$K$15:W15)),0)</f>
        <v>0</v>
      </c>
      <c r="X60" s="146">
        <f>IF(Finance!X15&gt;0,INDEX(Inputs!$K$79:$T$79,1,SUM(Finance!$K$15:X15)),0)</f>
        <v>0</v>
      </c>
      <c r="Y60" s="146">
        <f>IF(Finance!Y15&gt;0,INDEX(Inputs!$K$79:$T$79,1,SUM(Finance!$K$15:Y15)),0)</f>
        <v>0</v>
      </c>
      <c r="Z60" s="146">
        <f>IF(Finance!Z15&gt;0,INDEX(Inputs!$K$79:$T$79,1,SUM(Finance!$K$15:Z15)),0)</f>
        <v>0</v>
      </c>
      <c r="AA60" s="146">
        <f>IF(Finance!AA15&gt;0,INDEX(Inputs!$K$79:$T$79,1,SUM(Finance!$K$15:AA15)),0)</f>
        <v>0</v>
      </c>
      <c r="AB60" s="146">
        <f>IF(Finance!AB15&gt;0,INDEX(Inputs!$K$79:$T$79,1,SUM(Finance!$K$15:AB15)),0)</f>
        <v>0</v>
      </c>
      <c r="AC60" s="146">
        <f>IF(Finance!AC15&gt;0,INDEX(Inputs!$K$79:$T$79,1,SUM(Finance!$K$15:AC15)),0)</f>
        <v>0</v>
      </c>
      <c r="AD60" s="146">
        <f>IF(Finance!AD15&gt;0,INDEX(Inputs!$K$79:$T$79,1,SUM(Finance!$K$15:AD15)),0)</f>
        <v>0</v>
      </c>
      <c r="AE60" s="146">
        <f>IF(Finance!AE15&gt;0,INDEX(Inputs!$K$79:$T$79,1,SUM(Finance!$K$15:AE15)),0)</f>
        <v>0</v>
      </c>
      <c r="AF60" s="146">
        <f>IF(Finance!AF15&gt;0,INDEX(Inputs!$K$79:$T$79,1,SUM(Finance!$K$15:AF15)),0)</f>
        <v>0</v>
      </c>
      <c r="AG60" s="146">
        <f>IF(Finance!AG15&gt;0,INDEX(Inputs!$K$79:$T$79,1,SUM(Finance!$K$15:AG15)),0)</f>
        <v>0</v>
      </c>
      <c r="AH60" s="146">
        <f>IF(Finance!AH15&gt;0,INDEX(Inputs!$K$79:$T$79,1,SUM(Finance!$K$15:AH15)),0)</f>
        <v>0</v>
      </c>
      <c r="AI60" s="146">
        <f>IF(Finance!AI15&gt;0,INDEX(Inputs!$K$79:$T$79,1,SUM(Finance!$K$15:AI15)),0)</f>
        <v>0</v>
      </c>
      <c r="AJ60" s="146">
        <f>IF(Finance!AJ15&gt;0,INDEX(Inputs!$K$79:$T$79,1,SUM(Finance!$K$15:AJ15)),0)</f>
        <v>0</v>
      </c>
      <c r="AK60" s="146">
        <f>IF(Finance!AK15&gt;0,INDEX(Inputs!$K$79:$T$79,1,SUM(Finance!$K$15:AK15)),0)</f>
        <v>0</v>
      </c>
      <c r="AL60" s="146">
        <f>IF(Finance!AL15&gt;0,INDEX(Inputs!$K$79:$T$79,1,SUM(Finance!$K$15:AL15)),0)</f>
        <v>0</v>
      </c>
      <c r="AM60" s="146">
        <f>IF(Finance!AM15&gt;0,INDEX(Inputs!$K$79:$T$79,1,SUM(Finance!$K$15:AM15)),0)</f>
        <v>0</v>
      </c>
      <c r="AN60" s="146">
        <f>IF(Finance!AN15&gt;0,INDEX(Inputs!$K$79:$T$79,1,SUM(Finance!$K$15:AN15)),0)</f>
        <v>0</v>
      </c>
      <c r="AO60" s="146">
        <f>IF(Finance!AO15&gt;0,INDEX(Inputs!$K$79:$T$79,1,SUM(Finance!$K$15:AO15)),0)</f>
        <v>0</v>
      </c>
      <c r="AP60" s="146">
        <f>IF(Finance!AP15&gt;0,INDEX(Inputs!$K$79:$T$79,1,SUM(Finance!$K$15:AP15)),0)</f>
        <v>0</v>
      </c>
      <c r="AQ60" s="146">
        <f>IF(Finance!AQ15&gt;0,INDEX(Inputs!$K$79:$T$79,1,SUM(Finance!$K$15:AQ15)),0)</f>
        <v>0</v>
      </c>
      <c r="AR60" s="146">
        <f>IF(Finance!AR15&gt;0,INDEX(Inputs!$K$79:$T$79,1,SUM(Finance!$K$15:AR15)),0)</f>
        <v>0</v>
      </c>
      <c r="AS60" s="146">
        <f>IF(Finance!AS15&gt;0,INDEX(Inputs!$K$79:$T$79,1,SUM(Finance!$K$15:AS15)),0)</f>
        <v>0</v>
      </c>
      <c r="AT60" s="146">
        <f>IF(Finance!AT15&gt;0,INDEX(Inputs!$K$79:$T$79,1,SUM(Finance!$K$15:AT15)),0)</f>
        <v>0</v>
      </c>
      <c r="AU60" s="146">
        <f>IF(Finance!AU15&gt;0,INDEX(Inputs!$K$79:$T$79,1,SUM(Finance!$K$15:AU15)),0)</f>
        <v>0</v>
      </c>
      <c r="AV60" s="146">
        <f>IF(Finance!AV15&gt;0,INDEX(Inputs!$K$79:$T$79,1,SUM(Finance!$K$15:AV15)),0)</f>
        <v>0</v>
      </c>
      <c r="AW60" s="146">
        <f>IF(Finance!AW15&gt;0,INDEX(Inputs!$K$79:$T$79,1,SUM(Finance!$K$15:AW15)),0)</f>
        <v>0</v>
      </c>
      <c r="AX60" s="146">
        <f>IF(Finance!AX15&gt;0,INDEX(Inputs!$K$79:$T$79,1,SUM(Finance!$K$15:AX15)),0)</f>
        <v>0</v>
      </c>
    </row>
    <row r="61" spans="1:50" ht="15" customHeight="1">
      <c r="A61" s="145"/>
      <c r="B61" s="93"/>
      <c r="C61" s="93"/>
      <c r="D61" s="90"/>
      <c r="E61" s="11" t="s">
        <v>308</v>
      </c>
      <c r="G61" s="11" t="s">
        <v>142</v>
      </c>
      <c r="I61" s="140"/>
      <c r="J61" s="140"/>
      <c r="K61" s="215">
        <f>SUMIF(Inputs!114:114,Finance!K16,Inputs!115:115)*(K16&lt;&gt;0)</f>
        <v>0</v>
      </c>
      <c r="L61" s="215">
        <f>SUMIF(Inputs!114:114,Finance!L16,Inputs!115:115)*(L16&lt;&gt;0)</f>
        <v>0</v>
      </c>
      <c r="M61" s="215">
        <f>SUMIF(Inputs!114:114,Finance!M16,Inputs!115:115)*(M16&lt;&gt;0)</f>
        <v>0</v>
      </c>
      <c r="N61" s="215">
        <f>SUMIF(Inputs!114:114,Finance!N16,Inputs!115:115)*(N16&lt;&gt;0)</f>
        <v>0</v>
      </c>
      <c r="O61" s="215">
        <f>SUMIF(Inputs!114:114,Finance!O16,Inputs!115:115)*(O16&lt;&gt;0)</f>
        <v>0</v>
      </c>
      <c r="P61" s="215">
        <f>SUMIF(Inputs!114:114,Finance!P16,Inputs!115:115)*(P16&lt;&gt;0)</f>
        <v>0</v>
      </c>
      <c r="Q61" s="215">
        <f>SUMIF(Inputs!114:114,Finance!Q16,Inputs!115:115)*(Q16&lt;&gt;0)</f>
        <v>0.04</v>
      </c>
      <c r="R61" s="215">
        <f>SUMIF(Inputs!114:114,Finance!R16,Inputs!115:115)*(R16&lt;&gt;0)</f>
        <v>0.04</v>
      </c>
      <c r="S61" s="215">
        <f>SUMIF(Inputs!114:114,Finance!S16,Inputs!115:115)*(S16&lt;&gt;0)</f>
        <v>0.04</v>
      </c>
      <c r="T61" s="215">
        <f>SUMIF(Inputs!114:114,Finance!T16,Inputs!115:115)*(T16&lt;&gt;0)</f>
        <v>0.04</v>
      </c>
      <c r="U61" s="215">
        <f>SUMIF(Inputs!114:114,Finance!U16,Inputs!115:115)*(U16&lt;&gt;0)</f>
        <v>0.04</v>
      </c>
      <c r="V61" s="215">
        <f>SUMIF(Inputs!114:114,Finance!V16,Inputs!115:115)*(V16&lt;&gt;0)</f>
        <v>0.04</v>
      </c>
      <c r="W61" s="215">
        <f>SUMIF(Inputs!114:114,Finance!W16,Inputs!115:115)*(W16&lt;&gt;0)</f>
        <v>0.04</v>
      </c>
      <c r="X61" s="215">
        <f>SUMIF(Inputs!114:114,Finance!X16,Inputs!115:115)*(X16&lt;&gt;0)</f>
        <v>0.04</v>
      </c>
      <c r="Y61" s="215">
        <f>SUMIF(Inputs!114:114,Finance!Y16,Inputs!115:115)*(Y16&lt;&gt;0)</f>
        <v>0.04</v>
      </c>
      <c r="Z61" s="215">
        <f>SUMIF(Inputs!114:114,Finance!Z16,Inputs!115:115)*(Z16&lt;&gt;0)</f>
        <v>0.04</v>
      </c>
      <c r="AA61" s="215">
        <f>SUMIF(Inputs!114:114,Finance!AA16,Inputs!115:115)*(AA16&lt;&gt;0)</f>
        <v>0.04</v>
      </c>
      <c r="AB61" s="215">
        <f>SUMIF(Inputs!114:114,Finance!AB16,Inputs!115:115)*(AB16&lt;&gt;0)</f>
        <v>0.04</v>
      </c>
      <c r="AC61" s="215">
        <f>SUMIF(Inputs!114:114,Finance!AC16,Inputs!115:115)*(AC16&lt;&gt;0)</f>
        <v>0.04</v>
      </c>
      <c r="AD61" s="215">
        <f>SUMIF(Inputs!114:114,Finance!AD16,Inputs!115:115)*(AD16&lt;&gt;0)</f>
        <v>0.04</v>
      </c>
      <c r="AE61" s="215">
        <f>SUMIF(Inputs!114:114,Finance!AE16,Inputs!115:115)*(AE16&lt;&gt;0)</f>
        <v>0.04</v>
      </c>
      <c r="AF61" s="215">
        <f>SUMIF(Inputs!114:114,Finance!AF16,Inputs!115:115)*(AF16&lt;&gt;0)</f>
        <v>0.04</v>
      </c>
      <c r="AG61" s="215">
        <f>SUMIF(Inputs!114:114,Finance!AG16,Inputs!115:115)*(AG16&lt;&gt;0)</f>
        <v>0.04</v>
      </c>
      <c r="AH61" s="215">
        <f>SUMIF(Inputs!114:114,Finance!AH16,Inputs!115:115)*(AH16&lt;&gt;0)</f>
        <v>0.04</v>
      </c>
      <c r="AI61" s="215">
        <f>SUMIF(Inputs!114:114,Finance!AI16,Inputs!115:115)*(AI16&lt;&gt;0)</f>
        <v>0.04</v>
      </c>
      <c r="AJ61" s="215">
        <f>SUMIF(Inputs!114:114,Finance!AJ16,Inputs!115:115)*(AJ16&lt;&gt;0)</f>
        <v>0.04</v>
      </c>
      <c r="AK61" s="215">
        <f>SUMIF(Inputs!114:114,Finance!AK16,Inputs!115:115)*(AK16&lt;&gt;0)</f>
        <v>0.04</v>
      </c>
      <c r="AL61" s="215">
        <f>SUMIF(Inputs!114:114,Finance!AL16,Inputs!115:115)*(AL16&lt;&gt;0)</f>
        <v>0.04</v>
      </c>
      <c r="AM61" s="215">
        <f>SUMIF(Inputs!114:114,Finance!AM16,Inputs!115:115)*(AM16&lt;&gt;0)</f>
        <v>0.04</v>
      </c>
      <c r="AN61" s="215">
        <f>SUMIF(Inputs!114:114,Finance!AN16,Inputs!115:115)*(AN16&lt;&gt;0)</f>
        <v>0.04</v>
      </c>
      <c r="AO61" s="215">
        <f>SUMIF(Inputs!114:114,Finance!AO16,Inputs!115:115)*(AO16&lt;&gt;0)</f>
        <v>0</v>
      </c>
      <c r="AP61" s="215">
        <f>SUMIF(Inputs!114:114,Finance!AP16,Inputs!115:115)*(AP16&lt;&gt;0)</f>
        <v>0</v>
      </c>
      <c r="AQ61" s="215">
        <f>SUMIF(Inputs!114:114,Finance!AQ16,Inputs!115:115)*(AQ16&lt;&gt;0)</f>
        <v>0</v>
      </c>
      <c r="AR61" s="215">
        <f>SUMIF(Inputs!114:114,Finance!AR16,Inputs!115:115)*(AR16&lt;&gt;0)</f>
        <v>0</v>
      </c>
      <c r="AS61" s="215">
        <f>SUMIF(Inputs!114:114,Finance!AS16,Inputs!115:115)*(AS16&lt;&gt;0)</f>
        <v>0</v>
      </c>
      <c r="AT61" s="215">
        <f>SUMIF(Inputs!114:114,Finance!AT16,Inputs!115:115)*(AT16&lt;&gt;0)</f>
        <v>0</v>
      </c>
      <c r="AU61" s="215">
        <f>SUMIF(Inputs!114:114,Finance!AU16,Inputs!115:115)*(AU16&lt;&gt;0)</f>
        <v>0</v>
      </c>
      <c r="AV61" s="215">
        <f>SUMIF(Inputs!114:114,Finance!AV16,Inputs!115:115)*(AV16&lt;&gt;0)</f>
        <v>0</v>
      </c>
      <c r="AW61" s="215">
        <f>SUMIF(Inputs!114:114,Finance!AW16,Inputs!115:115)*(AW16&lt;&gt;0)</f>
        <v>0</v>
      </c>
      <c r="AX61" s="215">
        <f>SUMIF(Inputs!114:114,Finance!AX16,Inputs!115:115)*(AX16&lt;&gt;0)</f>
        <v>0</v>
      </c>
    </row>
    <row r="62" spans="1:50" ht="15" customHeight="1">
      <c r="A62" s="145"/>
      <c r="B62" s="93"/>
      <c r="C62" s="93"/>
      <c r="D62" s="9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W62" s="140"/>
      <c r="X62" s="140"/>
      <c r="Y62" s="140"/>
      <c r="Z62" s="140"/>
      <c r="AA62" s="140"/>
      <c r="AB62" s="140"/>
      <c r="AC62" s="140"/>
      <c r="AD62" s="140"/>
      <c r="AE62" s="140"/>
      <c r="AF62" s="140"/>
      <c r="AG62" s="140"/>
      <c r="AH62" s="140"/>
      <c r="AI62" s="140"/>
      <c r="AJ62" s="140"/>
      <c r="AK62" s="140"/>
      <c r="AL62" s="140"/>
      <c r="AM62" s="140"/>
      <c r="AN62" s="140"/>
      <c r="AO62" s="140"/>
      <c r="AP62" s="140"/>
      <c r="AQ62" s="140"/>
      <c r="AR62" s="140"/>
      <c r="AS62" s="140"/>
      <c r="AT62" s="140"/>
      <c r="AU62" s="140"/>
      <c r="AV62" s="140"/>
      <c r="AW62" s="140"/>
      <c r="AX62" s="140"/>
    </row>
    <row r="63" spans="1:50" ht="15" customHeight="1">
      <c r="A63" s="145"/>
      <c r="B63" s="1"/>
      <c r="C63" s="1"/>
      <c r="D63" s="1"/>
      <c r="E63" s="1" t="s">
        <v>309</v>
      </c>
      <c r="F63" s="1"/>
      <c r="G63" s="11" t="s">
        <v>77</v>
      </c>
      <c r="H63" s="1"/>
      <c r="I63" s="55"/>
      <c r="J63" s="80"/>
      <c r="K63" s="134"/>
      <c r="L63" s="138">
        <f t="shared" ref="L63:AX63" si="8">K66</f>
        <v>0</v>
      </c>
      <c r="M63" s="138">
        <f t="shared" si="8"/>
        <v>125</v>
      </c>
      <c r="N63" s="138">
        <f t="shared" si="8"/>
        <v>275</v>
      </c>
      <c r="O63" s="138">
        <f t="shared" si="8"/>
        <v>425</v>
      </c>
      <c r="P63" s="138">
        <f t="shared" si="8"/>
        <v>500</v>
      </c>
      <c r="Q63" s="138">
        <f t="shared" si="8"/>
        <v>500</v>
      </c>
      <c r="R63" s="138">
        <f t="shared" si="8"/>
        <v>480</v>
      </c>
      <c r="S63" s="138">
        <f t="shared" si="8"/>
        <v>460</v>
      </c>
      <c r="T63" s="138">
        <f t="shared" si="8"/>
        <v>440</v>
      </c>
      <c r="U63" s="138">
        <f t="shared" si="8"/>
        <v>420</v>
      </c>
      <c r="V63" s="138">
        <f t="shared" si="8"/>
        <v>400</v>
      </c>
      <c r="W63" s="138">
        <f t="shared" si="8"/>
        <v>380</v>
      </c>
      <c r="X63" s="138">
        <f t="shared" si="8"/>
        <v>360</v>
      </c>
      <c r="Y63" s="138">
        <f t="shared" si="8"/>
        <v>340</v>
      </c>
      <c r="Z63" s="138">
        <f t="shared" si="8"/>
        <v>320</v>
      </c>
      <c r="AA63" s="138">
        <f t="shared" si="8"/>
        <v>300</v>
      </c>
      <c r="AB63" s="138">
        <f t="shared" si="8"/>
        <v>280</v>
      </c>
      <c r="AC63" s="138">
        <f t="shared" si="8"/>
        <v>260</v>
      </c>
      <c r="AD63" s="138">
        <f t="shared" si="8"/>
        <v>240</v>
      </c>
      <c r="AE63" s="138">
        <f t="shared" si="8"/>
        <v>220</v>
      </c>
      <c r="AF63" s="138">
        <f t="shared" si="8"/>
        <v>200</v>
      </c>
      <c r="AG63" s="138">
        <f t="shared" si="8"/>
        <v>180</v>
      </c>
      <c r="AH63" s="138">
        <f t="shared" si="8"/>
        <v>160</v>
      </c>
      <c r="AI63" s="138">
        <f t="shared" si="8"/>
        <v>140</v>
      </c>
      <c r="AJ63" s="138">
        <f t="shared" si="8"/>
        <v>120</v>
      </c>
      <c r="AK63" s="138">
        <f t="shared" si="8"/>
        <v>100</v>
      </c>
      <c r="AL63" s="138">
        <f t="shared" si="8"/>
        <v>80</v>
      </c>
      <c r="AM63" s="138">
        <f t="shared" si="8"/>
        <v>60</v>
      </c>
      <c r="AN63" s="138">
        <f t="shared" si="8"/>
        <v>40</v>
      </c>
      <c r="AO63" s="138">
        <f t="shared" si="8"/>
        <v>20</v>
      </c>
      <c r="AP63" s="138">
        <f t="shared" si="8"/>
        <v>20</v>
      </c>
      <c r="AQ63" s="138">
        <f t="shared" si="8"/>
        <v>20</v>
      </c>
      <c r="AR63" s="138">
        <f t="shared" si="8"/>
        <v>20</v>
      </c>
      <c r="AS63" s="138">
        <f t="shared" si="8"/>
        <v>20</v>
      </c>
      <c r="AT63" s="138">
        <f t="shared" si="8"/>
        <v>20</v>
      </c>
      <c r="AU63" s="138">
        <f t="shared" si="8"/>
        <v>20</v>
      </c>
      <c r="AV63" s="138">
        <f t="shared" si="8"/>
        <v>20</v>
      </c>
      <c r="AW63" s="138">
        <f t="shared" si="8"/>
        <v>20</v>
      </c>
      <c r="AX63" s="138">
        <f t="shared" si="8"/>
        <v>20</v>
      </c>
    </row>
    <row r="64" spans="1:50" ht="15" customHeight="1">
      <c r="A64" s="92"/>
      <c r="B64" s="93"/>
      <c r="C64" s="93"/>
      <c r="D64" s="90"/>
      <c r="E64" s="1" t="s">
        <v>310</v>
      </c>
      <c r="G64" s="11" t="s">
        <v>77</v>
      </c>
      <c r="I64" s="140"/>
      <c r="J64" s="140"/>
      <c r="K64" s="1">
        <f t="shared" ref="K64:AX64" si="9">K60*$I$58</f>
        <v>0</v>
      </c>
      <c r="L64" s="1">
        <f>L60*$I$58</f>
        <v>125</v>
      </c>
      <c r="M64" s="1">
        <f t="shared" si="9"/>
        <v>150</v>
      </c>
      <c r="N64" s="1">
        <f t="shared" si="9"/>
        <v>150</v>
      </c>
      <c r="O64" s="1">
        <f t="shared" si="9"/>
        <v>75</v>
      </c>
      <c r="P64" s="1">
        <f t="shared" si="9"/>
        <v>0</v>
      </c>
      <c r="Q64" s="1">
        <f t="shared" si="9"/>
        <v>0</v>
      </c>
      <c r="R64" s="1">
        <f t="shared" si="9"/>
        <v>0</v>
      </c>
      <c r="S64" s="1">
        <f t="shared" si="9"/>
        <v>0</v>
      </c>
      <c r="T64" s="1">
        <f t="shared" si="9"/>
        <v>0</v>
      </c>
      <c r="U64" s="1">
        <f t="shared" si="9"/>
        <v>0</v>
      </c>
      <c r="V64" s="1">
        <f t="shared" si="9"/>
        <v>0</v>
      </c>
      <c r="W64" s="1">
        <f t="shared" si="9"/>
        <v>0</v>
      </c>
      <c r="X64" s="1">
        <f t="shared" si="9"/>
        <v>0</v>
      </c>
      <c r="Y64" s="1">
        <f t="shared" si="9"/>
        <v>0</v>
      </c>
      <c r="Z64" s="1">
        <f t="shared" si="9"/>
        <v>0</v>
      </c>
      <c r="AA64" s="1">
        <f t="shared" si="9"/>
        <v>0</v>
      </c>
      <c r="AB64" s="1">
        <f t="shared" si="9"/>
        <v>0</v>
      </c>
      <c r="AC64" s="1">
        <f t="shared" si="9"/>
        <v>0</v>
      </c>
      <c r="AD64" s="1">
        <f t="shared" si="9"/>
        <v>0</v>
      </c>
      <c r="AE64" s="1">
        <f t="shared" si="9"/>
        <v>0</v>
      </c>
      <c r="AF64" s="1">
        <f t="shared" si="9"/>
        <v>0</v>
      </c>
      <c r="AG64" s="1">
        <f t="shared" si="9"/>
        <v>0</v>
      </c>
      <c r="AH64" s="1">
        <f t="shared" si="9"/>
        <v>0</v>
      </c>
      <c r="AI64" s="1">
        <f t="shared" si="9"/>
        <v>0</v>
      </c>
      <c r="AJ64" s="1">
        <f t="shared" si="9"/>
        <v>0</v>
      </c>
      <c r="AK64" s="1">
        <f t="shared" si="9"/>
        <v>0</v>
      </c>
      <c r="AL64" s="1">
        <f t="shared" si="9"/>
        <v>0</v>
      </c>
      <c r="AM64" s="1">
        <f t="shared" si="9"/>
        <v>0</v>
      </c>
      <c r="AN64" s="1">
        <f t="shared" si="9"/>
        <v>0</v>
      </c>
      <c r="AO64" s="1">
        <f t="shared" si="9"/>
        <v>0</v>
      </c>
      <c r="AP64" s="1">
        <f t="shared" si="9"/>
        <v>0</v>
      </c>
      <c r="AQ64" s="1">
        <f t="shared" si="9"/>
        <v>0</v>
      </c>
      <c r="AR64" s="1">
        <f t="shared" si="9"/>
        <v>0</v>
      </c>
      <c r="AS64" s="1">
        <f t="shared" si="9"/>
        <v>0</v>
      </c>
      <c r="AT64" s="1">
        <f t="shared" si="9"/>
        <v>0</v>
      </c>
      <c r="AU64" s="1">
        <f t="shared" si="9"/>
        <v>0</v>
      </c>
      <c r="AV64" s="1">
        <f t="shared" si="9"/>
        <v>0</v>
      </c>
      <c r="AW64" s="1">
        <f t="shared" si="9"/>
        <v>0</v>
      </c>
      <c r="AX64" s="1">
        <f t="shared" si="9"/>
        <v>0</v>
      </c>
    </row>
    <row r="65" spans="1:50" ht="15" customHeight="1">
      <c r="A65" s="92"/>
      <c r="B65" s="93"/>
      <c r="C65" s="93"/>
      <c r="D65" s="90"/>
      <c r="E65" s="1" t="s">
        <v>311</v>
      </c>
      <c r="G65" s="11" t="s">
        <v>77</v>
      </c>
      <c r="I65" s="140"/>
      <c r="J65" s="140"/>
      <c r="K65" s="1">
        <f>-$I$58*K61*SUM($K$60:$AX$60)</f>
        <v>0</v>
      </c>
      <c r="L65" s="1">
        <f t="shared" ref="L65:AX65" si="10">-$I$58*L61*SUM($K$60:$AX$60)</f>
        <v>0</v>
      </c>
      <c r="M65" s="1">
        <f t="shared" si="10"/>
        <v>0</v>
      </c>
      <c r="N65" s="1">
        <f t="shared" si="10"/>
        <v>0</v>
      </c>
      <c r="O65" s="1">
        <f t="shared" si="10"/>
        <v>0</v>
      </c>
      <c r="P65" s="1">
        <f t="shared" si="10"/>
        <v>0</v>
      </c>
      <c r="Q65" s="1">
        <f t="shared" si="10"/>
        <v>-20</v>
      </c>
      <c r="R65" s="1">
        <f t="shared" si="10"/>
        <v>-20</v>
      </c>
      <c r="S65" s="1">
        <f t="shared" si="10"/>
        <v>-20</v>
      </c>
      <c r="T65" s="1">
        <f t="shared" si="10"/>
        <v>-20</v>
      </c>
      <c r="U65" s="1">
        <f t="shared" si="10"/>
        <v>-20</v>
      </c>
      <c r="V65" s="1">
        <f t="shared" si="10"/>
        <v>-20</v>
      </c>
      <c r="W65" s="1">
        <f t="shared" si="10"/>
        <v>-20</v>
      </c>
      <c r="X65" s="1">
        <f t="shared" si="10"/>
        <v>-20</v>
      </c>
      <c r="Y65" s="1">
        <f t="shared" si="10"/>
        <v>-20</v>
      </c>
      <c r="Z65" s="1">
        <f t="shared" si="10"/>
        <v>-20</v>
      </c>
      <c r="AA65" s="1">
        <f t="shared" si="10"/>
        <v>-20</v>
      </c>
      <c r="AB65" s="1">
        <f t="shared" si="10"/>
        <v>-20</v>
      </c>
      <c r="AC65" s="1">
        <f t="shared" si="10"/>
        <v>-20</v>
      </c>
      <c r="AD65" s="1">
        <f t="shared" si="10"/>
        <v>-20</v>
      </c>
      <c r="AE65" s="1">
        <f t="shared" si="10"/>
        <v>-20</v>
      </c>
      <c r="AF65" s="1">
        <f t="shared" si="10"/>
        <v>-20</v>
      </c>
      <c r="AG65" s="1">
        <f t="shared" si="10"/>
        <v>-20</v>
      </c>
      <c r="AH65" s="1">
        <f t="shared" si="10"/>
        <v>-20</v>
      </c>
      <c r="AI65" s="1">
        <f t="shared" si="10"/>
        <v>-20</v>
      </c>
      <c r="AJ65" s="1">
        <f t="shared" si="10"/>
        <v>-20</v>
      </c>
      <c r="AK65" s="1">
        <f t="shared" si="10"/>
        <v>-20</v>
      </c>
      <c r="AL65" s="1">
        <f t="shared" si="10"/>
        <v>-20</v>
      </c>
      <c r="AM65" s="1">
        <f t="shared" si="10"/>
        <v>-20</v>
      </c>
      <c r="AN65" s="1">
        <f t="shared" si="10"/>
        <v>-20</v>
      </c>
      <c r="AO65" s="1">
        <f t="shared" si="10"/>
        <v>0</v>
      </c>
      <c r="AP65" s="1">
        <f t="shared" si="10"/>
        <v>0</v>
      </c>
      <c r="AQ65" s="1">
        <f t="shared" si="10"/>
        <v>0</v>
      </c>
      <c r="AR65" s="1">
        <f t="shared" si="10"/>
        <v>0</v>
      </c>
      <c r="AS65" s="1">
        <f t="shared" si="10"/>
        <v>0</v>
      </c>
      <c r="AT65" s="1">
        <f t="shared" si="10"/>
        <v>0</v>
      </c>
      <c r="AU65" s="1">
        <f t="shared" si="10"/>
        <v>0</v>
      </c>
      <c r="AV65" s="1">
        <f t="shared" si="10"/>
        <v>0</v>
      </c>
      <c r="AW65" s="1">
        <f t="shared" si="10"/>
        <v>0</v>
      </c>
      <c r="AX65" s="1">
        <f t="shared" si="10"/>
        <v>0</v>
      </c>
    </row>
    <row r="66" spans="1:50" ht="15" customHeight="1">
      <c r="A66" s="92"/>
      <c r="B66" s="1"/>
      <c r="C66" s="1"/>
      <c r="D66" s="1"/>
      <c r="E66" s="77" t="s">
        <v>312</v>
      </c>
      <c r="F66" s="1"/>
      <c r="G66" s="11" t="s">
        <v>77</v>
      </c>
      <c r="H66" s="1"/>
      <c r="I66" s="80"/>
      <c r="J66" s="80"/>
      <c r="K66" s="136">
        <f t="shared" ref="K66:AX66" si="11">SUM(K63:K65)</f>
        <v>0</v>
      </c>
      <c r="L66" s="136">
        <f t="shared" si="11"/>
        <v>125</v>
      </c>
      <c r="M66" s="136">
        <f t="shared" si="11"/>
        <v>275</v>
      </c>
      <c r="N66" s="136">
        <f t="shared" si="11"/>
        <v>425</v>
      </c>
      <c r="O66" s="136">
        <f t="shared" si="11"/>
        <v>500</v>
      </c>
      <c r="P66" s="136">
        <f t="shared" si="11"/>
        <v>500</v>
      </c>
      <c r="Q66" s="136">
        <f t="shared" si="11"/>
        <v>480</v>
      </c>
      <c r="R66" s="136">
        <f t="shared" si="11"/>
        <v>460</v>
      </c>
      <c r="S66" s="136">
        <f t="shared" si="11"/>
        <v>440</v>
      </c>
      <c r="T66" s="136">
        <f t="shared" si="11"/>
        <v>420</v>
      </c>
      <c r="U66" s="136">
        <f t="shared" si="11"/>
        <v>400</v>
      </c>
      <c r="V66" s="136">
        <f t="shared" si="11"/>
        <v>380</v>
      </c>
      <c r="W66" s="136">
        <f t="shared" si="11"/>
        <v>360</v>
      </c>
      <c r="X66" s="136">
        <f t="shared" si="11"/>
        <v>340</v>
      </c>
      <c r="Y66" s="136">
        <f t="shared" si="11"/>
        <v>320</v>
      </c>
      <c r="Z66" s="136">
        <f t="shared" si="11"/>
        <v>300</v>
      </c>
      <c r="AA66" s="136">
        <f t="shared" si="11"/>
        <v>280</v>
      </c>
      <c r="AB66" s="136">
        <f t="shared" si="11"/>
        <v>260</v>
      </c>
      <c r="AC66" s="136">
        <f t="shared" si="11"/>
        <v>240</v>
      </c>
      <c r="AD66" s="136">
        <f t="shared" si="11"/>
        <v>220</v>
      </c>
      <c r="AE66" s="136">
        <f t="shared" si="11"/>
        <v>200</v>
      </c>
      <c r="AF66" s="136">
        <f t="shared" si="11"/>
        <v>180</v>
      </c>
      <c r="AG66" s="136">
        <f t="shared" si="11"/>
        <v>160</v>
      </c>
      <c r="AH66" s="136">
        <f t="shared" si="11"/>
        <v>140</v>
      </c>
      <c r="AI66" s="136">
        <f t="shared" si="11"/>
        <v>120</v>
      </c>
      <c r="AJ66" s="136">
        <f t="shared" si="11"/>
        <v>100</v>
      </c>
      <c r="AK66" s="136">
        <f t="shared" si="11"/>
        <v>80</v>
      </c>
      <c r="AL66" s="136">
        <f t="shared" si="11"/>
        <v>60</v>
      </c>
      <c r="AM66" s="136">
        <f t="shared" si="11"/>
        <v>40</v>
      </c>
      <c r="AN66" s="136">
        <f t="shared" si="11"/>
        <v>20</v>
      </c>
      <c r="AO66" s="136">
        <f t="shared" si="11"/>
        <v>20</v>
      </c>
      <c r="AP66" s="136">
        <f t="shared" si="11"/>
        <v>20</v>
      </c>
      <c r="AQ66" s="136">
        <f t="shared" si="11"/>
        <v>20</v>
      </c>
      <c r="AR66" s="136">
        <f t="shared" si="11"/>
        <v>20</v>
      </c>
      <c r="AS66" s="136">
        <f t="shared" si="11"/>
        <v>20</v>
      </c>
      <c r="AT66" s="136">
        <f t="shared" si="11"/>
        <v>20</v>
      </c>
      <c r="AU66" s="136">
        <f t="shared" si="11"/>
        <v>20</v>
      </c>
      <c r="AV66" s="136">
        <f t="shared" si="11"/>
        <v>20</v>
      </c>
      <c r="AW66" s="136">
        <f t="shared" si="11"/>
        <v>20</v>
      </c>
      <c r="AX66" s="136">
        <f t="shared" si="11"/>
        <v>20</v>
      </c>
    </row>
    <row r="67" spans="1:50" ht="15" customHeight="1">
      <c r="A67" s="23"/>
      <c r="B67" s="1"/>
      <c r="C67" s="1"/>
      <c r="D67" s="1"/>
      <c r="E67" s="1"/>
      <c r="F67" s="1"/>
      <c r="G67" s="1"/>
      <c r="H67" s="1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1"/>
      <c r="T67" s="1"/>
      <c r="U67" s="1"/>
      <c r="V67" s="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1"/>
      <c r="AV67" s="81"/>
      <c r="AW67" s="81"/>
      <c r="AX67" s="81"/>
    </row>
    <row r="68" spans="1:50" ht="15" customHeight="1">
      <c r="A68" s="145"/>
      <c r="B68" s="93"/>
      <c r="C68" s="93"/>
      <c r="D68" s="90"/>
      <c r="E68" s="1" t="s">
        <v>313</v>
      </c>
      <c r="G68" s="11" t="s">
        <v>77</v>
      </c>
      <c r="I68" s="147">
        <f>Inputs!I81*(Inputs!I108=1)</f>
        <v>50</v>
      </c>
      <c r="J68" s="140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0"/>
      <c r="AA68" s="140"/>
      <c r="AB68" s="140"/>
      <c r="AC68" s="140"/>
      <c r="AD68" s="140"/>
      <c r="AE68" s="140"/>
      <c r="AF68" s="140"/>
      <c r="AG68" s="140"/>
      <c r="AH68" s="140"/>
      <c r="AI68" s="140"/>
      <c r="AJ68" s="140"/>
      <c r="AK68" s="140"/>
      <c r="AL68" s="140"/>
      <c r="AM68" s="140"/>
      <c r="AN68" s="140"/>
      <c r="AO68" s="140"/>
      <c r="AP68" s="140"/>
      <c r="AQ68" s="140"/>
      <c r="AR68" s="140"/>
      <c r="AS68" s="140"/>
      <c r="AT68" s="140"/>
      <c r="AU68" s="140"/>
      <c r="AV68" s="140"/>
      <c r="AW68" s="140"/>
      <c r="AX68" s="140"/>
    </row>
    <row r="69" spans="1:50" ht="15" customHeight="1">
      <c r="A69" s="145"/>
      <c r="B69" s="93"/>
      <c r="C69" s="93"/>
      <c r="D69" s="90"/>
      <c r="E69" s="11" t="s">
        <v>174</v>
      </c>
      <c r="G69" s="11" t="s">
        <v>77</v>
      </c>
      <c r="I69" s="147">
        <f>Inputs!I86</f>
        <v>30</v>
      </c>
      <c r="J69" s="140"/>
      <c r="K69" s="140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0"/>
      <c r="AA69" s="140"/>
      <c r="AB69" s="140"/>
      <c r="AC69" s="140"/>
      <c r="AD69" s="140"/>
      <c r="AE69" s="140"/>
      <c r="AF69" s="140"/>
      <c r="AG69" s="140"/>
      <c r="AH69" s="140"/>
      <c r="AI69" s="140"/>
      <c r="AJ69" s="140"/>
      <c r="AK69" s="140"/>
      <c r="AL69" s="140"/>
      <c r="AM69" s="140"/>
      <c r="AN69" s="140"/>
      <c r="AO69" s="140"/>
      <c r="AP69" s="140"/>
      <c r="AQ69" s="140"/>
      <c r="AR69" s="140"/>
      <c r="AS69" s="140"/>
      <c r="AT69" s="140"/>
      <c r="AU69" s="140"/>
      <c r="AV69" s="140"/>
      <c r="AW69" s="140"/>
      <c r="AX69" s="140"/>
    </row>
    <row r="70" spans="1:50" ht="15" customHeight="1">
      <c r="A70" s="145"/>
      <c r="B70" s="93"/>
      <c r="C70" s="93"/>
      <c r="D70" s="90"/>
      <c r="E70" s="11" t="s">
        <v>175</v>
      </c>
      <c r="G70" s="11" t="s">
        <v>77</v>
      </c>
      <c r="I70" s="147">
        <f>Inputs!I87</f>
        <v>5</v>
      </c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0"/>
      <c r="AA70" s="140"/>
      <c r="AB70" s="140"/>
      <c r="AC70" s="140"/>
      <c r="AD70" s="140"/>
      <c r="AE70" s="140"/>
      <c r="AF70" s="140"/>
      <c r="AG70" s="140"/>
      <c r="AH70" s="140"/>
      <c r="AI70" s="140"/>
      <c r="AJ70" s="140"/>
      <c r="AK70" s="140"/>
      <c r="AL70" s="140"/>
      <c r="AM70" s="140"/>
      <c r="AN70" s="140"/>
      <c r="AO70" s="140"/>
      <c r="AP70" s="140"/>
      <c r="AQ70" s="140"/>
      <c r="AR70" s="140"/>
      <c r="AS70" s="140"/>
      <c r="AT70" s="140"/>
      <c r="AU70" s="140"/>
      <c r="AV70" s="140"/>
      <c r="AW70" s="140"/>
      <c r="AX70" s="140"/>
    </row>
    <row r="71" spans="1:50" ht="15" customHeight="1">
      <c r="A71" s="145"/>
      <c r="B71" s="93"/>
      <c r="C71" s="93"/>
      <c r="D71" s="90"/>
      <c r="E71" s="11" t="s">
        <v>179</v>
      </c>
      <c r="G71" s="11" t="s">
        <v>77</v>
      </c>
      <c r="I71" s="147">
        <f>Inputs!I92</f>
        <v>40</v>
      </c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  <c r="AA71" s="140"/>
      <c r="AB71" s="140"/>
      <c r="AC71" s="140"/>
      <c r="AD71" s="140"/>
      <c r="AE71" s="140"/>
      <c r="AF71" s="140"/>
      <c r="AG71" s="140"/>
      <c r="AH71" s="140"/>
      <c r="AI71" s="140"/>
      <c r="AJ71" s="140"/>
      <c r="AK71" s="140"/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  <c r="AX71" s="140"/>
    </row>
    <row r="72" spans="1:50" ht="15" customHeight="1">
      <c r="A72" s="145"/>
      <c r="B72" s="93"/>
      <c r="C72" s="93"/>
      <c r="D72" s="90"/>
      <c r="E72" s="11" t="s">
        <v>183</v>
      </c>
      <c r="G72" s="11" t="s">
        <v>77</v>
      </c>
      <c r="I72" s="147">
        <f>Inputs!I97</f>
        <v>10</v>
      </c>
      <c r="J72" s="140"/>
      <c r="K72" s="140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0"/>
      <c r="AA72" s="140"/>
      <c r="AB72" s="140"/>
      <c r="AC72" s="140"/>
      <c r="AD72" s="140"/>
      <c r="AE72" s="140"/>
      <c r="AF72" s="140"/>
      <c r="AG72" s="140"/>
      <c r="AH72" s="140"/>
      <c r="AI72" s="140"/>
      <c r="AJ72" s="140"/>
      <c r="AK72" s="140"/>
      <c r="AL72" s="140"/>
      <c r="AM72" s="140"/>
      <c r="AN72" s="140"/>
      <c r="AO72" s="140"/>
      <c r="AP72" s="140"/>
      <c r="AQ72" s="140"/>
      <c r="AR72" s="140"/>
      <c r="AS72" s="140"/>
      <c r="AT72" s="140"/>
      <c r="AU72" s="140"/>
      <c r="AV72" s="140"/>
      <c r="AW72" s="140"/>
      <c r="AX72" s="140"/>
    </row>
    <row r="73" spans="1:50" ht="15" customHeight="1">
      <c r="A73" s="145"/>
      <c r="B73" s="93"/>
      <c r="C73" s="93"/>
      <c r="D73" s="90"/>
      <c r="E73" s="11" t="s">
        <v>184</v>
      </c>
      <c r="G73" s="11" t="s">
        <v>77</v>
      </c>
      <c r="I73" s="147">
        <f>Inputs!I98</f>
        <v>5</v>
      </c>
      <c r="J73" s="140"/>
      <c r="K73" s="140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0"/>
      <c r="AA73" s="140"/>
      <c r="AB73" s="140"/>
      <c r="AC73" s="140"/>
      <c r="AD73" s="140"/>
      <c r="AE73" s="140"/>
      <c r="AF73" s="140"/>
      <c r="AG73" s="140"/>
      <c r="AH73" s="140"/>
      <c r="AI73" s="140"/>
      <c r="AJ73" s="140"/>
      <c r="AK73" s="140"/>
      <c r="AL73" s="140"/>
      <c r="AM73" s="140"/>
      <c r="AN73" s="140"/>
      <c r="AO73" s="140"/>
      <c r="AP73" s="140"/>
      <c r="AQ73" s="140"/>
      <c r="AR73" s="140"/>
      <c r="AS73" s="140"/>
      <c r="AT73" s="140"/>
      <c r="AU73" s="140"/>
      <c r="AV73" s="140"/>
      <c r="AW73" s="140"/>
      <c r="AX73" s="140"/>
    </row>
    <row r="74" spans="1:50" ht="15" customHeight="1">
      <c r="A74" s="145"/>
      <c r="B74" s="93"/>
      <c r="C74" s="93"/>
      <c r="D74" s="90"/>
      <c r="E74" s="11" t="s">
        <v>314</v>
      </c>
      <c r="G74" s="11" t="s">
        <v>77</v>
      </c>
      <c r="I74" s="147">
        <f>Inputs!I103</f>
        <v>0</v>
      </c>
      <c r="J74" s="140"/>
      <c r="K74" s="140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0"/>
      <c r="AA74" s="140"/>
      <c r="AB74" s="140"/>
      <c r="AC74" s="140"/>
      <c r="AD74" s="140"/>
      <c r="AE74" s="140"/>
      <c r="AF74" s="140"/>
      <c r="AG74" s="140"/>
      <c r="AH74" s="140"/>
      <c r="AI74" s="140"/>
      <c r="AJ74" s="140"/>
      <c r="AK74" s="140"/>
      <c r="AL74" s="140"/>
      <c r="AM74" s="140"/>
      <c r="AN74" s="140"/>
      <c r="AO74" s="140"/>
      <c r="AP74" s="140"/>
      <c r="AQ74" s="140"/>
      <c r="AR74" s="140"/>
      <c r="AS74" s="140"/>
      <c r="AT74" s="140"/>
      <c r="AU74" s="140"/>
      <c r="AV74" s="140"/>
      <c r="AW74" s="140"/>
      <c r="AX74" s="140"/>
    </row>
    <row r="75" spans="1:50" ht="15" customHeight="1">
      <c r="A75" s="145"/>
      <c r="B75" s="93"/>
      <c r="C75" s="93"/>
      <c r="D75" s="90"/>
      <c r="I75" s="140"/>
      <c r="J75" s="140"/>
      <c r="K75" s="140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0"/>
      <c r="AA75" s="140"/>
      <c r="AB75" s="140"/>
      <c r="AC75" s="140"/>
      <c r="AD75" s="140"/>
      <c r="AE75" s="140"/>
      <c r="AF75" s="140"/>
      <c r="AG75" s="140"/>
      <c r="AH75" s="140"/>
      <c r="AI75" s="140"/>
      <c r="AJ75" s="140"/>
      <c r="AK75" s="140"/>
      <c r="AL75" s="140"/>
      <c r="AM75" s="140"/>
      <c r="AN75" s="140"/>
      <c r="AO75" s="140"/>
      <c r="AP75" s="140"/>
      <c r="AQ75" s="140"/>
      <c r="AR75" s="140"/>
      <c r="AS75" s="140"/>
      <c r="AT75" s="140"/>
      <c r="AU75" s="140"/>
      <c r="AV75" s="140"/>
      <c r="AW75" s="140"/>
      <c r="AX75" s="140"/>
    </row>
    <row r="76" spans="1:50" ht="15" customHeight="1">
      <c r="A76" s="23"/>
      <c r="B76" s="1"/>
      <c r="C76" s="56" t="s">
        <v>278</v>
      </c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</row>
    <row r="77" spans="1:50" ht="15" customHeight="1">
      <c r="A77" s="145"/>
      <c r="B77" s="93"/>
      <c r="C77" s="93"/>
      <c r="D77" s="90"/>
      <c r="I77" s="140"/>
      <c r="J77" s="140"/>
      <c r="K77" s="140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0"/>
      <c r="AA77" s="140"/>
      <c r="AB77" s="140"/>
      <c r="AC77" s="140"/>
      <c r="AD77" s="140"/>
      <c r="AE77" s="140"/>
      <c r="AF77" s="140"/>
      <c r="AG77" s="140"/>
      <c r="AH77" s="140"/>
      <c r="AI77" s="140"/>
      <c r="AJ77" s="140"/>
      <c r="AK77" s="140"/>
      <c r="AL77" s="140"/>
      <c r="AM77" s="140"/>
      <c r="AN77" s="140"/>
      <c r="AO77" s="140"/>
      <c r="AP77" s="140"/>
      <c r="AQ77" s="140"/>
      <c r="AR77" s="140"/>
      <c r="AS77" s="140"/>
      <c r="AT77" s="140"/>
      <c r="AU77" s="140"/>
      <c r="AV77" s="140"/>
      <c r="AW77" s="140"/>
      <c r="AX77" s="140"/>
    </row>
    <row r="78" spans="1:50" ht="15" customHeight="1">
      <c r="A78" s="145"/>
      <c r="B78" s="93"/>
      <c r="C78" s="93"/>
      <c r="D78" s="90"/>
      <c r="E78" s="11" t="s">
        <v>315</v>
      </c>
      <c r="G78" s="1" t="s">
        <v>160</v>
      </c>
      <c r="I78" s="141">
        <f>Inputs!I75</f>
        <v>1.4999999999999999E-2</v>
      </c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0"/>
      <c r="AA78" s="140"/>
      <c r="AB78" s="140"/>
      <c r="AC78" s="140"/>
      <c r="AD78" s="140"/>
      <c r="AE78" s="140"/>
      <c r="AF78" s="140"/>
      <c r="AG78" s="140"/>
      <c r="AH78" s="140"/>
      <c r="AI78" s="140"/>
      <c r="AJ78" s="140"/>
      <c r="AK78" s="140"/>
      <c r="AL78" s="140"/>
      <c r="AM78" s="140"/>
      <c r="AN78" s="140"/>
      <c r="AO78" s="140"/>
      <c r="AP78" s="140"/>
      <c r="AQ78" s="140"/>
      <c r="AR78" s="140"/>
      <c r="AS78" s="140"/>
      <c r="AT78" s="140"/>
      <c r="AU78" s="140"/>
      <c r="AV78" s="140"/>
      <c r="AW78" s="140"/>
      <c r="AX78" s="140"/>
    </row>
    <row r="79" spans="1:50" ht="15" customHeight="1">
      <c r="A79" s="145"/>
      <c r="B79" s="93"/>
      <c r="C79" s="93"/>
      <c r="D79" s="90"/>
      <c r="E79" s="11" t="s">
        <v>316</v>
      </c>
      <c r="G79" s="1" t="s">
        <v>160</v>
      </c>
      <c r="I79" s="141">
        <f>Inputs!I82</f>
        <v>1.4999999999999999E-2</v>
      </c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  <c r="AA79" s="140"/>
      <c r="AB79" s="140"/>
      <c r="AC79" s="140"/>
      <c r="AD79" s="140"/>
      <c r="AE79" s="140"/>
      <c r="AF79" s="140"/>
      <c r="AG79" s="140"/>
      <c r="AH79" s="140"/>
      <c r="AI79" s="140"/>
      <c r="AJ79" s="140"/>
      <c r="AK79" s="140"/>
      <c r="AL79" s="140"/>
      <c r="AM79" s="140"/>
      <c r="AN79" s="140"/>
      <c r="AO79" s="140"/>
      <c r="AP79" s="140"/>
      <c r="AQ79" s="140"/>
      <c r="AR79" s="140"/>
      <c r="AS79" s="140"/>
      <c r="AT79" s="140"/>
      <c r="AU79" s="140"/>
      <c r="AV79" s="140"/>
      <c r="AW79" s="140"/>
      <c r="AX79" s="140"/>
    </row>
    <row r="80" spans="1:50" ht="15" customHeight="1">
      <c r="A80" s="145"/>
      <c r="B80" s="93"/>
      <c r="C80" s="93"/>
      <c r="D80" s="90"/>
      <c r="E80" s="11" t="s">
        <v>317</v>
      </c>
      <c r="G80" s="1" t="s">
        <v>160</v>
      </c>
      <c r="I80" s="141">
        <f>Inputs!I88</f>
        <v>1.4999999999999999E-2</v>
      </c>
      <c r="J80" s="140"/>
      <c r="K80" s="140"/>
      <c r="L80" s="140"/>
      <c r="M80" s="140"/>
      <c r="N80" s="140"/>
      <c r="O80" s="140"/>
      <c r="P80" s="140"/>
      <c r="Q80" s="140"/>
      <c r="R80" s="140"/>
      <c r="S80" s="140"/>
      <c r="T80" s="140"/>
      <c r="U80" s="140"/>
      <c r="X80" s="140"/>
      <c r="Y80" s="140"/>
      <c r="Z80" s="140"/>
      <c r="AA80" s="140"/>
      <c r="AB80" s="140"/>
      <c r="AC80" s="140"/>
      <c r="AD80" s="140"/>
      <c r="AE80" s="140"/>
      <c r="AF80" s="140"/>
      <c r="AG80" s="140"/>
      <c r="AH80" s="140"/>
      <c r="AI80" s="140"/>
      <c r="AJ80" s="140"/>
      <c r="AK80" s="140"/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  <c r="AX80" s="140"/>
    </row>
    <row r="81" spans="1:50" ht="15" customHeight="1">
      <c r="A81" s="145"/>
      <c r="B81" s="93"/>
      <c r="C81" s="93"/>
      <c r="D81" s="90"/>
      <c r="E81" s="11" t="s">
        <v>318</v>
      </c>
      <c r="G81" s="1" t="s">
        <v>160</v>
      </c>
      <c r="I81" s="141">
        <f>Inputs!I93</f>
        <v>1.4999999999999999E-2</v>
      </c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  <c r="AA81" s="140"/>
      <c r="AB81" s="140"/>
      <c r="AC81" s="140"/>
      <c r="AD81" s="140"/>
      <c r="AE81" s="140"/>
      <c r="AF81" s="140"/>
      <c r="AG81" s="140"/>
      <c r="AH81" s="140"/>
      <c r="AI81" s="140"/>
      <c r="AJ81" s="140"/>
      <c r="AK81" s="140"/>
      <c r="AL81" s="140"/>
      <c r="AM81" s="140"/>
      <c r="AN81" s="140"/>
      <c r="AO81" s="140"/>
      <c r="AP81" s="140"/>
      <c r="AQ81" s="140"/>
      <c r="AR81" s="140"/>
      <c r="AS81" s="140"/>
      <c r="AT81" s="140"/>
      <c r="AU81" s="140"/>
      <c r="AV81" s="140"/>
      <c r="AW81" s="140"/>
      <c r="AX81" s="140"/>
    </row>
    <row r="82" spans="1:50" ht="15" customHeight="1">
      <c r="A82" s="145"/>
      <c r="B82" s="93"/>
      <c r="C82" s="93"/>
      <c r="D82" s="90"/>
      <c r="E82" s="11" t="s">
        <v>319</v>
      </c>
      <c r="G82" s="1" t="s">
        <v>160</v>
      </c>
      <c r="I82" s="141">
        <f>Inputs!I99</f>
        <v>1.0999999999999999E-2</v>
      </c>
      <c r="J82" s="140"/>
      <c r="K82" s="140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0"/>
      <c r="AA82" s="140"/>
      <c r="AB82" s="140"/>
      <c r="AC82" s="140"/>
      <c r="AD82" s="140"/>
      <c r="AE82" s="140"/>
      <c r="AF82" s="140"/>
      <c r="AG82" s="140"/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</row>
    <row r="83" spans="1:50" ht="15" customHeight="1">
      <c r="A83" s="145"/>
      <c r="B83" s="93"/>
      <c r="C83" s="93"/>
      <c r="D83" s="90"/>
      <c r="E83" s="11" t="s">
        <v>320</v>
      </c>
      <c r="G83" s="1" t="s">
        <v>160</v>
      </c>
      <c r="I83" s="141">
        <f>Inputs!I104</f>
        <v>0</v>
      </c>
      <c r="J83" s="140"/>
      <c r="K83" s="14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0"/>
      <c r="AA83" s="140"/>
      <c r="AB83" s="140"/>
      <c r="AC83" s="140"/>
      <c r="AD83" s="140"/>
      <c r="AE83" s="140"/>
      <c r="AF83" s="140"/>
      <c r="AG83" s="140"/>
      <c r="AH83" s="140"/>
      <c r="AI83" s="140"/>
      <c r="AJ83" s="140"/>
      <c r="AK83" s="140"/>
      <c r="AL83" s="140"/>
      <c r="AM83" s="140"/>
      <c r="AN83" s="140"/>
      <c r="AO83" s="140"/>
      <c r="AP83" s="140"/>
      <c r="AQ83" s="140"/>
      <c r="AR83" s="140"/>
      <c r="AS83" s="140"/>
      <c r="AT83" s="140"/>
      <c r="AU83" s="140"/>
      <c r="AV83" s="140"/>
      <c r="AW83" s="140"/>
      <c r="AX83" s="140"/>
    </row>
    <row r="84" spans="1:50" ht="15" customHeight="1">
      <c r="A84" s="145"/>
      <c r="B84" s="93"/>
      <c r="C84" s="93"/>
      <c r="D84" s="9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0"/>
      <c r="AA84" s="140"/>
      <c r="AB84" s="140"/>
      <c r="AC84" s="140"/>
      <c r="AD84" s="140"/>
      <c r="AE84" s="140"/>
      <c r="AF84" s="140"/>
      <c r="AG84" s="140"/>
      <c r="AH84" s="140"/>
      <c r="AI84" s="140"/>
      <c r="AJ84" s="140"/>
      <c r="AK84" s="140"/>
      <c r="AL84" s="140"/>
      <c r="AM84" s="140"/>
      <c r="AN84" s="140"/>
      <c r="AO84" s="140"/>
      <c r="AP84" s="140"/>
      <c r="AQ84" s="140"/>
      <c r="AR84" s="140"/>
      <c r="AS84" s="140"/>
      <c r="AT84" s="140"/>
      <c r="AU84" s="140"/>
      <c r="AV84" s="140"/>
      <c r="AW84" s="140"/>
      <c r="AX84" s="140"/>
    </row>
    <row r="85" spans="1:50" ht="15" customHeight="1">
      <c r="A85" s="145"/>
      <c r="B85" s="93"/>
      <c r="C85" s="93"/>
      <c r="D85" s="90"/>
      <c r="E85" s="11" t="s">
        <v>159</v>
      </c>
      <c r="G85" s="1" t="s">
        <v>160</v>
      </c>
      <c r="I85" s="141">
        <f>Inputs!I70</f>
        <v>0.04</v>
      </c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40"/>
      <c r="Z85" s="140"/>
      <c r="AA85" s="140"/>
      <c r="AB85" s="140"/>
      <c r="AC85" s="140"/>
      <c r="AD85" s="140"/>
      <c r="AE85" s="140"/>
      <c r="AF85" s="140"/>
      <c r="AG85" s="140"/>
      <c r="AH85" s="140"/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</row>
    <row r="86" spans="1:50" ht="15" customHeight="1">
      <c r="A86" s="145"/>
      <c r="B86" s="93"/>
      <c r="C86" s="93"/>
      <c r="D86" s="90"/>
      <c r="E86" s="11" t="s">
        <v>321</v>
      </c>
      <c r="G86" s="1" t="s">
        <v>160</v>
      </c>
      <c r="I86" s="141">
        <f>Inputs!I73</f>
        <v>1.7999999999999999E-2</v>
      </c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40"/>
      <c r="Z86" s="140"/>
      <c r="AA86" s="140"/>
      <c r="AB86" s="140"/>
      <c r="AC86" s="140"/>
      <c r="AD86" s="140"/>
      <c r="AE86" s="140"/>
      <c r="AF86" s="140"/>
      <c r="AG86" s="140"/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</row>
    <row r="87" spans="1:50" ht="15" customHeight="1">
      <c r="A87" s="145"/>
      <c r="B87" s="93"/>
      <c r="C87" s="93"/>
      <c r="D87" s="90"/>
      <c r="E87" s="90" t="s">
        <v>163</v>
      </c>
      <c r="F87" s="90"/>
      <c r="G87" s="91" t="s">
        <v>160</v>
      </c>
      <c r="H87" s="90"/>
      <c r="I87" s="148">
        <f>Inputs!I74</f>
        <v>2E-3</v>
      </c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40"/>
      <c r="Z87" s="140"/>
      <c r="AA87" s="140"/>
      <c r="AB87" s="140"/>
      <c r="AC87" s="140"/>
      <c r="AD87" s="140"/>
      <c r="AE87" s="140"/>
      <c r="AF87" s="140"/>
      <c r="AG87" s="140"/>
      <c r="AH87" s="140"/>
      <c r="AI87" s="140"/>
      <c r="AJ87" s="140"/>
      <c r="AK87" s="140"/>
      <c r="AL87" s="140"/>
      <c r="AM87" s="140"/>
      <c r="AN87" s="140"/>
      <c r="AO87" s="140"/>
      <c r="AP87" s="140"/>
      <c r="AQ87" s="140"/>
      <c r="AR87" s="140"/>
      <c r="AS87" s="140"/>
      <c r="AT87" s="140"/>
      <c r="AU87" s="140"/>
      <c r="AV87" s="140"/>
      <c r="AW87" s="140"/>
      <c r="AX87" s="140"/>
    </row>
    <row r="88" spans="1:50" ht="15" customHeight="1">
      <c r="A88" s="145"/>
      <c r="B88" s="93"/>
      <c r="C88" s="93"/>
      <c r="D88" s="90"/>
      <c r="E88" s="11" t="s">
        <v>322</v>
      </c>
      <c r="G88" s="1" t="s">
        <v>160</v>
      </c>
      <c r="I88" s="141">
        <f>Inputs!I83</f>
        <v>1.7999999999999999E-2</v>
      </c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140"/>
      <c r="W88" s="140"/>
      <c r="X88" s="140"/>
      <c r="Y88" s="140"/>
      <c r="Z88" s="140"/>
      <c r="AA88" s="140"/>
      <c r="AB88" s="140"/>
      <c r="AC88" s="140"/>
      <c r="AD88" s="140"/>
      <c r="AE88" s="140"/>
      <c r="AF88" s="140"/>
      <c r="AG88" s="140"/>
      <c r="AH88" s="140"/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</row>
    <row r="89" spans="1:50" ht="15" customHeight="1">
      <c r="A89" s="145"/>
      <c r="B89" s="93"/>
      <c r="C89" s="93"/>
      <c r="D89" s="90"/>
      <c r="E89" s="11" t="s">
        <v>323</v>
      </c>
      <c r="G89" s="1" t="s">
        <v>160</v>
      </c>
      <c r="I89" s="141">
        <f>Inputs!I89</f>
        <v>1.7999999999999999E-2</v>
      </c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</row>
    <row r="90" spans="1:50" ht="15" customHeight="1">
      <c r="A90" s="145"/>
      <c r="B90" s="93"/>
      <c r="C90" s="93"/>
      <c r="D90" s="90"/>
      <c r="E90" s="11" t="s">
        <v>324</v>
      </c>
      <c r="G90" s="1" t="s">
        <v>160</v>
      </c>
      <c r="I90" s="141">
        <f>Inputs!I94</f>
        <v>1.6199999999999999E-2</v>
      </c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40"/>
      <c r="Z90" s="140"/>
      <c r="AA90" s="140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</row>
    <row r="91" spans="1:50" ht="15" customHeight="1">
      <c r="A91" s="145"/>
      <c r="B91" s="93"/>
      <c r="C91" s="93"/>
      <c r="D91" s="90"/>
      <c r="E91" s="11" t="s">
        <v>325</v>
      </c>
      <c r="G91" s="1" t="s">
        <v>160</v>
      </c>
      <c r="I91" s="141">
        <f>Inputs!I100</f>
        <v>1.0999999999999999E-2</v>
      </c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40"/>
      <c r="Z91" s="140"/>
      <c r="AA91" s="140"/>
      <c r="AB91" s="140"/>
      <c r="AC91" s="140"/>
      <c r="AD91" s="140"/>
      <c r="AE91" s="140"/>
      <c r="AF91" s="140"/>
      <c r="AG91" s="140"/>
      <c r="AH91" s="140"/>
      <c r="AI91" s="140"/>
      <c r="AJ91" s="140"/>
      <c r="AK91" s="140"/>
      <c r="AL91" s="140"/>
      <c r="AM91" s="140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40"/>
    </row>
    <row r="92" spans="1:50" ht="15" customHeight="1">
      <c r="A92" s="145"/>
      <c r="B92" s="93"/>
      <c r="C92" s="93"/>
      <c r="D92" s="90"/>
      <c r="E92" s="11" t="s">
        <v>326</v>
      </c>
      <c r="G92" s="1" t="s">
        <v>160</v>
      </c>
      <c r="I92" s="141">
        <f>Inputs!I105</f>
        <v>0</v>
      </c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40"/>
      <c r="Z92" s="140"/>
      <c r="AA92" s="140"/>
      <c r="AB92" s="140"/>
      <c r="AC92" s="140"/>
      <c r="AD92" s="140"/>
      <c r="AE92" s="140"/>
      <c r="AF92" s="140"/>
      <c r="AG92" s="140"/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</row>
    <row r="93" spans="1:50" ht="15" customHeight="1">
      <c r="A93" s="145"/>
      <c r="B93" s="93"/>
      <c r="C93" s="93"/>
      <c r="D93" s="9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0"/>
      <c r="AA93" s="140"/>
      <c r="AB93" s="140"/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</row>
    <row r="94" spans="1:50" ht="15" customHeight="1">
      <c r="A94" s="145"/>
      <c r="B94" s="93"/>
      <c r="C94" s="93"/>
      <c r="D94" s="90"/>
      <c r="E94" s="11" t="s">
        <v>327</v>
      </c>
      <c r="G94" s="11" t="s">
        <v>160</v>
      </c>
      <c r="I94" s="140"/>
      <c r="J94" s="140"/>
      <c r="K94" s="149">
        <f t="shared" ref="K94:AX94" si="12">($I$85+$I86)*K$15</f>
        <v>0</v>
      </c>
      <c r="L94" s="149">
        <f>($I$85+$I86)*L$15</f>
        <v>5.7999999999999996E-2</v>
      </c>
      <c r="M94" s="149">
        <f t="shared" si="12"/>
        <v>5.7999999999999996E-2</v>
      </c>
      <c r="N94" s="149">
        <f t="shared" si="12"/>
        <v>5.7999999999999996E-2</v>
      </c>
      <c r="O94" s="149">
        <f t="shared" si="12"/>
        <v>5.7999999999999996E-2</v>
      </c>
      <c r="P94" s="149">
        <f t="shared" si="12"/>
        <v>5.7999999999999996E-2</v>
      </c>
      <c r="Q94" s="149">
        <f t="shared" si="12"/>
        <v>0</v>
      </c>
      <c r="R94" s="149">
        <f t="shared" si="12"/>
        <v>0</v>
      </c>
      <c r="S94" s="149">
        <f t="shared" si="12"/>
        <v>0</v>
      </c>
      <c r="T94" s="149">
        <f t="shared" si="12"/>
        <v>0</v>
      </c>
      <c r="U94" s="149">
        <f t="shared" si="12"/>
        <v>0</v>
      </c>
      <c r="V94" s="149">
        <f t="shared" si="12"/>
        <v>0</v>
      </c>
      <c r="W94" s="149">
        <f t="shared" si="12"/>
        <v>0</v>
      </c>
      <c r="X94" s="149">
        <f t="shared" si="12"/>
        <v>0</v>
      </c>
      <c r="Y94" s="149">
        <f t="shared" si="12"/>
        <v>0</v>
      </c>
      <c r="Z94" s="149">
        <f t="shared" si="12"/>
        <v>0</v>
      </c>
      <c r="AA94" s="149">
        <f t="shared" si="12"/>
        <v>0</v>
      </c>
      <c r="AB94" s="149">
        <f t="shared" si="12"/>
        <v>0</v>
      </c>
      <c r="AC94" s="149">
        <f t="shared" si="12"/>
        <v>0</v>
      </c>
      <c r="AD94" s="149">
        <f t="shared" si="12"/>
        <v>0</v>
      </c>
      <c r="AE94" s="149">
        <f t="shared" si="12"/>
        <v>0</v>
      </c>
      <c r="AF94" s="149">
        <f t="shared" si="12"/>
        <v>0</v>
      </c>
      <c r="AG94" s="149">
        <f t="shared" si="12"/>
        <v>0</v>
      </c>
      <c r="AH94" s="149">
        <f t="shared" si="12"/>
        <v>0</v>
      </c>
      <c r="AI94" s="149">
        <f t="shared" si="12"/>
        <v>0</v>
      </c>
      <c r="AJ94" s="149">
        <f t="shared" si="12"/>
        <v>0</v>
      </c>
      <c r="AK94" s="149">
        <f t="shared" si="12"/>
        <v>0</v>
      </c>
      <c r="AL94" s="149">
        <f t="shared" si="12"/>
        <v>0</v>
      </c>
      <c r="AM94" s="149">
        <f t="shared" si="12"/>
        <v>0</v>
      </c>
      <c r="AN94" s="149">
        <f t="shared" si="12"/>
        <v>0</v>
      </c>
      <c r="AO94" s="149">
        <f t="shared" si="12"/>
        <v>0</v>
      </c>
      <c r="AP94" s="149">
        <f t="shared" si="12"/>
        <v>0</v>
      </c>
      <c r="AQ94" s="149">
        <f t="shared" si="12"/>
        <v>0</v>
      </c>
      <c r="AR94" s="149">
        <f t="shared" si="12"/>
        <v>0</v>
      </c>
      <c r="AS94" s="149">
        <f t="shared" si="12"/>
        <v>0</v>
      </c>
      <c r="AT94" s="149">
        <f t="shared" si="12"/>
        <v>0</v>
      </c>
      <c r="AU94" s="149">
        <f t="shared" si="12"/>
        <v>0</v>
      </c>
      <c r="AV94" s="149">
        <f t="shared" si="12"/>
        <v>0</v>
      </c>
      <c r="AW94" s="149">
        <f t="shared" si="12"/>
        <v>0</v>
      </c>
      <c r="AX94" s="149">
        <f t="shared" si="12"/>
        <v>0</v>
      </c>
    </row>
    <row r="95" spans="1:50" ht="15" customHeight="1">
      <c r="A95" s="145"/>
      <c r="B95" s="93"/>
      <c r="C95" s="93"/>
      <c r="D95" s="90"/>
      <c r="E95" s="11" t="s">
        <v>328</v>
      </c>
      <c r="G95" s="11" t="s">
        <v>160</v>
      </c>
      <c r="I95" s="140"/>
      <c r="J95" s="140"/>
      <c r="K95" s="149">
        <f t="shared" ref="K95:AX95" si="13">($I$85+$I88)*K$15</f>
        <v>0</v>
      </c>
      <c r="L95" s="149">
        <f t="shared" si="13"/>
        <v>5.7999999999999996E-2</v>
      </c>
      <c r="M95" s="149">
        <f t="shared" si="13"/>
        <v>5.7999999999999996E-2</v>
      </c>
      <c r="N95" s="149">
        <f t="shared" si="13"/>
        <v>5.7999999999999996E-2</v>
      </c>
      <c r="O95" s="149">
        <f t="shared" si="13"/>
        <v>5.7999999999999996E-2</v>
      </c>
      <c r="P95" s="149">
        <f t="shared" si="13"/>
        <v>5.7999999999999996E-2</v>
      </c>
      <c r="Q95" s="149">
        <f t="shared" si="13"/>
        <v>0</v>
      </c>
      <c r="R95" s="149">
        <f t="shared" si="13"/>
        <v>0</v>
      </c>
      <c r="S95" s="149">
        <f t="shared" si="13"/>
        <v>0</v>
      </c>
      <c r="T95" s="149">
        <f t="shared" si="13"/>
        <v>0</v>
      </c>
      <c r="U95" s="149">
        <f t="shared" si="13"/>
        <v>0</v>
      </c>
      <c r="V95" s="149">
        <f t="shared" si="13"/>
        <v>0</v>
      </c>
      <c r="W95" s="149">
        <f t="shared" si="13"/>
        <v>0</v>
      </c>
      <c r="X95" s="149">
        <f t="shared" si="13"/>
        <v>0</v>
      </c>
      <c r="Y95" s="149">
        <f t="shared" si="13"/>
        <v>0</v>
      </c>
      <c r="Z95" s="149">
        <f t="shared" si="13"/>
        <v>0</v>
      </c>
      <c r="AA95" s="149">
        <f t="shared" si="13"/>
        <v>0</v>
      </c>
      <c r="AB95" s="149">
        <f t="shared" si="13"/>
        <v>0</v>
      </c>
      <c r="AC95" s="149">
        <f t="shared" si="13"/>
        <v>0</v>
      </c>
      <c r="AD95" s="149">
        <f t="shared" si="13"/>
        <v>0</v>
      </c>
      <c r="AE95" s="149">
        <f t="shared" si="13"/>
        <v>0</v>
      </c>
      <c r="AF95" s="149">
        <f t="shared" si="13"/>
        <v>0</v>
      </c>
      <c r="AG95" s="149">
        <f t="shared" si="13"/>
        <v>0</v>
      </c>
      <c r="AH95" s="149">
        <f t="shared" si="13"/>
        <v>0</v>
      </c>
      <c r="AI95" s="149">
        <f t="shared" si="13"/>
        <v>0</v>
      </c>
      <c r="AJ95" s="149">
        <f t="shared" si="13"/>
        <v>0</v>
      </c>
      <c r="AK95" s="149">
        <f t="shared" si="13"/>
        <v>0</v>
      </c>
      <c r="AL95" s="149">
        <f t="shared" si="13"/>
        <v>0</v>
      </c>
      <c r="AM95" s="149">
        <f t="shared" si="13"/>
        <v>0</v>
      </c>
      <c r="AN95" s="149">
        <f t="shared" si="13"/>
        <v>0</v>
      </c>
      <c r="AO95" s="149">
        <f t="shared" si="13"/>
        <v>0</v>
      </c>
      <c r="AP95" s="149">
        <f t="shared" si="13"/>
        <v>0</v>
      </c>
      <c r="AQ95" s="149">
        <f t="shared" si="13"/>
        <v>0</v>
      </c>
      <c r="AR95" s="149">
        <f t="shared" si="13"/>
        <v>0</v>
      </c>
      <c r="AS95" s="149">
        <f t="shared" si="13"/>
        <v>0</v>
      </c>
      <c r="AT95" s="149">
        <f t="shared" si="13"/>
        <v>0</v>
      </c>
      <c r="AU95" s="149">
        <f t="shared" si="13"/>
        <v>0</v>
      </c>
      <c r="AV95" s="149">
        <f t="shared" si="13"/>
        <v>0</v>
      </c>
      <c r="AW95" s="149">
        <f t="shared" si="13"/>
        <v>0</v>
      </c>
      <c r="AX95" s="149">
        <f t="shared" si="13"/>
        <v>0</v>
      </c>
    </row>
    <row r="96" spans="1:50" ht="15" customHeight="1">
      <c r="A96" s="145"/>
      <c r="B96" s="93"/>
      <c r="C96" s="93"/>
      <c r="D96" s="90"/>
      <c r="E96" s="11" t="s">
        <v>329</v>
      </c>
      <c r="G96" s="11" t="s">
        <v>160</v>
      </c>
      <c r="I96" s="140"/>
      <c r="J96" s="140"/>
      <c r="K96" s="149">
        <f t="shared" ref="K96:AX96" si="14">($I$85+$I89)*K$15</f>
        <v>0</v>
      </c>
      <c r="L96" s="149">
        <f t="shared" si="14"/>
        <v>5.7999999999999996E-2</v>
      </c>
      <c r="M96" s="149">
        <f t="shared" si="14"/>
        <v>5.7999999999999996E-2</v>
      </c>
      <c r="N96" s="149">
        <f t="shared" si="14"/>
        <v>5.7999999999999996E-2</v>
      </c>
      <c r="O96" s="149">
        <f t="shared" si="14"/>
        <v>5.7999999999999996E-2</v>
      </c>
      <c r="P96" s="149">
        <f t="shared" si="14"/>
        <v>5.7999999999999996E-2</v>
      </c>
      <c r="Q96" s="149">
        <f t="shared" si="14"/>
        <v>0</v>
      </c>
      <c r="R96" s="149">
        <f t="shared" si="14"/>
        <v>0</v>
      </c>
      <c r="S96" s="149">
        <f t="shared" si="14"/>
        <v>0</v>
      </c>
      <c r="T96" s="149">
        <f t="shared" si="14"/>
        <v>0</v>
      </c>
      <c r="U96" s="149">
        <f t="shared" si="14"/>
        <v>0</v>
      </c>
      <c r="V96" s="149">
        <f t="shared" si="14"/>
        <v>0</v>
      </c>
      <c r="W96" s="149">
        <f t="shared" si="14"/>
        <v>0</v>
      </c>
      <c r="X96" s="149">
        <f t="shared" si="14"/>
        <v>0</v>
      </c>
      <c r="Y96" s="149">
        <f t="shared" si="14"/>
        <v>0</v>
      </c>
      <c r="Z96" s="149">
        <f t="shared" si="14"/>
        <v>0</v>
      </c>
      <c r="AA96" s="149">
        <f t="shared" si="14"/>
        <v>0</v>
      </c>
      <c r="AB96" s="149">
        <f t="shared" si="14"/>
        <v>0</v>
      </c>
      <c r="AC96" s="149">
        <f t="shared" si="14"/>
        <v>0</v>
      </c>
      <c r="AD96" s="149">
        <f t="shared" si="14"/>
        <v>0</v>
      </c>
      <c r="AE96" s="149">
        <f t="shared" si="14"/>
        <v>0</v>
      </c>
      <c r="AF96" s="149">
        <f t="shared" si="14"/>
        <v>0</v>
      </c>
      <c r="AG96" s="149">
        <f t="shared" si="14"/>
        <v>0</v>
      </c>
      <c r="AH96" s="149">
        <f t="shared" si="14"/>
        <v>0</v>
      </c>
      <c r="AI96" s="149">
        <f t="shared" si="14"/>
        <v>0</v>
      </c>
      <c r="AJ96" s="149">
        <f t="shared" si="14"/>
        <v>0</v>
      </c>
      <c r="AK96" s="149">
        <f t="shared" si="14"/>
        <v>0</v>
      </c>
      <c r="AL96" s="149">
        <f t="shared" si="14"/>
        <v>0</v>
      </c>
      <c r="AM96" s="149">
        <f t="shared" si="14"/>
        <v>0</v>
      </c>
      <c r="AN96" s="149">
        <f t="shared" si="14"/>
        <v>0</v>
      </c>
      <c r="AO96" s="149">
        <f t="shared" si="14"/>
        <v>0</v>
      </c>
      <c r="AP96" s="149">
        <f t="shared" si="14"/>
        <v>0</v>
      </c>
      <c r="AQ96" s="149">
        <f t="shared" si="14"/>
        <v>0</v>
      </c>
      <c r="AR96" s="149">
        <f t="shared" si="14"/>
        <v>0</v>
      </c>
      <c r="AS96" s="149">
        <f t="shared" si="14"/>
        <v>0</v>
      </c>
      <c r="AT96" s="149">
        <f t="shared" si="14"/>
        <v>0</v>
      </c>
      <c r="AU96" s="149">
        <f t="shared" si="14"/>
        <v>0</v>
      </c>
      <c r="AV96" s="149">
        <f t="shared" si="14"/>
        <v>0</v>
      </c>
      <c r="AW96" s="149">
        <f t="shared" si="14"/>
        <v>0</v>
      </c>
      <c r="AX96" s="149">
        <f t="shared" si="14"/>
        <v>0</v>
      </c>
    </row>
    <row r="97" spans="1:50" ht="15" customHeight="1">
      <c r="A97" s="145"/>
      <c r="B97" s="93"/>
      <c r="C97" s="93"/>
      <c r="D97" s="90"/>
      <c r="E97" s="11" t="s">
        <v>330</v>
      </c>
      <c r="G97" s="11" t="s">
        <v>160</v>
      </c>
      <c r="I97" s="140"/>
      <c r="J97" s="140"/>
      <c r="K97" s="149">
        <f t="shared" ref="K97:AX97" si="15">($I$85+$I90)*K$15</f>
        <v>0</v>
      </c>
      <c r="L97" s="149">
        <f t="shared" si="15"/>
        <v>5.62E-2</v>
      </c>
      <c r="M97" s="149">
        <f t="shared" si="15"/>
        <v>5.62E-2</v>
      </c>
      <c r="N97" s="149">
        <f t="shared" si="15"/>
        <v>5.62E-2</v>
      </c>
      <c r="O97" s="149">
        <f t="shared" si="15"/>
        <v>5.62E-2</v>
      </c>
      <c r="P97" s="149">
        <f t="shared" si="15"/>
        <v>5.62E-2</v>
      </c>
      <c r="Q97" s="149">
        <f t="shared" si="15"/>
        <v>0</v>
      </c>
      <c r="R97" s="149">
        <f t="shared" si="15"/>
        <v>0</v>
      </c>
      <c r="S97" s="149">
        <f t="shared" si="15"/>
        <v>0</v>
      </c>
      <c r="T97" s="149">
        <f t="shared" si="15"/>
        <v>0</v>
      </c>
      <c r="U97" s="149">
        <f t="shared" si="15"/>
        <v>0</v>
      </c>
      <c r="V97" s="149">
        <f t="shared" si="15"/>
        <v>0</v>
      </c>
      <c r="W97" s="149">
        <f t="shared" si="15"/>
        <v>0</v>
      </c>
      <c r="X97" s="149">
        <f t="shared" si="15"/>
        <v>0</v>
      </c>
      <c r="Y97" s="149">
        <f t="shared" si="15"/>
        <v>0</v>
      </c>
      <c r="Z97" s="149">
        <f t="shared" si="15"/>
        <v>0</v>
      </c>
      <c r="AA97" s="149">
        <f t="shared" si="15"/>
        <v>0</v>
      </c>
      <c r="AB97" s="149">
        <f t="shared" si="15"/>
        <v>0</v>
      </c>
      <c r="AC97" s="149">
        <f t="shared" si="15"/>
        <v>0</v>
      </c>
      <c r="AD97" s="149">
        <f t="shared" si="15"/>
        <v>0</v>
      </c>
      <c r="AE97" s="149">
        <f t="shared" si="15"/>
        <v>0</v>
      </c>
      <c r="AF97" s="149">
        <f t="shared" si="15"/>
        <v>0</v>
      </c>
      <c r="AG97" s="149">
        <f t="shared" si="15"/>
        <v>0</v>
      </c>
      <c r="AH97" s="149">
        <f t="shared" si="15"/>
        <v>0</v>
      </c>
      <c r="AI97" s="149">
        <f t="shared" si="15"/>
        <v>0</v>
      </c>
      <c r="AJ97" s="149">
        <f t="shared" si="15"/>
        <v>0</v>
      </c>
      <c r="AK97" s="149">
        <f t="shared" si="15"/>
        <v>0</v>
      </c>
      <c r="AL97" s="149">
        <f t="shared" si="15"/>
        <v>0</v>
      </c>
      <c r="AM97" s="149">
        <f t="shared" si="15"/>
        <v>0</v>
      </c>
      <c r="AN97" s="149">
        <f t="shared" si="15"/>
        <v>0</v>
      </c>
      <c r="AO97" s="149">
        <f t="shared" si="15"/>
        <v>0</v>
      </c>
      <c r="AP97" s="149">
        <f t="shared" si="15"/>
        <v>0</v>
      </c>
      <c r="AQ97" s="149">
        <f t="shared" si="15"/>
        <v>0</v>
      </c>
      <c r="AR97" s="149">
        <f t="shared" si="15"/>
        <v>0</v>
      </c>
      <c r="AS97" s="149">
        <f t="shared" si="15"/>
        <v>0</v>
      </c>
      <c r="AT97" s="149">
        <f t="shared" si="15"/>
        <v>0</v>
      </c>
      <c r="AU97" s="149">
        <f t="shared" si="15"/>
        <v>0</v>
      </c>
      <c r="AV97" s="149">
        <f t="shared" si="15"/>
        <v>0</v>
      </c>
      <c r="AW97" s="149">
        <f t="shared" si="15"/>
        <v>0</v>
      </c>
      <c r="AX97" s="149">
        <f t="shared" si="15"/>
        <v>0</v>
      </c>
    </row>
    <row r="98" spans="1:50" ht="15" customHeight="1">
      <c r="A98" s="145"/>
      <c r="B98" s="93"/>
      <c r="C98" s="93"/>
      <c r="D98" s="90"/>
      <c r="E98" s="150" t="s">
        <v>331</v>
      </c>
      <c r="G98" s="11" t="s">
        <v>160</v>
      </c>
      <c r="I98" s="140"/>
      <c r="J98" s="140"/>
      <c r="K98" s="149">
        <f t="shared" ref="K98:AX98" si="16">($I$85+$I91)*K$15</f>
        <v>0</v>
      </c>
      <c r="L98" s="149">
        <f t="shared" si="16"/>
        <v>5.1000000000000004E-2</v>
      </c>
      <c r="M98" s="149">
        <f t="shared" si="16"/>
        <v>5.1000000000000004E-2</v>
      </c>
      <c r="N98" s="149">
        <f t="shared" si="16"/>
        <v>5.1000000000000004E-2</v>
      </c>
      <c r="O98" s="149">
        <f t="shared" si="16"/>
        <v>5.1000000000000004E-2</v>
      </c>
      <c r="P98" s="149">
        <f t="shared" si="16"/>
        <v>5.1000000000000004E-2</v>
      </c>
      <c r="Q98" s="149">
        <f t="shared" si="16"/>
        <v>0</v>
      </c>
      <c r="R98" s="149">
        <f t="shared" si="16"/>
        <v>0</v>
      </c>
      <c r="S98" s="149">
        <f t="shared" si="16"/>
        <v>0</v>
      </c>
      <c r="T98" s="149">
        <f t="shared" si="16"/>
        <v>0</v>
      </c>
      <c r="U98" s="149">
        <f t="shared" si="16"/>
        <v>0</v>
      </c>
      <c r="V98" s="149">
        <f t="shared" si="16"/>
        <v>0</v>
      </c>
      <c r="W98" s="149">
        <f t="shared" si="16"/>
        <v>0</v>
      </c>
      <c r="X98" s="149">
        <f t="shared" si="16"/>
        <v>0</v>
      </c>
      <c r="Y98" s="149">
        <f t="shared" si="16"/>
        <v>0</v>
      </c>
      <c r="Z98" s="149">
        <f t="shared" si="16"/>
        <v>0</v>
      </c>
      <c r="AA98" s="149">
        <f t="shared" si="16"/>
        <v>0</v>
      </c>
      <c r="AB98" s="149">
        <f t="shared" si="16"/>
        <v>0</v>
      </c>
      <c r="AC98" s="149">
        <f t="shared" si="16"/>
        <v>0</v>
      </c>
      <c r="AD98" s="149">
        <f t="shared" si="16"/>
        <v>0</v>
      </c>
      <c r="AE98" s="149">
        <f t="shared" si="16"/>
        <v>0</v>
      </c>
      <c r="AF98" s="149">
        <f t="shared" si="16"/>
        <v>0</v>
      </c>
      <c r="AG98" s="149">
        <f t="shared" si="16"/>
        <v>0</v>
      </c>
      <c r="AH98" s="149">
        <f t="shared" si="16"/>
        <v>0</v>
      </c>
      <c r="AI98" s="149">
        <f t="shared" si="16"/>
        <v>0</v>
      </c>
      <c r="AJ98" s="149">
        <f t="shared" si="16"/>
        <v>0</v>
      </c>
      <c r="AK98" s="149">
        <f t="shared" si="16"/>
        <v>0</v>
      </c>
      <c r="AL98" s="149">
        <f t="shared" si="16"/>
        <v>0</v>
      </c>
      <c r="AM98" s="149">
        <f t="shared" si="16"/>
        <v>0</v>
      </c>
      <c r="AN98" s="149">
        <f t="shared" si="16"/>
        <v>0</v>
      </c>
      <c r="AO98" s="149">
        <f t="shared" si="16"/>
        <v>0</v>
      </c>
      <c r="AP98" s="149">
        <f t="shared" si="16"/>
        <v>0</v>
      </c>
      <c r="AQ98" s="149">
        <f t="shared" si="16"/>
        <v>0</v>
      </c>
      <c r="AR98" s="149">
        <f t="shared" si="16"/>
        <v>0</v>
      </c>
      <c r="AS98" s="149">
        <f t="shared" si="16"/>
        <v>0</v>
      </c>
      <c r="AT98" s="149">
        <f t="shared" si="16"/>
        <v>0</v>
      </c>
      <c r="AU98" s="149">
        <f t="shared" si="16"/>
        <v>0</v>
      </c>
      <c r="AV98" s="149">
        <f t="shared" si="16"/>
        <v>0</v>
      </c>
      <c r="AW98" s="149">
        <f t="shared" si="16"/>
        <v>0</v>
      </c>
      <c r="AX98" s="149">
        <f t="shared" si="16"/>
        <v>0</v>
      </c>
    </row>
    <row r="99" spans="1:50" ht="15" customHeight="1">
      <c r="A99" s="145"/>
      <c r="B99" s="93"/>
      <c r="C99" s="93"/>
      <c r="D99" s="90"/>
      <c r="E99" s="11" t="s">
        <v>332</v>
      </c>
      <c r="G99" s="11" t="s">
        <v>160</v>
      </c>
      <c r="I99" s="140"/>
      <c r="J99" s="140"/>
      <c r="K99" s="149">
        <f t="shared" ref="K99:AX99" si="17">($I$85+$I92)*K$15</f>
        <v>0</v>
      </c>
      <c r="L99" s="149">
        <f t="shared" si="17"/>
        <v>0.04</v>
      </c>
      <c r="M99" s="149">
        <f t="shared" si="17"/>
        <v>0.04</v>
      </c>
      <c r="N99" s="149">
        <f t="shared" si="17"/>
        <v>0.04</v>
      </c>
      <c r="O99" s="149">
        <f t="shared" si="17"/>
        <v>0.04</v>
      </c>
      <c r="P99" s="149">
        <f t="shared" si="17"/>
        <v>0.04</v>
      </c>
      <c r="Q99" s="149">
        <f t="shared" si="17"/>
        <v>0</v>
      </c>
      <c r="R99" s="149">
        <f t="shared" si="17"/>
        <v>0</v>
      </c>
      <c r="S99" s="149">
        <f t="shared" si="17"/>
        <v>0</v>
      </c>
      <c r="T99" s="149">
        <f t="shared" si="17"/>
        <v>0</v>
      </c>
      <c r="U99" s="149">
        <f t="shared" si="17"/>
        <v>0</v>
      </c>
      <c r="V99" s="149">
        <f t="shared" si="17"/>
        <v>0</v>
      </c>
      <c r="W99" s="149">
        <f t="shared" si="17"/>
        <v>0</v>
      </c>
      <c r="X99" s="149">
        <f t="shared" si="17"/>
        <v>0</v>
      </c>
      <c r="Y99" s="149">
        <f t="shared" si="17"/>
        <v>0</v>
      </c>
      <c r="Z99" s="149">
        <f t="shared" si="17"/>
        <v>0</v>
      </c>
      <c r="AA99" s="149">
        <f t="shared" si="17"/>
        <v>0</v>
      </c>
      <c r="AB99" s="149">
        <f t="shared" si="17"/>
        <v>0</v>
      </c>
      <c r="AC99" s="149">
        <f t="shared" si="17"/>
        <v>0</v>
      </c>
      <c r="AD99" s="149">
        <f t="shared" si="17"/>
        <v>0</v>
      </c>
      <c r="AE99" s="149">
        <f t="shared" si="17"/>
        <v>0</v>
      </c>
      <c r="AF99" s="149">
        <f t="shared" si="17"/>
        <v>0</v>
      </c>
      <c r="AG99" s="149">
        <f t="shared" si="17"/>
        <v>0</v>
      </c>
      <c r="AH99" s="149">
        <f t="shared" si="17"/>
        <v>0</v>
      </c>
      <c r="AI99" s="149">
        <f t="shared" si="17"/>
        <v>0</v>
      </c>
      <c r="AJ99" s="149">
        <f t="shared" si="17"/>
        <v>0</v>
      </c>
      <c r="AK99" s="149">
        <f t="shared" si="17"/>
        <v>0</v>
      </c>
      <c r="AL99" s="149">
        <f t="shared" si="17"/>
        <v>0</v>
      </c>
      <c r="AM99" s="149">
        <f t="shared" si="17"/>
        <v>0</v>
      </c>
      <c r="AN99" s="149">
        <f t="shared" si="17"/>
        <v>0</v>
      </c>
      <c r="AO99" s="149">
        <f t="shared" si="17"/>
        <v>0</v>
      </c>
      <c r="AP99" s="149">
        <f t="shared" si="17"/>
        <v>0</v>
      </c>
      <c r="AQ99" s="149">
        <f t="shared" si="17"/>
        <v>0</v>
      </c>
      <c r="AR99" s="149">
        <f t="shared" si="17"/>
        <v>0</v>
      </c>
      <c r="AS99" s="149">
        <f t="shared" si="17"/>
        <v>0</v>
      </c>
      <c r="AT99" s="149">
        <f t="shared" si="17"/>
        <v>0</v>
      </c>
      <c r="AU99" s="149">
        <f t="shared" si="17"/>
        <v>0</v>
      </c>
      <c r="AV99" s="149">
        <f t="shared" si="17"/>
        <v>0</v>
      </c>
      <c r="AW99" s="149">
        <f t="shared" si="17"/>
        <v>0</v>
      </c>
      <c r="AX99" s="149">
        <f t="shared" si="17"/>
        <v>0</v>
      </c>
    </row>
    <row r="100" spans="1:50" ht="15" customHeight="1">
      <c r="A100" s="145"/>
      <c r="B100" s="93"/>
      <c r="C100" s="93"/>
      <c r="D100" s="90"/>
      <c r="I100" s="140"/>
      <c r="J100" s="140"/>
      <c r="K100" s="140"/>
      <c r="L100" s="140"/>
      <c r="M100" s="140"/>
      <c r="N100" s="140"/>
      <c r="O100" s="140"/>
      <c r="P100" s="140"/>
      <c r="Q100" s="140"/>
      <c r="R100" s="140"/>
      <c r="S100" s="140"/>
      <c r="T100" s="140"/>
      <c r="U100" s="140"/>
      <c r="V100" s="140"/>
      <c r="W100" s="140"/>
      <c r="X100" s="140"/>
      <c r="Y100" s="140"/>
      <c r="Z100" s="140"/>
      <c r="AA100" s="140"/>
      <c r="AB100" s="140"/>
      <c r="AC100" s="140"/>
      <c r="AD100" s="140"/>
      <c r="AE100" s="140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</row>
    <row r="101" spans="1:50" ht="15" customHeight="1">
      <c r="A101" s="145"/>
      <c r="B101" s="93"/>
      <c r="C101" s="93"/>
      <c r="D101" s="90"/>
      <c r="E101" s="11" t="s">
        <v>333</v>
      </c>
      <c r="F101" s="1"/>
      <c r="G101" s="77" t="s">
        <v>166</v>
      </c>
      <c r="I101" s="141">
        <f>Inputs!I76</f>
        <v>0.35</v>
      </c>
      <c r="J101" s="140"/>
      <c r="K101" s="140"/>
      <c r="L101" s="140"/>
      <c r="M101" s="140"/>
      <c r="N101" s="140"/>
      <c r="O101" s="140"/>
      <c r="P101" s="140"/>
      <c r="Q101" s="140"/>
      <c r="R101" s="140"/>
      <c r="S101" s="140"/>
      <c r="T101" s="140"/>
      <c r="U101" s="140"/>
      <c r="V101" s="140"/>
      <c r="W101" s="140"/>
      <c r="X101" s="140"/>
      <c r="Y101" s="140"/>
      <c r="Z101" s="140"/>
      <c r="AA101" s="140"/>
      <c r="AB101" s="140"/>
      <c r="AC101" s="140"/>
      <c r="AD101" s="140"/>
      <c r="AE101" s="140"/>
      <c r="AF101" s="140"/>
      <c r="AG101" s="140"/>
      <c r="AH101" s="140"/>
      <c r="AI101" s="140"/>
      <c r="AJ101" s="140"/>
      <c r="AK101" s="140"/>
      <c r="AL101" s="140"/>
      <c r="AM101" s="140"/>
      <c r="AN101" s="140"/>
      <c r="AO101" s="140"/>
      <c r="AP101" s="140"/>
      <c r="AQ101" s="140"/>
      <c r="AR101" s="140"/>
      <c r="AS101" s="140"/>
      <c r="AT101" s="140"/>
      <c r="AU101" s="140"/>
      <c r="AV101" s="140"/>
      <c r="AW101" s="140"/>
      <c r="AX101" s="140"/>
    </row>
    <row r="102" spans="1:50" ht="15" customHeight="1">
      <c r="A102" s="145"/>
      <c r="B102" s="93"/>
      <c r="C102" s="93"/>
      <c r="D102" s="90"/>
      <c r="E102" s="11" t="s">
        <v>334</v>
      </c>
      <c r="F102" s="1"/>
      <c r="G102" s="77" t="s">
        <v>166</v>
      </c>
      <c r="I102" s="141">
        <f>Inputs!I84</f>
        <v>0.35</v>
      </c>
      <c r="J102" s="140"/>
      <c r="K102" s="140"/>
      <c r="L102" s="140"/>
      <c r="M102" s="140"/>
      <c r="N102" s="140"/>
      <c r="O102" s="140"/>
      <c r="P102" s="140"/>
      <c r="Q102" s="140"/>
      <c r="R102" s="140"/>
      <c r="S102" s="140"/>
      <c r="T102" s="140"/>
      <c r="U102" s="140"/>
      <c r="V102" s="140"/>
      <c r="W102" s="140"/>
      <c r="X102" s="140"/>
      <c r="Y102" s="140"/>
      <c r="Z102" s="140"/>
      <c r="AA102" s="140"/>
      <c r="AB102" s="140"/>
      <c r="AC102" s="140"/>
      <c r="AD102" s="140"/>
      <c r="AE102" s="140"/>
      <c r="AF102" s="140"/>
      <c r="AG102" s="140"/>
      <c r="AH102" s="140"/>
      <c r="AI102" s="140"/>
      <c r="AJ102" s="140"/>
      <c r="AK102" s="140"/>
      <c r="AL102" s="140"/>
      <c r="AM102" s="140"/>
      <c r="AN102" s="140"/>
      <c r="AO102" s="140"/>
      <c r="AP102" s="140"/>
      <c r="AQ102" s="140"/>
      <c r="AR102" s="140"/>
      <c r="AS102" s="140"/>
      <c r="AT102" s="140"/>
      <c r="AU102" s="140"/>
      <c r="AV102" s="140"/>
      <c r="AW102" s="140"/>
      <c r="AX102" s="140"/>
    </row>
    <row r="103" spans="1:50" ht="15" customHeight="1">
      <c r="A103" s="145"/>
      <c r="B103" s="93"/>
      <c r="C103" s="93"/>
      <c r="D103" s="90"/>
      <c r="E103" s="11" t="s">
        <v>335</v>
      </c>
      <c r="F103" s="1"/>
      <c r="G103" s="77" t="s">
        <v>166</v>
      </c>
      <c r="I103" s="141">
        <f>Inputs!I90</f>
        <v>0.35</v>
      </c>
      <c r="J103" s="140"/>
      <c r="K103" s="140"/>
      <c r="L103" s="140"/>
      <c r="M103" s="140"/>
      <c r="N103" s="140"/>
      <c r="O103" s="140"/>
      <c r="P103" s="140"/>
      <c r="Q103" s="140"/>
      <c r="R103" s="140"/>
      <c r="S103" s="140"/>
      <c r="T103" s="140"/>
      <c r="U103" s="140"/>
      <c r="V103" s="140"/>
      <c r="W103" s="140"/>
      <c r="X103" s="140"/>
      <c r="Y103" s="140"/>
      <c r="Z103" s="140"/>
      <c r="AA103" s="140"/>
      <c r="AB103" s="140"/>
      <c r="AC103" s="140"/>
      <c r="AD103" s="140"/>
      <c r="AE103" s="140"/>
      <c r="AF103" s="140"/>
      <c r="AG103" s="140"/>
      <c r="AH103" s="140"/>
      <c r="AI103" s="140"/>
      <c r="AJ103" s="140"/>
      <c r="AK103" s="140"/>
      <c r="AL103" s="140"/>
      <c r="AM103" s="140"/>
      <c r="AN103" s="140"/>
      <c r="AO103" s="140"/>
      <c r="AP103" s="140"/>
      <c r="AQ103" s="140"/>
      <c r="AR103" s="140"/>
      <c r="AS103" s="140"/>
      <c r="AT103" s="140"/>
      <c r="AU103" s="140"/>
      <c r="AV103" s="140"/>
      <c r="AW103" s="140"/>
      <c r="AX103" s="140"/>
    </row>
    <row r="104" spans="1:50" ht="15" customHeight="1">
      <c r="A104" s="145"/>
      <c r="B104" s="93"/>
      <c r="C104" s="93"/>
      <c r="D104" s="90"/>
      <c r="E104" s="11" t="s">
        <v>336</v>
      </c>
      <c r="F104" s="1"/>
      <c r="G104" s="77" t="s">
        <v>166</v>
      </c>
      <c r="I104" s="141">
        <f>Inputs!I95</f>
        <v>0.35</v>
      </c>
      <c r="J104" s="140"/>
      <c r="K104" s="140"/>
      <c r="L104" s="140"/>
      <c r="M104" s="140"/>
      <c r="N104" s="140"/>
      <c r="O104" s="140"/>
      <c r="P104" s="140"/>
      <c r="Q104" s="140"/>
      <c r="R104" s="140"/>
      <c r="S104" s="140"/>
      <c r="T104" s="140"/>
      <c r="U104" s="140"/>
      <c r="V104" s="140"/>
      <c r="W104" s="140"/>
      <c r="X104" s="140"/>
      <c r="Y104" s="140"/>
      <c r="Z104" s="140"/>
      <c r="AA104" s="140"/>
      <c r="AB104" s="140"/>
      <c r="AC104" s="140"/>
      <c r="AD104" s="140"/>
      <c r="AE104" s="140"/>
      <c r="AF104" s="140"/>
      <c r="AG104" s="140"/>
      <c r="AH104" s="140"/>
      <c r="AI104" s="140"/>
      <c r="AJ104" s="140"/>
      <c r="AK104" s="140"/>
      <c r="AL104" s="140"/>
      <c r="AM104" s="140"/>
      <c r="AN104" s="140"/>
      <c r="AO104" s="140"/>
      <c r="AP104" s="140"/>
      <c r="AQ104" s="140"/>
      <c r="AR104" s="140"/>
      <c r="AS104" s="140"/>
      <c r="AT104" s="140"/>
      <c r="AU104" s="140"/>
      <c r="AV104" s="140"/>
      <c r="AW104" s="140"/>
      <c r="AX104" s="140"/>
    </row>
    <row r="105" spans="1:50" ht="15" customHeight="1">
      <c r="A105" s="145"/>
      <c r="B105" s="93"/>
      <c r="C105" s="93"/>
      <c r="D105" s="90"/>
      <c r="E105" s="11" t="s">
        <v>337</v>
      </c>
      <c r="F105" s="1"/>
      <c r="G105" s="77" t="s">
        <v>166</v>
      </c>
      <c r="I105" s="141">
        <f>Inputs!I101</f>
        <v>0.35</v>
      </c>
      <c r="J105" s="140"/>
      <c r="K105" s="140"/>
      <c r="L105" s="140"/>
      <c r="M105" s="140"/>
      <c r="N105" s="140"/>
      <c r="O105" s="140"/>
      <c r="P105" s="140"/>
      <c r="Q105" s="140"/>
      <c r="R105" s="140"/>
      <c r="S105" s="140"/>
      <c r="T105" s="140"/>
      <c r="U105" s="140"/>
      <c r="V105" s="140"/>
      <c r="W105" s="140"/>
      <c r="X105" s="140"/>
      <c r="Y105" s="140"/>
      <c r="Z105" s="140"/>
      <c r="AA105" s="140"/>
      <c r="AB105" s="140"/>
      <c r="AC105" s="140"/>
      <c r="AD105" s="140"/>
      <c r="AE105" s="140"/>
      <c r="AF105" s="140"/>
      <c r="AG105" s="140"/>
      <c r="AH105" s="140"/>
      <c r="AI105" s="140"/>
      <c r="AJ105" s="140"/>
      <c r="AK105" s="140"/>
      <c r="AL105" s="140"/>
      <c r="AM105" s="140"/>
      <c r="AN105" s="140"/>
      <c r="AO105" s="140"/>
      <c r="AP105" s="140"/>
      <c r="AQ105" s="140"/>
      <c r="AR105" s="140"/>
      <c r="AS105" s="140"/>
      <c r="AT105" s="140"/>
      <c r="AU105" s="140"/>
      <c r="AV105" s="140"/>
      <c r="AW105" s="140"/>
      <c r="AX105" s="140"/>
    </row>
    <row r="106" spans="1:50" ht="15" customHeight="1">
      <c r="A106" s="145"/>
      <c r="B106" s="93"/>
      <c r="C106" s="93"/>
      <c r="D106" s="90"/>
      <c r="E106" s="11" t="s">
        <v>338</v>
      </c>
      <c r="F106" s="1"/>
      <c r="G106" s="77" t="s">
        <v>166</v>
      </c>
      <c r="I106" s="141">
        <f>Inputs!I106</f>
        <v>0</v>
      </c>
      <c r="J106" s="140"/>
      <c r="K106" s="140"/>
      <c r="L106" s="140"/>
      <c r="M106" s="140"/>
      <c r="N106" s="140"/>
      <c r="O106" s="140"/>
      <c r="P106" s="140"/>
      <c r="Q106" s="140"/>
      <c r="R106" s="140"/>
      <c r="S106" s="140"/>
      <c r="T106" s="140"/>
      <c r="U106" s="140"/>
      <c r="V106" s="140"/>
      <c r="W106" s="140"/>
      <c r="X106" s="140"/>
      <c r="Y106" s="140"/>
      <c r="Z106" s="140"/>
      <c r="AA106" s="140"/>
      <c r="AB106" s="140"/>
      <c r="AC106" s="140"/>
      <c r="AD106" s="140"/>
      <c r="AE106" s="140"/>
      <c r="AF106" s="140"/>
      <c r="AG106" s="140"/>
      <c r="AH106" s="140"/>
      <c r="AI106" s="140"/>
      <c r="AJ106" s="140"/>
      <c r="AK106" s="140"/>
      <c r="AL106" s="140"/>
      <c r="AM106" s="140"/>
      <c r="AN106" s="140"/>
      <c r="AO106" s="140"/>
      <c r="AP106" s="140"/>
      <c r="AQ106" s="140"/>
      <c r="AR106" s="140"/>
      <c r="AS106" s="140"/>
      <c r="AT106" s="140"/>
      <c r="AU106" s="140"/>
      <c r="AV106" s="140"/>
      <c r="AW106" s="140"/>
      <c r="AX106" s="140"/>
    </row>
    <row r="107" spans="1:50" ht="15" customHeight="1">
      <c r="A107" s="145"/>
      <c r="B107" s="93"/>
      <c r="C107" s="93"/>
      <c r="D107" s="90"/>
      <c r="I107" s="140"/>
      <c r="J107" s="140"/>
      <c r="K107" s="140"/>
      <c r="L107" s="140"/>
      <c r="M107" s="140"/>
      <c r="N107" s="140"/>
      <c r="O107" s="140"/>
      <c r="P107" s="140"/>
      <c r="Q107" s="140"/>
      <c r="R107" s="140"/>
      <c r="S107" s="140"/>
      <c r="T107" s="140"/>
      <c r="U107" s="140"/>
      <c r="V107" s="140"/>
      <c r="W107" s="140"/>
      <c r="X107" s="140"/>
      <c r="Y107" s="140"/>
      <c r="Z107" s="140"/>
      <c r="AA107" s="140"/>
      <c r="AB107" s="140"/>
      <c r="AC107" s="140"/>
      <c r="AD107" s="140"/>
      <c r="AE107" s="140"/>
      <c r="AF107" s="140"/>
      <c r="AG107" s="140"/>
      <c r="AH107" s="140"/>
      <c r="AI107" s="140"/>
      <c r="AJ107" s="140"/>
      <c r="AK107" s="140"/>
      <c r="AL107" s="140"/>
      <c r="AM107" s="140"/>
      <c r="AN107" s="140"/>
      <c r="AO107" s="140"/>
      <c r="AP107" s="140"/>
      <c r="AQ107" s="140"/>
      <c r="AR107" s="140"/>
      <c r="AS107" s="140"/>
      <c r="AT107" s="140"/>
      <c r="AU107" s="140"/>
      <c r="AV107" s="140"/>
      <c r="AW107" s="140"/>
      <c r="AX107" s="140"/>
    </row>
    <row r="108" spans="1:50" ht="15" customHeight="1">
      <c r="A108" s="145"/>
      <c r="B108" s="93"/>
      <c r="C108" s="93"/>
      <c r="D108" s="90"/>
      <c r="E108" s="1" t="s">
        <v>339</v>
      </c>
      <c r="F108" s="1"/>
      <c r="G108" s="11" t="s">
        <v>77</v>
      </c>
      <c r="I108" s="140"/>
      <c r="J108" s="140"/>
      <c r="K108" s="1">
        <f t="shared" ref="K108:AX108" si="18">$I$58*$I$78*K14</f>
        <v>0</v>
      </c>
      <c r="L108" s="1">
        <f>$I$58*$I$78*L14</f>
        <v>7.5</v>
      </c>
      <c r="M108" s="1">
        <f t="shared" si="18"/>
        <v>0</v>
      </c>
      <c r="N108" s="1">
        <f t="shared" si="18"/>
        <v>0</v>
      </c>
      <c r="O108" s="1">
        <f t="shared" si="18"/>
        <v>0</v>
      </c>
      <c r="P108" s="1">
        <f t="shared" si="18"/>
        <v>0</v>
      </c>
      <c r="Q108" s="1">
        <f t="shared" si="18"/>
        <v>0</v>
      </c>
      <c r="R108" s="1">
        <f t="shared" si="18"/>
        <v>0</v>
      </c>
      <c r="S108" s="1">
        <f t="shared" si="18"/>
        <v>0</v>
      </c>
      <c r="T108" s="1">
        <f t="shared" si="18"/>
        <v>0</v>
      </c>
      <c r="U108" s="1">
        <f t="shared" si="18"/>
        <v>0</v>
      </c>
      <c r="V108" s="1">
        <f t="shared" si="18"/>
        <v>0</v>
      </c>
      <c r="W108" s="1">
        <f t="shared" si="18"/>
        <v>0</v>
      </c>
      <c r="X108" s="1">
        <f t="shared" si="18"/>
        <v>0</v>
      </c>
      <c r="Y108" s="1">
        <f t="shared" si="18"/>
        <v>0</v>
      </c>
      <c r="Z108" s="1">
        <f t="shared" si="18"/>
        <v>0</v>
      </c>
      <c r="AA108" s="1">
        <f t="shared" si="18"/>
        <v>0</v>
      </c>
      <c r="AB108" s="1">
        <f t="shared" si="18"/>
        <v>0</v>
      </c>
      <c r="AC108" s="1">
        <f t="shared" si="18"/>
        <v>0</v>
      </c>
      <c r="AD108" s="1">
        <f t="shared" si="18"/>
        <v>0</v>
      </c>
      <c r="AE108" s="1">
        <f t="shared" si="18"/>
        <v>0</v>
      </c>
      <c r="AF108" s="1">
        <f t="shared" si="18"/>
        <v>0</v>
      </c>
      <c r="AG108" s="1">
        <f t="shared" si="18"/>
        <v>0</v>
      </c>
      <c r="AH108" s="1">
        <f t="shared" si="18"/>
        <v>0</v>
      </c>
      <c r="AI108" s="1">
        <f t="shared" si="18"/>
        <v>0</v>
      </c>
      <c r="AJ108" s="1">
        <f t="shared" si="18"/>
        <v>0</v>
      </c>
      <c r="AK108" s="1">
        <f t="shared" si="18"/>
        <v>0</v>
      </c>
      <c r="AL108" s="1">
        <f t="shared" si="18"/>
        <v>0</v>
      </c>
      <c r="AM108" s="1">
        <f t="shared" si="18"/>
        <v>0</v>
      </c>
      <c r="AN108" s="1">
        <f t="shared" si="18"/>
        <v>0</v>
      </c>
      <c r="AO108" s="1">
        <f t="shared" si="18"/>
        <v>0</v>
      </c>
      <c r="AP108" s="1">
        <f t="shared" si="18"/>
        <v>0</v>
      </c>
      <c r="AQ108" s="1">
        <f t="shared" si="18"/>
        <v>0</v>
      </c>
      <c r="AR108" s="1">
        <f t="shared" si="18"/>
        <v>0</v>
      </c>
      <c r="AS108" s="1">
        <f t="shared" si="18"/>
        <v>0</v>
      </c>
      <c r="AT108" s="1">
        <f t="shared" si="18"/>
        <v>0</v>
      </c>
      <c r="AU108" s="1">
        <f t="shared" si="18"/>
        <v>0</v>
      </c>
      <c r="AV108" s="1">
        <f t="shared" si="18"/>
        <v>0</v>
      </c>
      <c r="AW108" s="1">
        <f t="shared" si="18"/>
        <v>0</v>
      </c>
      <c r="AX108" s="1">
        <f t="shared" si="18"/>
        <v>0</v>
      </c>
    </row>
    <row r="109" spans="1:50" ht="15" customHeight="1">
      <c r="A109" s="145"/>
      <c r="B109" s="93"/>
      <c r="C109" s="93"/>
      <c r="D109" s="90"/>
      <c r="E109" s="1" t="s">
        <v>340</v>
      </c>
      <c r="F109" s="1"/>
      <c r="G109" s="11" t="s">
        <v>77</v>
      </c>
      <c r="I109" s="140"/>
      <c r="J109" s="140"/>
      <c r="K109" s="1">
        <f t="shared" ref="K109:AX109" si="19">($I$68*$I$79+$I$69*$I$80+$I$71*$I$81+$I$72*$I$82+$I$74*$I$83)*K14</f>
        <v>0</v>
      </c>
      <c r="L109" s="1">
        <f>($I$68*$I$79+$I$69*$I$80+$I$71*$I$81+$I$72*$I$82+$I$74*$I$83)*L14</f>
        <v>1.9099999999999997</v>
      </c>
      <c r="M109" s="1">
        <f t="shared" si="19"/>
        <v>0</v>
      </c>
      <c r="N109" s="1">
        <f t="shared" si="19"/>
        <v>0</v>
      </c>
      <c r="O109" s="1">
        <f t="shared" si="19"/>
        <v>0</v>
      </c>
      <c r="P109" s="1">
        <f t="shared" si="19"/>
        <v>0</v>
      </c>
      <c r="Q109" s="1">
        <f t="shared" si="19"/>
        <v>0</v>
      </c>
      <c r="R109" s="1">
        <f t="shared" si="19"/>
        <v>0</v>
      </c>
      <c r="S109" s="1">
        <f t="shared" si="19"/>
        <v>0</v>
      </c>
      <c r="T109" s="1">
        <f t="shared" si="19"/>
        <v>0</v>
      </c>
      <c r="U109" s="1">
        <f t="shared" si="19"/>
        <v>0</v>
      </c>
      <c r="V109" s="1">
        <f t="shared" si="19"/>
        <v>0</v>
      </c>
      <c r="W109" s="1">
        <f t="shared" si="19"/>
        <v>0</v>
      </c>
      <c r="X109" s="1">
        <f t="shared" si="19"/>
        <v>0</v>
      </c>
      <c r="Y109" s="1">
        <f t="shared" si="19"/>
        <v>0</v>
      </c>
      <c r="Z109" s="1">
        <f t="shared" si="19"/>
        <v>0</v>
      </c>
      <c r="AA109" s="1">
        <f t="shared" si="19"/>
        <v>0</v>
      </c>
      <c r="AB109" s="1">
        <f t="shared" si="19"/>
        <v>0</v>
      </c>
      <c r="AC109" s="1">
        <f t="shared" si="19"/>
        <v>0</v>
      </c>
      <c r="AD109" s="1">
        <f t="shared" si="19"/>
        <v>0</v>
      </c>
      <c r="AE109" s="1">
        <f t="shared" si="19"/>
        <v>0</v>
      </c>
      <c r="AF109" s="1">
        <f t="shared" si="19"/>
        <v>0</v>
      </c>
      <c r="AG109" s="1">
        <f t="shared" si="19"/>
        <v>0</v>
      </c>
      <c r="AH109" s="1">
        <f t="shared" si="19"/>
        <v>0</v>
      </c>
      <c r="AI109" s="1">
        <f t="shared" si="19"/>
        <v>0</v>
      </c>
      <c r="AJ109" s="1">
        <f t="shared" si="19"/>
        <v>0</v>
      </c>
      <c r="AK109" s="1">
        <f t="shared" si="19"/>
        <v>0</v>
      </c>
      <c r="AL109" s="1">
        <f t="shared" si="19"/>
        <v>0</v>
      </c>
      <c r="AM109" s="1">
        <f t="shared" si="19"/>
        <v>0</v>
      </c>
      <c r="AN109" s="1">
        <f t="shared" si="19"/>
        <v>0</v>
      </c>
      <c r="AO109" s="1">
        <f t="shared" si="19"/>
        <v>0</v>
      </c>
      <c r="AP109" s="1">
        <f t="shared" si="19"/>
        <v>0</v>
      </c>
      <c r="AQ109" s="1">
        <f t="shared" si="19"/>
        <v>0</v>
      </c>
      <c r="AR109" s="1">
        <f t="shared" si="19"/>
        <v>0</v>
      </c>
      <c r="AS109" s="1">
        <f t="shared" si="19"/>
        <v>0</v>
      </c>
      <c r="AT109" s="1">
        <f t="shared" si="19"/>
        <v>0</v>
      </c>
      <c r="AU109" s="1">
        <f t="shared" si="19"/>
        <v>0</v>
      </c>
      <c r="AV109" s="1">
        <f t="shared" si="19"/>
        <v>0</v>
      </c>
      <c r="AW109" s="1">
        <f t="shared" si="19"/>
        <v>0</v>
      </c>
      <c r="AX109" s="1">
        <f t="shared" si="19"/>
        <v>0</v>
      </c>
    </row>
    <row r="110" spans="1:50" ht="15" customHeight="1">
      <c r="A110" s="145"/>
      <c r="B110" s="93"/>
      <c r="C110" s="93"/>
      <c r="D110" s="90"/>
      <c r="E110" s="1" t="s">
        <v>341</v>
      </c>
      <c r="F110" s="1"/>
      <c r="G110" s="11" t="s">
        <v>77</v>
      </c>
      <c r="I110" s="140"/>
      <c r="J110" s="140"/>
      <c r="K110" s="1">
        <f t="shared" ref="K110:AX110" si="20">SUM(K63:K64)*K94*K15</f>
        <v>0</v>
      </c>
      <c r="L110" s="1">
        <f>SUM(L63:L64)*L94*L15</f>
        <v>7.2499999999999991</v>
      </c>
      <c r="M110" s="1">
        <f t="shared" si="20"/>
        <v>15.95</v>
      </c>
      <c r="N110" s="1">
        <f t="shared" si="20"/>
        <v>24.65</v>
      </c>
      <c r="O110" s="1">
        <f t="shared" si="20"/>
        <v>28.999999999999996</v>
      </c>
      <c r="P110" s="1">
        <f t="shared" si="20"/>
        <v>28.999999999999996</v>
      </c>
      <c r="Q110" s="1">
        <f t="shared" si="20"/>
        <v>0</v>
      </c>
      <c r="R110" s="1">
        <f t="shared" si="20"/>
        <v>0</v>
      </c>
      <c r="S110" s="1">
        <f t="shared" si="20"/>
        <v>0</v>
      </c>
      <c r="T110" s="1">
        <f t="shared" si="20"/>
        <v>0</v>
      </c>
      <c r="U110" s="1">
        <f t="shared" si="20"/>
        <v>0</v>
      </c>
      <c r="V110" s="1">
        <f t="shared" si="20"/>
        <v>0</v>
      </c>
      <c r="W110" s="1">
        <f t="shared" si="20"/>
        <v>0</v>
      </c>
      <c r="X110" s="1">
        <f t="shared" si="20"/>
        <v>0</v>
      </c>
      <c r="Y110" s="1">
        <f t="shared" si="20"/>
        <v>0</v>
      </c>
      <c r="Z110" s="1">
        <f t="shared" si="20"/>
        <v>0</v>
      </c>
      <c r="AA110" s="1">
        <f t="shared" si="20"/>
        <v>0</v>
      </c>
      <c r="AB110" s="1">
        <f t="shared" si="20"/>
        <v>0</v>
      </c>
      <c r="AC110" s="1">
        <f t="shared" si="20"/>
        <v>0</v>
      </c>
      <c r="AD110" s="1">
        <f t="shared" si="20"/>
        <v>0</v>
      </c>
      <c r="AE110" s="1">
        <f t="shared" si="20"/>
        <v>0</v>
      </c>
      <c r="AF110" s="1">
        <f t="shared" si="20"/>
        <v>0</v>
      </c>
      <c r="AG110" s="1">
        <f t="shared" si="20"/>
        <v>0</v>
      </c>
      <c r="AH110" s="1">
        <f t="shared" si="20"/>
        <v>0</v>
      </c>
      <c r="AI110" s="1">
        <f t="shared" si="20"/>
        <v>0</v>
      </c>
      <c r="AJ110" s="1">
        <f t="shared" si="20"/>
        <v>0</v>
      </c>
      <c r="AK110" s="1">
        <f t="shared" si="20"/>
        <v>0</v>
      </c>
      <c r="AL110" s="1">
        <f t="shared" si="20"/>
        <v>0</v>
      </c>
      <c r="AM110" s="1">
        <f t="shared" si="20"/>
        <v>0</v>
      </c>
      <c r="AN110" s="1">
        <f t="shared" si="20"/>
        <v>0</v>
      </c>
      <c r="AO110" s="1">
        <f t="shared" si="20"/>
        <v>0</v>
      </c>
      <c r="AP110" s="1">
        <f t="shared" si="20"/>
        <v>0</v>
      </c>
      <c r="AQ110" s="1">
        <f t="shared" si="20"/>
        <v>0</v>
      </c>
      <c r="AR110" s="1">
        <f t="shared" si="20"/>
        <v>0</v>
      </c>
      <c r="AS110" s="1">
        <f t="shared" si="20"/>
        <v>0</v>
      </c>
      <c r="AT110" s="1">
        <f t="shared" si="20"/>
        <v>0</v>
      </c>
      <c r="AU110" s="1">
        <f t="shared" si="20"/>
        <v>0</v>
      </c>
      <c r="AV110" s="1">
        <f t="shared" si="20"/>
        <v>0</v>
      </c>
      <c r="AW110" s="1">
        <f t="shared" si="20"/>
        <v>0</v>
      </c>
      <c r="AX110" s="1">
        <f t="shared" si="20"/>
        <v>0</v>
      </c>
    </row>
    <row r="111" spans="1:50" ht="15" customHeight="1">
      <c r="A111" s="145"/>
      <c r="B111" s="93"/>
      <c r="C111" s="93"/>
      <c r="D111" s="90"/>
      <c r="E111" s="1" t="s">
        <v>342</v>
      </c>
      <c r="F111" s="1"/>
      <c r="G111" s="11" t="s">
        <v>77</v>
      </c>
      <c r="I111" s="140"/>
      <c r="J111" s="140"/>
      <c r="K111" s="1">
        <f t="shared" ref="K111:AX111" si="21">$I$73*K98*K15</f>
        <v>0</v>
      </c>
      <c r="L111" s="1">
        <f>$I$73*L98*L15</f>
        <v>0.255</v>
      </c>
      <c r="M111" s="1">
        <f t="shared" si="21"/>
        <v>0.255</v>
      </c>
      <c r="N111" s="1">
        <f t="shared" si="21"/>
        <v>0.255</v>
      </c>
      <c r="O111" s="1">
        <f t="shared" si="21"/>
        <v>0.255</v>
      </c>
      <c r="P111" s="1">
        <f t="shared" si="21"/>
        <v>0.255</v>
      </c>
      <c r="Q111" s="1">
        <f t="shared" si="21"/>
        <v>0</v>
      </c>
      <c r="R111" s="1">
        <f t="shared" si="21"/>
        <v>0</v>
      </c>
      <c r="S111" s="1">
        <f t="shared" si="21"/>
        <v>0</v>
      </c>
      <c r="T111" s="1">
        <f t="shared" si="21"/>
        <v>0</v>
      </c>
      <c r="U111" s="1">
        <f t="shared" si="21"/>
        <v>0</v>
      </c>
      <c r="V111" s="1">
        <f t="shared" si="21"/>
        <v>0</v>
      </c>
      <c r="W111" s="1">
        <f t="shared" si="21"/>
        <v>0</v>
      </c>
      <c r="X111" s="1">
        <f t="shared" si="21"/>
        <v>0</v>
      </c>
      <c r="Y111" s="1">
        <f t="shared" si="21"/>
        <v>0</v>
      </c>
      <c r="Z111" s="1">
        <f t="shared" si="21"/>
        <v>0</v>
      </c>
      <c r="AA111" s="1">
        <f t="shared" si="21"/>
        <v>0</v>
      </c>
      <c r="AB111" s="1">
        <f t="shared" si="21"/>
        <v>0</v>
      </c>
      <c r="AC111" s="1">
        <f t="shared" si="21"/>
        <v>0</v>
      </c>
      <c r="AD111" s="1">
        <f t="shared" si="21"/>
        <v>0</v>
      </c>
      <c r="AE111" s="1">
        <f t="shared" si="21"/>
        <v>0</v>
      </c>
      <c r="AF111" s="1">
        <f t="shared" si="21"/>
        <v>0</v>
      </c>
      <c r="AG111" s="1">
        <f t="shared" si="21"/>
        <v>0</v>
      </c>
      <c r="AH111" s="1">
        <f t="shared" si="21"/>
        <v>0</v>
      </c>
      <c r="AI111" s="1">
        <f t="shared" si="21"/>
        <v>0</v>
      </c>
      <c r="AJ111" s="1">
        <f t="shared" si="21"/>
        <v>0</v>
      </c>
      <c r="AK111" s="1">
        <f t="shared" si="21"/>
        <v>0</v>
      </c>
      <c r="AL111" s="1">
        <f t="shared" si="21"/>
        <v>0</v>
      </c>
      <c r="AM111" s="1">
        <f t="shared" si="21"/>
        <v>0</v>
      </c>
      <c r="AN111" s="1">
        <f t="shared" si="21"/>
        <v>0</v>
      </c>
      <c r="AO111" s="1">
        <f t="shared" si="21"/>
        <v>0</v>
      </c>
      <c r="AP111" s="1">
        <f t="shared" si="21"/>
        <v>0</v>
      </c>
      <c r="AQ111" s="1">
        <f t="shared" si="21"/>
        <v>0</v>
      </c>
      <c r="AR111" s="1">
        <f t="shared" si="21"/>
        <v>0</v>
      </c>
      <c r="AS111" s="1">
        <f t="shared" si="21"/>
        <v>0</v>
      </c>
      <c r="AT111" s="1">
        <f t="shared" si="21"/>
        <v>0</v>
      </c>
      <c r="AU111" s="1">
        <f t="shared" si="21"/>
        <v>0</v>
      </c>
      <c r="AV111" s="1">
        <f t="shared" si="21"/>
        <v>0</v>
      </c>
      <c r="AW111" s="1">
        <f t="shared" si="21"/>
        <v>0</v>
      </c>
      <c r="AX111" s="1">
        <f t="shared" si="21"/>
        <v>0</v>
      </c>
    </row>
    <row r="112" spans="1:50" ht="15" customHeight="1">
      <c r="A112" s="145"/>
      <c r="B112" s="93"/>
      <c r="C112" s="93"/>
      <c r="D112" s="90"/>
      <c r="E112" s="1" t="s">
        <v>343</v>
      </c>
      <c r="F112" s="1"/>
      <c r="G112" s="11" t="s">
        <v>77</v>
      </c>
      <c r="I112" s="140"/>
      <c r="J112" s="140"/>
      <c r="K112" s="1">
        <f t="shared" ref="K112:AX112" si="22">($I$58-SUM(K63:K64))*(K94-$I$85-$I$87)*$I$101*K15</f>
        <v>0</v>
      </c>
      <c r="L112" s="1">
        <f t="shared" si="22"/>
        <v>2.0999999999999988</v>
      </c>
      <c r="M112" s="1">
        <f t="shared" si="22"/>
        <v>1.2599999999999993</v>
      </c>
      <c r="N112" s="1">
        <f t="shared" si="22"/>
        <v>0.41999999999999982</v>
      </c>
      <c r="O112" s="1">
        <f t="shared" si="22"/>
        <v>0</v>
      </c>
      <c r="P112" s="1">
        <f t="shared" si="22"/>
        <v>0</v>
      </c>
      <c r="Q112" s="1">
        <f t="shared" si="22"/>
        <v>0</v>
      </c>
      <c r="R112" s="1">
        <f t="shared" si="22"/>
        <v>0</v>
      </c>
      <c r="S112" s="1">
        <f t="shared" si="22"/>
        <v>0</v>
      </c>
      <c r="T112" s="1">
        <f t="shared" si="22"/>
        <v>0</v>
      </c>
      <c r="U112" s="1">
        <f t="shared" si="22"/>
        <v>0</v>
      </c>
      <c r="V112" s="1">
        <f t="shared" si="22"/>
        <v>0</v>
      </c>
      <c r="W112" s="1">
        <f t="shared" si="22"/>
        <v>0</v>
      </c>
      <c r="X112" s="1">
        <f t="shared" si="22"/>
        <v>0</v>
      </c>
      <c r="Y112" s="1">
        <f t="shared" si="22"/>
        <v>0</v>
      </c>
      <c r="Z112" s="1">
        <f t="shared" si="22"/>
        <v>0</v>
      </c>
      <c r="AA112" s="1">
        <f t="shared" si="22"/>
        <v>0</v>
      </c>
      <c r="AB112" s="1">
        <f t="shared" si="22"/>
        <v>0</v>
      </c>
      <c r="AC112" s="1">
        <f t="shared" si="22"/>
        <v>0</v>
      </c>
      <c r="AD112" s="1">
        <f t="shared" si="22"/>
        <v>0</v>
      </c>
      <c r="AE112" s="1">
        <f t="shared" si="22"/>
        <v>0</v>
      </c>
      <c r="AF112" s="1">
        <f t="shared" si="22"/>
        <v>0</v>
      </c>
      <c r="AG112" s="1">
        <f t="shared" si="22"/>
        <v>0</v>
      </c>
      <c r="AH112" s="1">
        <f t="shared" si="22"/>
        <v>0</v>
      </c>
      <c r="AI112" s="1">
        <f t="shared" si="22"/>
        <v>0</v>
      </c>
      <c r="AJ112" s="1">
        <f t="shared" si="22"/>
        <v>0</v>
      </c>
      <c r="AK112" s="1">
        <f t="shared" si="22"/>
        <v>0</v>
      </c>
      <c r="AL112" s="1">
        <f t="shared" si="22"/>
        <v>0</v>
      </c>
      <c r="AM112" s="1">
        <f t="shared" si="22"/>
        <v>0</v>
      </c>
      <c r="AN112" s="1">
        <f t="shared" si="22"/>
        <v>0</v>
      </c>
      <c r="AO112" s="1">
        <f t="shared" si="22"/>
        <v>0</v>
      </c>
      <c r="AP112" s="1">
        <f t="shared" si="22"/>
        <v>0</v>
      </c>
      <c r="AQ112" s="1">
        <f t="shared" si="22"/>
        <v>0</v>
      </c>
      <c r="AR112" s="1">
        <f t="shared" si="22"/>
        <v>0</v>
      </c>
      <c r="AS112" s="1">
        <f t="shared" si="22"/>
        <v>0</v>
      </c>
      <c r="AT112" s="1">
        <f t="shared" si="22"/>
        <v>0</v>
      </c>
      <c r="AU112" s="1">
        <f t="shared" si="22"/>
        <v>0</v>
      </c>
      <c r="AV112" s="1">
        <f t="shared" si="22"/>
        <v>0</v>
      </c>
      <c r="AW112" s="1">
        <f t="shared" si="22"/>
        <v>0</v>
      </c>
      <c r="AX112" s="1">
        <f t="shared" si="22"/>
        <v>0</v>
      </c>
    </row>
    <row r="113" spans="1:50" ht="15" customHeight="1">
      <c r="A113" s="145"/>
      <c r="B113" s="93"/>
      <c r="C113" s="93"/>
      <c r="D113" s="90"/>
      <c r="E113" s="1" t="s">
        <v>344</v>
      </c>
      <c r="F113" s="1"/>
      <c r="G113" s="11" t="s">
        <v>77</v>
      </c>
      <c r="I113" s="140"/>
      <c r="J113" s="140"/>
      <c r="K113" s="1">
        <f t="shared" ref="K113:AX113" si="23">($I$68*(K95-$I$85)*$I$102+$I$69*(K96-$I$85)*$I$103+$I$71*(K97-$I$85)*$I$104+($I$72-$I$73)*(K98-$I$85)*$I$105+$I$74*(K99-$I$85)*$I$106)*K15</f>
        <v>0</v>
      </c>
      <c r="L113" s="1">
        <f t="shared" si="23"/>
        <v>0.75004999999999966</v>
      </c>
      <c r="M113" s="1">
        <f t="shared" si="23"/>
        <v>0.75004999999999966</v>
      </c>
      <c r="N113" s="1">
        <f t="shared" si="23"/>
        <v>0.75004999999999966</v>
      </c>
      <c r="O113" s="1">
        <f t="shared" si="23"/>
        <v>0.75004999999999966</v>
      </c>
      <c r="P113" s="1">
        <f t="shared" si="23"/>
        <v>0.75004999999999966</v>
      </c>
      <c r="Q113" s="1">
        <f t="shared" si="23"/>
        <v>0</v>
      </c>
      <c r="R113" s="1">
        <f t="shared" si="23"/>
        <v>0</v>
      </c>
      <c r="S113" s="1">
        <f t="shared" si="23"/>
        <v>0</v>
      </c>
      <c r="T113" s="1">
        <f t="shared" si="23"/>
        <v>0</v>
      </c>
      <c r="U113" s="1">
        <f t="shared" si="23"/>
        <v>0</v>
      </c>
      <c r="V113" s="1">
        <f t="shared" si="23"/>
        <v>0</v>
      </c>
      <c r="W113" s="1">
        <f t="shared" si="23"/>
        <v>0</v>
      </c>
      <c r="X113" s="1">
        <f t="shared" si="23"/>
        <v>0</v>
      </c>
      <c r="Y113" s="1">
        <f t="shared" si="23"/>
        <v>0</v>
      </c>
      <c r="Z113" s="1">
        <f t="shared" si="23"/>
        <v>0</v>
      </c>
      <c r="AA113" s="1">
        <f t="shared" si="23"/>
        <v>0</v>
      </c>
      <c r="AB113" s="1">
        <f t="shared" si="23"/>
        <v>0</v>
      </c>
      <c r="AC113" s="1">
        <f t="shared" si="23"/>
        <v>0</v>
      </c>
      <c r="AD113" s="1">
        <f t="shared" si="23"/>
        <v>0</v>
      </c>
      <c r="AE113" s="1">
        <f t="shared" si="23"/>
        <v>0</v>
      </c>
      <c r="AF113" s="1">
        <f t="shared" si="23"/>
        <v>0</v>
      </c>
      <c r="AG113" s="1">
        <f t="shared" si="23"/>
        <v>0</v>
      </c>
      <c r="AH113" s="1">
        <f t="shared" si="23"/>
        <v>0</v>
      </c>
      <c r="AI113" s="1">
        <f t="shared" si="23"/>
        <v>0</v>
      </c>
      <c r="AJ113" s="1">
        <f t="shared" si="23"/>
        <v>0</v>
      </c>
      <c r="AK113" s="1">
        <f t="shared" si="23"/>
        <v>0</v>
      </c>
      <c r="AL113" s="1">
        <f t="shared" si="23"/>
        <v>0</v>
      </c>
      <c r="AM113" s="1">
        <f t="shared" si="23"/>
        <v>0</v>
      </c>
      <c r="AN113" s="1">
        <f t="shared" si="23"/>
        <v>0</v>
      </c>
      <c r="AO113" s="1">
        <f t="shared" si="23"/>
        <v>0</v>
      </c>
      <c r="AP113" s="1">
        <f t="shared" si="23"/>
        <v>0</v>
      </c>
      <c r="AQ113" s="1">
        <f t="shared" si="23"/>
        <v>0</v>
      </c>
      <c r="AR113" s="1">
        <f t="shared" si="23"/>
        <v>0</v>
      </c>
      <c r="AS113" s="1">
        <f t="shared" si="23"/>
        <v>0</v>
      </c>
      <c r="AT113" s="1">
        <f t="shared" si="23"/>
        <v>0</v>
      </c>
      <c r="AU113" s="1">
        <f t="shared" si="23"/>
        <v>0</v>
      </c>
      <c r="AV113" s="1">
        <f t="shared" si="23"/>
        <v>0</v>
      </c>
      <c r="AW113" s="1">
        <f t="shared" si="23"/>
        <v>0</v>
      </c>
      <c r="AX113" s="1">
        <f t="shared" si="23"/>
        <v>0</v>
      </c>
    </row>
    <row r="114" spans="1:50" ht="15" customHeight="1">
      <c r="A114" s="92"/>
      <c r="B114" s="1"/>
      <c r="C114" s="1"/>
      <c r="D114" s="1"/>
      <c r="E114" s="77" t="s">
        <v>278</v>
      </c>
      <c r="F114" s="1"/>
      <c r="G114" s="11" t="s">
        <v>77</v>
      </c>
      <c r="H114" s="1"/>
      <c r="I114" s="80"/>
      <c r="J114" s="80"/>
      <c r="K114" s="142">
        <f>SUM(K108:K113)</f>
        <v>0</v>
      </c>
      <c r="L114" s="142">
        <f t="shared" ref="L114:AX114" si="24">SUM(L108:L113)</f>
        <v>19.765049999999995</v>
      </c>
      <c r="M114" s="142">
        <f t="shared" si="24"/>
        <v>18.215049999999994</v>
      </c>
      <c r="N114" s="142">
        <f t="shared" si="24"/>
        <v>26.075049999999994</v>
      </c>
      <c r="O114" s="142">
        <f t="shared" si="24"/>
        <v>30.005049999999994</v>
      </c>
      <c r="P114" s="142">
        <f t="shared" si="24"/>
        <v>30.005049999999994</v>
      </c>
      <c r="Q114" s="142">
        <f t="shared" si="24"/>
        <v>0</v>
      </c>
      <c r="R114" s="142">
        <f t="shared" si="24"/>
        <v>0</v>
      </c>
      <c r="S114" s="142">
        <f t="shared" si="24"/>
        <v>0</v>
      </c>
      <c r="T114" s="142">
        <f t="shared" si="24"/>
        <v>0</v>
      </c>
      <c r="U114" s="142">
        <f t="shared" si="24"/>
        <v>0</v>
      </c>
      <c r="V114" s="142">
        <f t="shared" si="24"/>
        <v>0</v>
      </c>
      <c r="W114" s="142">
        <f t="shared" si="24"/>
        <v>0</v>
      </c>
      <c r="X114" s="142">
        <f t="shared" si="24"/>
        <v>0</v>
      </c>
      <c r="Y114" s="142">
        <f t="shared" si="24"/>
        <v>0</v>
      </c>
      <c r="Z114" s="142">
        <f t="shared" si="24"/>
        <v>0</v>
      </c>
      <c r="AA114" s="142">
        <f t="shared" si="24"/>
        <v>0</v>
      </c>
      <c r="AB114" s="142">
        <f t="shared" si="24"/>
        <v>0</v>
      </c>
      <c r="AC114" s="142">
        <f t="shared" si="24"/>
        <v>0</v>
      </c>
      <c r="AD114" s="142">
        <f t="shared" si="24"/>
        <v>0</v>
      </c>
      <c r="AE114" s="142">
        <f t="shared" si="24"/>
        <v>0</v>
      </c>
      <c r="AF114" s="142">
        <f t="shared" si="24"/>
        <v>0</v>
      </c>
      <c r="AG114" s="142">
        <f t="shared" si="24"/>
        <v>0</v>
      </c>
      <c r="AH114" s="142">
        <f t="shared" si="24"/>
        <v>0</v>
      </c>
      <c r="AI114" s="142">
        <f t="shared" si="24"/>
        <v>0</v>
      </c>
      <c r="AJ114" s="142">
        <f t="shared" si="24"/>
        <v>0</v>
      </c>
      <c r="AK114" s="142">
        <f t="shared" si="24"/>
        <v>0</v>
      </c>
      <c r="AL114" s="142">
        <f t="shared" si="24"/>
        <v>0</v>
      </c>
      <c r="AM114" s="142">
        <f t="shared" si="24"/>
        <v>0</v>
      </c>
      <c r="AN114" s="142">
        <f t="shared" si="24"/>
        <v>0</v>
      </c>
      <c r="AO114" s="142">
        <f t="shared" si="24"/>
        <v>0</v>
      </c>
      <c r="AP114" s="142">
        <f t="shared" si="24"/>
        <v>0</v>
      </c>
      <c r="AQ114" s="142">
        <f t="shared" si="24"/>
        <v>0</v>
      </c>
      <c r="AR114" s="142">
        <f t="shared" si="24"/>
        <v>0</v>
      </c>
      <c r="AS114" s="142">
        <f t="shared" si="24"/>
        <v>0</v>
      </c>
      <c r="AT114" s="142">
        <f t="shared" si="24"/>
        <v>0</v>
      </c>
      <c r="AU114" s="142">
        <f t="shared" si="24"/>
        <v>0</v>
      </c>
      <c r="AV114" s="142">
        <f t="shared" si="24"/>
        <v>0</v>
      </c>
      <c r="AW114" s="142">
        <f t="shared" si="24"/>
        <v>0</v>
      </c>
      <c r="AX114" s="142">
        <f t="shared" si="24"/>
        <v>0</v>
      </c>
    </row>
    <row r="115" spans="1:50" ht="15" customHeight="1">
      <c r="A115" s="23"/>
      <c r="B115" s="1"/>
      <c r="C115" s="1"/>
      <c r="D115" s="1"/>
      <c r="E115" s="1"/>
      <c r="F115" s="1"/>
      <c r="G115" s="1"/>
      <c r="H115" s="1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1"/>
      <c r="T115" s="1"/>
      <c r="U115" s="1"/>
      <c r="V115" s="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1"/>
      <c r="AU115" s="81"/>
      <c r="AV115" s="81"/>
      <c r="AW115" s="81"/>
      <c r="AX115" s="81"/>
    </row>
    <row r="116" spans="1:50" ht="15" customHeight="1">
      <c r="A116" s="23"/>
      <c r="B116" s="1"/>
      <c r="C116" s="56" t="s">
        <v>345</v>
      </c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</row>
    <row r="117" spans="1:50" ht="15" customHeight="1">
      <c r="A117" s="145"/>
      <c r="B117" s="93"/>
      <c r="C117" s="93"/>
      <c r="D117" s="90"/>
      <c r="I117" s="140"/>
      <c r="J117" s="140"/>
      <c r="K117" s="140"/>
      <c r="L117" s="140"/>
      <c r="M117" s="140"/>
      <c r="N117" s="140"/>
      <c r="O117" s="140"/>
      <c r="P117" s="140"/>
      <c r="Q117" s="140"/>
      <c r="R117" s="140"/>
      <c r="S117" s="140"/>
      <c r="T117" s="140"/>
      <c r="U117" s="140"/>
      <c r="V117" s="140"/>
      <c r="W117" s="140"/>
      <c r="X117" s="140"/>
      <c r="Y117" s="140"/>
      <c r="Z117" s="140"/>
      <c r="AA117" s="140"/>
      <c r="AB117" s="140"/>
      <c r="AC117" s="140"/>
      <c r="AD117" s="140"/>
      <c r="AE117" s="140"/>
      <c r="AF117" s="140"/>
      <c r="AG117" s="140"/>
      <c r="AH117" s="140"/>
      <c r="AI117" s="140"/>
      <c r="AJ117" s="140"/>
      <c r="AK117" s="140"/>
      <c r="AL117" s="140"/>
      <c r="AM117" s="140"/>
      <c r="AN117" s="140"/>
      <c r="AO117" s="140"/>
      <c r="AP117" s="140"/>
      <c r="AQ117" s="140"/>
      <c r="AR117" s="140"/>
      <c r="AS117" s="140"/>
      <c r="AT117" s="140"/>
      <c r="AU117" s="140"/>
      <c r="AV117" s="140"/>
      <c r="AW117" s="140"/>
      <c r="AX117" s="140"/>
    </row>
    <row r="118" spans="1:50" ht="15" customHeight="1">
      <c r="A118" s="145"/>
      <c r="B118" s="93"/>
      <c r="C118" s="93"/>
      <c r="D118" s="90"/>
      <c r="E118" s="11" t="s">
        <v>161</v>
      </c>
      <c r="G118" s="1" t="s">
        <v>160</v>
      </c>
      <c r="I118" s="141">
        <f>Inputs!I71</f>
        <v>0.04</v>
      </c>
      <c r="J118" s="140"/>
      <c r="K118" s="140"/>
      <c r="L118" s="140"/>
      <c r="M118" s="140"/>
      <c r="N118" s="140"/>
      <c r="O118" s="140"/>
      <c r="P118" s="140"/>
      <c r="Q118" s="140"/>
      <c r="R118" s="140"/>
      <c r="S118" s="140"/>
      <c r="T118" s="140"/>
      <c r="U118" s="140"/>
      <c r="V118" s="140"/>
      <c r="W118" s="140"/>
      <c r="X118" s="140"/>
      <c r="Y118" s="140"/>
      <c r="Z118" s="140"/>
      <c r="AA118" s="140"/>
      <c r="AB118" s="140"/>
      <c r="AC118" s="140"/>
      <c r="AD118" s="140"/>
      <c r="AE118" s="140"/>
      <c r="AF118" s="140"/>
      <c r="AG118" s="140"/>
      <c r="AH118" s="140"/>
      <c r="AI118" s="140"/>
      <c r="AJ118" s="140"/>
      <c r="AK118" s="140"/>
      <c r="AL118" s="140"/>
      <c r="AM118" s="140"/>
      <c r="AN118" s="140"/>
      <c r="AO118" s="140"/>
      <c r="AP118" s="140"/>
      <c r="AQ118" s="140"/>
      <c r="AR118" s="140"/>
      <c r="AS118" s="140"/>
      <c r="AT118" s="140"/>
      <c r="AU118" s="140"/>
      <c r="AV118" s="140"/>
      <c r="AW118" s="140"/>
      <c r="AX118" s="140"/>
    </row>
    <row r="119" spans="1:50" ht="15" customHeight="1">
      <c r="A119" s="145"/>
      <c r="B119" s="93"/>
      <c r="C119" s="93"/>
      <c r="D119" s="90"/>
      <c r="E119" s="11" t="s">
        <v>346</v>
      </c>
      <c r="G119" s="1" t="s">
        <v>160</v>
      </c>
      <c r="I119" s="140"/>
      <c r="J119" s="140"/>
      <c r="K119" s="146">
        <f>SUMIF(Inputs!$114:$114,Finance!K$16,Inputs!117:117)</f>
        <v>4.8000000000000001E-2</v>
      </c>
      <c r="L119" s="146">
        <f>SUMIF(Inputs!$114:$114,Finance!L$16,Inputs!117:117)</f>
        <v>4.8000000000000001E-2</v>
      </c>
      <c r="M119" s="146">
        <f>SUMIF(Inputs!$114:$114,Finance!M$16,Inputs!117:117)</f>
        <v>4.8000000000000001E-2</v>
      </c>
      <c r="N119" s="146">
        <f>SUMIF(Inputs!$114:$114,Finance!N$16,Inputs!117:117)</f>
        <v>4.8000000000000001E-2</v>
      </c>
      <c r="O119" s="146">
        <f>SUMIF(Inputs!$114:$114,Finance!O$16,Inputs!117:117)</f>
        <v>4.8000000000000001E-2</v>
      </c>
      <c r="P119" s="146">
        <f>SUMIF(Inputs!$114:$114,Finance!P$16,Inputs!117:117)</f>
        <v>4.8000000000000001E-2</v>
      </c>
      <c r="Q119" s="146">
        <f>SUMIF(Inputs!$114:$114,Finance!Q$16,Inputs!117:117)</f>
        <v>2.4E-2</v>
      </c>
      <c r="R119" s="146">
        <f>SUMIF(Inputs!$114:$114,Finance!R$16,Inputs!117:117)</f>
        <v>2.4E-2</v>
      </c>
      <c r="S119" s="146">
        <f>SUMIF(Inputs!$114:$114,Finance!S$16,Inputs!117:117)</f>
        <v>2.4E-2</v>
      </c>
      <c r="T119" s="146">
        <f>SUMIF(Inputs!$114:$114,Finance!T$16,Inputs!117:117)</f>
        <v>2.4E-2</v>
      </c>
      <c r="U119" s="146">
        <f>SUMIF(Inputs!$114:$114,Finance!U$16,Inputs!117:117)</f>
        <v>2.4E-2</v>
      </c>
      <c r="V119" s="146">
        <f>SUMIF(Inputs!$114:$114,Finance!V$16,Inputs!117:117)</f>
        <v>2.4E-2</v>
      </c>
      <c r="W119" s="146">
        <f>SUMIF(Inputs!$114:$114,Finance!W$16,Inputs!117:117)</f>
        <v>2.4E-2</v>
      </c>
      <c r="X119" s="146">
        <f>SUMIF(Inputs!$114:$114,Finance!X$16,Inputs!117:117)</f>
        <v>2.4E-2</v>
      </c>
      <c r="Y119" s="146">
        <f>SUMIF(Inputs!$114:$114,Finance!Y$16,Inputs!117:117)</f>
        <v>2.4E-2</v>
      </c>
      <c r="Z119" s="146">
        <f>SUMIF(Inputs!$114:$114,Finance!Z$16,Inputs!117:117)</f>
        <v>2.4E-2</v>
      </c>
      <c r="AA119" s="146">
        <f>SUMIF(Inputs!$114:$114,Finance!AA$16,Inputs!117:117)</f>
        <v>2.4E-2</v>
      </c>
      <c r="AB119" s="146">
        <f>SUMIF(Inputs!$114:$114,Finance!AB$16,Inputs!117:117)</f>
        <v>2.4E-2</v>
      </c>
      <c r="AC119" s="146">
        <f>SUMIF(Inputs!$114:$114,Finance!AC$16,Inputs!117:117)</f>
        <v>2.4E-2</v>
      </c>
      <c r="AD119" s="146">
        <f>SUMIF(Inputs!$114:$114,Finance!AD$16,Inputs!117:117)</f>
        <v>2.4E-2</v>
      </c>
      <c r="AE119" s="146">
        <f>SUMIF(Inputs!$114:$114,Finance!AE$16,Inputs!117:117)</f>
        <v>2.4E-2</v>
      </c>
      <c r="AF119" s="146">
        <f>SUMIF(Inputs!$114:$114,Finance!AF$16,Inputs!117:117)</f>
        <v>2.4E-2</v>
      </c>
      <c r="AG119" s="146">
        <f>SUMIF(Inputs!$114:$114,Finance!AG$16,Inputs!117:117)</f>
        <v>2.4E-2</v>
      </c>
      <c r="AH119" s="146">
        <f>SUMIF(Inputs!$114:$114,Finance!AH$16,Inputs!117:117)</f>
        <v>2.4E-2</v>
      </c>
      <c r="AI119" s="146">
        <f>SUMIF(Inputs!$114:$114,Finance!AI$16,Inputs!117:117)</f>
        <v>2.4E-2</v>
      </c>
      <c r="AJ119" s="146">
        <f>SUMIF(Inputs!$114:$114,Finance!AJ$16,Inputs!117:117)</f>
        <v>2.4E-2</v>
      </c>
      <c r="AK119" s="146">
        <f>SUMIF(Inputs!$114:$114,Finance!AK$16,Inputs!117:117)</f>
        <v>2.4E-2</v>
      </c>
      <c r="AL119" s="146">
        <f>SUMIF(Inputs!$114:$114,Finance!AL$16,Inputs!117:117)</f>
        <v>2.4E-2</v>
      </c>
      <c r="AM119" s="146">
        <f>SUMIF(Inputs!$114:$114,Finance!AM$16,Inputs!117:117)</f>
        <v>2.4E-2</v>
      </c>
      <c r="AN119" s="146">
        <f>SUMIF(Inputs!$114:$114,Finance!AN$16,Inputs!117:117)</f>
        <v>2.4E-2</v>
      </c>
      <c r="AO119" s="146">
        <f>SUMIF(Inputs!$114:$114,Finance!AO$16,Inputs!117:117)</f>
        <v>0</v>
      </c>
      <c r="AP119" s="146">
        <f>SUMIF(Inputs!$114:$114,Finance!AP$16,Inputs!117:117)</f>
        <v>4.8000000000000001E-2</v>
      </c>
      <c r="AQ119" s="146">
        <f>SUMIF(Inputs!$114:$114,Finance!AQ$16,Inputs!117:117)</f>
        <v>4.8000000000000001E-2</v>
      </c>
      <c r="AR119" s="146">
        <f>SUMIF(Inputs!$114:$114,Finance!AR$16,Inputs!117:117)</f>
        <v>4.8000000000000001E-2</v>
      </c>
      <c r="AS119" s="146">
        <f>SUMIF(Inputs!$114:$114,Finance!AS$16,Inputs!117:117)</f>
        <v>4.8000000000000001E-2</v>
      </c>
      <c r="AT119" s="146">
        <f>SUMIF(Inputs!$114:$114,Finance!AT$16,Inputs!117:117)</f>
        <v>4.8000000000000001E-2</v>
      </c>
      <c r="AU119" s="146">
        <f>SUMIF(Inputs!$114:$114,Finance!AU$16,Inputs!117:117)</f>
        <v>4.8000000000000001E-2</v>
      </c>
      <c r="AV119" s="146">
        <f>SUMIF(Inputs!$114:$114,Finance!AV$16,Inputs!117:117)</f>
        <v>4.8000000000000001E-2</v>
      </c>
      <c r="AW119" s="146">
        <f>SUMIF(Inputs!$114:$114,Finance!AW$16,Inputs!117:117)</f>
        <v>4.8000000000000001E-2</v>
      </c>
      <c r="AX119" s="146">
        <f>SUMIF(Inputs!$114:$114,Finance!AX$16,Inputs!117:117)</f>
        <v>4.8000000000000001E-2</v>
      </c>
    </row>
    <row r="120" spans="1:50" ht="15" customHeight="1">
      <c r="A120" s="145"/>
      <c r="B120" s="93"/>
      <c r="C120" s="93"/>
      <c r="D120" s="90"/>
      <c r="E120" s="11" t="s">
        <v>347</v>
      </c>
      <c r="G120" s="1" t="s">
        <v>160</v>
      </c>
      <c r="I120" s="140"/>
      <c r="J120" s="140"/>
      <c r="K120" s="146">
        <f>SUMIF(Inputs!$114:$114,Finance!K$16,Inputs!118:118)</f>
        <v>4.8000000000000001E-2</v>
      </c>
      <c r="L120" s="146">
        <f>SUMIF(Inputs!$114:$114,Finance!L$16,Inputs!118:118)</f>
        <v>4.8000000000000001E-2</v>
      </c>
      <c r="M120" s="146">
        <f>SUMIF(Inputs!$114:$114,Finance!M$16,Inputs!118:118)</f>
        <v>4.8000000000000001E-2</v>
      </c>
      <c r="N120" s="146">
        <f>SUMIF(Inputs!$114:$114,Finance!N$16,Inputs!118:118)</f>
        <v>4.8000000000000001E-2</v>
      </c>
      <c r="O120" s="146">
        <f>SUMIF(Inputs!$114:$114,Finance!O$16,Inputs!118:118)</f>
        <v>4.8000000000000001E-2</v>
      </c>
      <c r="P120" s="146">
        <f>SUMIF(Inputs!$114:$114,Finance!P$16,Inputs!118:118)</f>
        <v>4.8000000000000001E-2</v>
      </c>
      <c r="Q120" s="146">
        <f>SUMIF(Inputs!$114:$114,Finance!Q$16,Inputs!118:118)</f>
        <v>2.4E-2</v>
      </c>
      <c r="R120" s="146">
        <f>SUMIF(Inputs!$114:$114,Finance!R$16,Inputs!118:118)</f>
        <v>2.4E-2</v>
      </c>
      <c r="S120" s="146">
        <f>SUMIF(Inputs!$114:$114,Finance!S$16,Inputs!118:118)</f>
        <v>2.4E-2</v>
      </c>
      <c r="T120" s="146">
        <f>SUMIF(Inputs!$114:$114,Finance!T$16,Inputs!118:118)</f>
        <v>2.4E-2</v>
      </c>
      <c r="U120" s="146">
        <f>SUMIF(Inputs!$114:$114,Finance!U$16,Inputs!118:118)</f>
        <v>2.4E-2</v>
      </c>
      <c r="V120" s="146">
        <f>SUMIF(Inputs!$114:$114,Finance!V$16,Inputs!118:118)</f>
        <v>2.4E-2</v>
      </c>
      <c r="W120" s="146">
        <f>SUMIF(Inputs!$114:$114,Finance!W$16,Inputs!118:118)</f>
        <v>2.4E-2</v>
      </c>
      <c r="X120" s="146">
        <f>SUMIF(Inputs!$114:$114,Finance!X$16,Inputs!118:118)</f>
        <v>2.4E-2</v>
      </c>
      <c r="Y120" s="146">
        <f>SUMIF(Inputs!$114:$114,Finance!Y$16,Inputs!118:118)</f>
        <v>2.4E-2</v>
      </c>
      <c r="Z120" s="146">
        <f>SUMIF(Inputs!$114:$114,Finance!Z$16,Inputs!118:118)</f>
        <v>2.4E-2</v>
      </c>
      <c r="AA120" s="146">
        <f>SUMIF(Inputs!$114:$114,Finance!AA$16,Inputs!118:118)</f>
        <v>2.4E-2</v>
      </c>
      <c r="AB120" s="146">
        <f>SUMIF(Inputs!$114:$114,Finance!AB$16,Inputs!118:118)</f>
        <v>2.4E-2</v>
      </c>
      <c r="AC120" s="146">
        <f>SUMIF(Inputs!$114:$114,Finance!AC$16,Inputs!118:118)</f>
        <v>2.4E-2</v>
      </c>
      <c r="AD120" s="146">
        <f>SUMIF(Inputs!$114:$114,Finance!AD$16,Inputs!118:118)</f>
        <v>2.4E-2</v>
      </c>
      <c r="AE120" s="146">
        <f>SUMIF(Inputs!$114:$114,Finance!AE$16,Inputs!118:118)</f>
        <v>2.4E-2</v>
      </c>
      <c r="AF120" s="146">
        <f>SUMIF(Inputs!$114:$114,Finance!AF$16,Inputs!118:118)</f>
        <v>2.4E-2</v>
      </c>
      <c r="AG120" s="146">
        <f>SUMIF(Inputs!$114:$114,Finance!AG$16,Inputs!118:118)</f>
        <v>2.4E-2</v>
      </c>
      <c r="AH120" s="146">
        <f>SUMIF(Inputs!$114:$114,Finance!AH$16,Inputs!118:118)</f>
        <v>2.4E-2</v>
      </c>
      <c r="AI120" s="146">
        <f>SUMIF(Inputs!$114:$114,Finance!AI$16,Inputs!118:118)</f>
        <v>2.4E-2</v>
      </c>
      <c r="AJ120" s="146">
        <f>SUMIF(Inputs!$114:$114,Finance!AJ$16,Inputs!118:118)</f>
        <v>2.4E-2</v>
      </c>
      <c r="AK120" s="146">
        <f>SUMIF(Inputs!$114:$114,Finance!AK$16,Inputs!118:118)</f>
        <v>2.4E-2</v>
      </c>
      <c r="AL120" s="146">
        <f>SUMIF(Inputs!$114:$114,Finance!AL$16,Inputs!118:118)</f>
        <v>2.4E-2</v>
      </c>
      <c r="AM120" s="146">
        <f>SUMIF(Inputs!$114:$114,Finance!AM$16,Inputs!118:118)</f>
        <v>2.4E-2</v>
      </c>
      <c r="AN120" s="146">
        <f>SUMIF(Inputs!$114:$114,Finance!AN$16,Inputs!118:118)</f>
        <v>2.4E-2</v>
      </c>
      <c r="AO120" s="146">
        <f>SUMIF(Inputs!$114:$114,Finance!AO$16,Inputs!118:118)</f>
        <v>0</v>
      </c>
      <c r="AP120" s="146">
        <f>SUMIF(Inputs!$114:$114,Finance!AP$16,Inputs!118:118)</f>
        <v>4.8000000000000001E-2</v>
      </c>
      <c r="AQ120" s="146">
        <f>SUMIF(Inputs!$114:$114,Finance!AQ$16,Inputs!118:118)</f>
        <v>4.8000000000000001E-2</v>
      </c>
      <c r="AR120" s="146">
        <f>SUMIF(Inputs!$114:$114,Finance!AR$16,Inputs!118:118)</f>
        <v>4.8000000000000001E-2</v>
      </c>
      <c r="AS120" s="146">
        <f>SUMIF(Inputs!$114:$114,Finance!AS$16,Inputs!118:118)</f>
        <v>4.8000000000000001E-2</v>
      </c>
      <c r="AT120" s="146">
        <f>SUMIF(Inputs!$114:$114,Finance!AT$16,Inputs!118:118)</f>
        <v>4.8000000000000001E-2</v>
      </c>
      <c r="AU120" s="146">
        <f>SUMIF(Inputs!$114:$114,Finance!AU$16,Inputs!118:118)</f>
        <v>4.8000000000000001E-2</v>
      </c>
      <c r="AV120" s="146">
        <f>SUMIF(Inputs!$114:$114,Finance!AV$16,Inputs!118:118)</f>
        <v>4.8000000000000001E-2</v>
      </c>
      <c r="AW120" s="146">
        <f>SUMIF(Inputs!$114:$114,Finance!AW$16,Inputs!118:118)</f>
        <v>4.8000000000000001E-2</v>
      </c>
      <c r="AX120" s="146">
        <f>SUMIF(Inputs!$114:$114,Finance!AX$16,Inputs!118:118)</f>
        <v>4.8000000000000001E-2</v>
      </c>
    </row>
    <row r="121" spans="1:50" ht="15" customHeight="1">
      <c r="A121" s="145"/>
      <c r="B121" s="93"/>
      <c r="C121" s="93"/>
      <c r="D121" s="90"/>
      <c r="E121" s="11" t="s">
        <v>348</v>
      </c>
      <c r="G121" s="1" t="s">
        <v>160</v>
      </c>
      <c r="I121" s="140"/>
      <c r="J121" s="140"/>
      <c r="K121" s="146">
        <f>SUMIF(Inputs!$114:$114,Finance!K$16,Inputs!119:119)</f>
        <v>4.8000000000000001E-2</v>
      </c>
      <c r="L121" s="146">
        <f>SUMIF(Inputs!$114:$114,Finance!L$16,Inputs!119:119)</f>
        <v>4.8000000000000001E-2</v>
      </c>
      <c r="M121" s="146">
        <f>SUMIF(Inputs!$114:$114,Finance!M$16,Inputs!119:119)</f>
        <v>4.8000000000000001E-2</v>
      </c>
      <c r="N121" s="146">
        <f>SUMIF(Inputs!$114:$114,Finance!N$16,Inputs!119:119)</f>
        <v>4.8000000000000001E-2</v>
      </c>
      <c r="O121" s="146">
        <f>SUMIF(Inputs!$114:$114,Finance!O$16,Inputs!119:119)</f>
        <v>4.8000000000000001E-2</v>
      </c>
      <c r="P121" s="146">
        <f>SUMIF(Inputs!$114:$114,Finance!P$16,Inputs!119:119)</f>
        <v>4.8000000000000001E-2</v>
      </c>
      <c r="Q121" s="146">
        <f>SUMIF(Inputs!$114:$114,Finance!Q$16,Inputs!119:119)</f>
        <v>2.4E-2</v>
      </c>
      <c r="R121" s="146">
        <f>SUMIF(Inputs!$114:$114,Finance!R$16,Inputs!119:119)</f>
        <v>2.4E-2</v>
      </c>
      <c r="S121" s="146">
        <f>SUMIF(Inputs!$114:$114,Finance!S$16,Inputs!119:119)</f>
        <v>2.4E-2</v>
      </c>
      <c r="T121" s="146">
        <f>SUMIF(Inputs!$114:$114,Finance!T$16,Inputs!119:119)</f>
        <v>2.4E-2</v>
      </c>
      <c r="U121" s="146">
        <f>SUMIF(Inputs!$114:$114,Finance!U$16,Inputs!119:119)</f>
        <v>2.4E-2</v>
      </c>
      <c r="V121" s="146">
        <f>SUMIF(Inputs!$114:$114,Finance!V$16,Inputs!119:119)</f>
        <v>2.4E-2</v>
      </c>
      <c r="W121" s="146">
        <f>SUMIF(Inputs!$114:$114,Finance!W$16,Inputs!119:119)</f>
        <v>2.4E-2</v>
      </c>
      <c r="X121" s="146">
        <f>SUMIF(Inputs!$114:$114,Finance!X$16,Inputs!119:119)</f>
        <v>2.4E-2</v>
      </c>
      <c r="Y121" s="146">
        <f>SUMIF(Inputs!$114:$114,Finance!Y$16,Inputs!119:119)</f>
        <v>2.4E-2</v>
      </c>
      <c r="Z121" s="146">
        <f>SUMIF(Inputs!$114:$114,Finance!Z$16,Inputs!119:119)</f>
        <v>2.4E-2</v>
      </c>
      <c r="AA121" s="146">
        <f>SUMIF(Inputs!$114:$114,Finance!AA$16,Inputs!119:119)</f>
        <v>2.4E-2</v>
      </c>
      <c r="AB121" s="146">
        <f>SUMIF(Inputs!$114:$114,Finance!AB$16,Inputs!119:119)</f>
        <v>2.4E-2</v>
      </c>
      <c r="AC121" s="146">
        <f>SUMIF(Inputs!$114:$114,Finance!AC$16,Inputs!119:119)</f>
        <v>2.4E-2</v>
      </c>
      <c r="AD121" s="146">
        <f>SUMIF(Inputs!$114:$114,Finance!AD$16,Inputs!119:119)</f>
        <v>2.4E-2</v>
      </c>
      <c r="AE121" s="146">
        <f>SUMIF(Inputs!$114:$114,Finance!AE$16,Inputs!119:119)</f>
        <v>2.4E-2</v>
      </c>
      <c r="AF121" s="146">
        <f>SUMIF(Inputs!$114:$114,Finance!AF$16,Inputs!119:119)</f>
        <v>2.4E-2</v>
      </c>
      <c r="AG121" s="146">
        <f>SUMIF(Inputs!$114:$114,Finance!AG$16,Inputs!119:119)</f>
        <v>2.4E-2</v>
      </c>
      <c r="AH121" s="146">
        <f>SUMIF(Inputs!$114:$114,Finance!AH$16,Inputs!119:119)</f>
        <v>2.4E-2</v>
      </c>
      <c r="AI121" s="146">
        <f>SUMIF(Inputs!$114:$114,Finance!AI$16,Inputs!119:119)</f>
        <v>2.4E-2</v>
      </c>
      <c r="AJ121" s="146">
        <f>SUMIF(Inputs!$114:$114,Finance!AJ$16,Inputs!119:119)</f>
        <v>2.4E-2</v>
      </c>
      <c r="AK121" s="146">
        <f>SUMIF(Inputs!$114:$114,Finance!AK$16,Inputs!119:119)</f>
        <v>2.4E-2</v>
      </c>
      <c r="AL121" s="146">
        <f>SUMIF(Inputs!$114:$114,Finance!AL$16,Inputs!119:119)</f>
        <v>2.4E-2</v>
      </c>
      <c r="AM121" s="146">
        <f>SUMIF(Inputs!$114:$114,Finance!AM$16,Inputs!119:119)</f>
        <v>2.4E-2</v>
      </c>
      <c r="AN121" s="146">
        <f>SUMIF(Inputs!$114:$114,Finance!AN$16,Inputs!119:119)</f>
        <v>2.4E-2</v>
      </c>
      <c r="AO121" s="146">
        <f>SUMIF(Inputs!$114:$114,Finance!AO$16,Inputs!119:119)</f>
        <v>0</v>
      </c>
      <c r="AP121" s="146">
        <f>SUMIF(Inputs!$114:$114,Finance!AP$16,Inputs!119:119)</f>
        <v>4.8000000000000001E-2</v>
      </c>
      <c r="AQ121" s="146">
        <f>SUMIF(Inputs!$114:$114,Finance!AQ$16,Inputs!119:119)</f>
        <v>4.8000000000000001E-2</v>
      </c>
      <c r="AR121" s="146">
        <f>SUMIF(Inputs!$114:$114,Finance!AR$16,Inputs!119:119)</f>
        <v>4.8000000000000001E-2</v>
      </c>
      <c r="AS121" s="146">
        <f>SUMIF(Inputs!$114:$114,Finance!AS$16,Inputs!119:119)</f>
        <v>4.8000000000000001E-2</v>
      </c>
      <c r="AT121" s="146">
        <f>SUMIF(Inputs!$114:$114,Finance!AT$16,Inputs!119:119)</f>
        <v>4.8000000000000001E-2</v>
      </c>
      <c r="AU121" s="146">
        <f>SUMIF(Inputs!$114:$114,Finance!AU$16,Inputs!119:119)</f>
        <v>4.8000000000000001E-2</v>
      </c>
      <c r="AV121" s="146">
        <f>SUMIF(Inputs!$114:$114,Finance!AV$16,Inputs!119:119)</f>
        <v>4.8000000000000001E-2</v>
      </c>
      <c r="AW121" s="146">
        <f>SUMIF(Inputs!$114:$114,Finance!AW$16,Inputs!119:119)</f>
        <v>4.8000000000000001E-2</v>
      </c>
      <c r="AX121" s="146">
        <f>SUMIF(Inputs!$114:$114,Finance!AX$16,Inputs!119:119)</f>
        <v>4.8000000000000001E-2</v>
      </c>
    </row>
    <row r="122" spans="1:50" ht="15" customHeight="1">
      <c r="A122" s="145"/>
      <c r="B122" s="93"/>
      <c r="C122" s="93"/>
      <c r="D122" s="90"/>
      <c r="E122" s="11" t="s">
        <v>349</v>
      </c>
      <c r="G122" s="1" t="s">
        <v>160</v>
      </c>
      <c r="I122" s="140"/>
      <c r="J122" s="140"/>
      <c r="K122" s="146">
        <f>SUMIF(Inputs!$114:$114,Finance!K$16,Inputs!120:120)</f>
        <v>4.8000000000000001E-2</v>
      </c>
      <c r="L122" s="146">
        <f>SUMIF(Inputs!$114:$114,Finance!L$16,Inputs!120:120)</f>
        <v>4.8000000000000001E-2</v>
      </c>
      <c r="M122" s="146">
        <f>SUMIF(Inputs!$114:$114,Finance!M$16,Inputs!120:120)</f>
        <v>4.8000000000000001E-2</v>
      </c>
      <c r="N122" s="146">
        <f>SUMIF(Inputs!$114:$114,Finance!N$16,Inputs!120:120)</f>
        <v>4.8000000000000001E-2</v>
      </c>
      <c r="O122" s="146">
        <f>SUMIF(Inputs!$114:$114,Finance!O$16,Inputs!120:120)</f>
        <v>4.8000000000000001E-2</v>
      </c>
      <c r="P122" s="146">
        <f>SUMIF(Inputs!$114:$114,Finance!P$16,Inputs!120:120)</f>
        <v>4.8000000000000001E-2</v>
      </c>
      <c r="Q122" s="146">
        <f>SUMIF(Inputs!$114:$114,Finance!Q$16,Inputs!120:120)</f>
        <v>2.4E-2</v>
      </c>
      <c r="R122" s="146">
        <f>SUMIF(Inputs!$114:$114,Finance!R$16,Inputs!120:120)</f>
        <v>2.4E-2</v>
      </c>
      <c r="S122" s="146">
        <f>SUMIF(Inputs!$114:$114,Finance!S$16,Inputs!120:120)</f>
        <v>2.4E-2</v>
      </c>
      <c r="T122" s="146">
        <f>SUMIF(Inputs!$114:$114,Finance!T$16,Inputs!120:120)</f>
        <v>2.4E-2</v>
      </c>
      <c r="U122" s="146">
        <f>SUMIF(Inputs!$114:$114,Finance!U$16,Inputs!120:120)</f>
        <v>2.4E-2</v>
      </c>
      <c r="V122" s="146">
        <f>SUMIF(Inputs!$114:$114,Finance!V$16,Inputs!120:120)</f>
        <v>2.4E-2</v>
      </c>
      <c r="W122" s="146">
        <f>SUMIF(Inputs!$114:$114,Finance!W$16,Inputs!120:120)</f>
        <v>2.4E-2</v>
      </c>
      <c r="X122" s="146">
        <f>SUMIF(Inputs!$114:$114,Finance!X$16,Inputs!120:120)</f>
        <v>2.4E-2</v>
      </c>
      <c r="Y122" s="146">
        <f>SUMIF(Inputs!$114:$114,Finance!Y$16,Inputs!120:120)</f>
        <v>2.4E-2</v>
      </c>
      <c r="Z122" s="146">
        <f>SUMIF(Inputs!$114:$114,Finance!Z$16,Inputs!120:120)</f>
        <v>2.4E-2</v>
      </c>
      <c r="AA122" s="146">
        <f>SUMIF(Inputs!$114:$114,Finance!AA$16,Inputs!120:120)</f>
        <v>2.4E-2</v>
      </c>
      <c r="AB122" s="146">
        <f>SUMIF(Inputs!$114:$114,Finance!AB$16,Inputs!120:120)</f>
        <v>2.4E-2</v>
      </c>
      <c r="AC122" s="146">
        <f>SUMIF(Inputs!$114:$114,Finance!AC$16,Inputs!120:120)</f>
        <v>2.4E-2</v>
      </c>
      <c r="AD122" s="146">
        <f>SUMIF(Inputs!$114:$114,Finance!AD$16,Inputs!120:120)</f>
        <v>2.4E-2</v>
      </c>
      <c r="AE122" s="146">
        <f>SUMIF(Inputs!$114:$114,Finance!AE$16,Inputs!120:120)</f>
        <v>2.4E-2</v>
      </c>
      <c r="AF122" s="146">
        <f>SUMIF(Inputs!$114:$114,Finance!AF$16,Inputs!120:120)</f>
        <v>2.4E-2</v>
      </c>
      <c r="AG122" s="146">
        <f>SUMIF(Inputs!$114:$114,Finance!AG$16,Inputs!120:120)</f>
        <v>2.4E-2</v>
      </c>
      <c r="AH122" s="146">
        <f>SUMIF(Inputs!$114:$114,Finance!AH$16,Inputs!120:120)</f>
        <v>2.4E-2</v>
      </c>
      <c r="AI122" s="146">
        <f>SUMIF(Inputs!$114:$114,Finance!AI$16,Inputs!120:120)</f>
        <v>2.4E-2</v>
      </c>
      <c r="AJ122" s="146">
        <f>SUMIF(Inputs!$114:$114,Finance!AJ$16,Inputs!120:120)</f>
        <v>2.4E-2</v>
      </c>
      <c r="AK122" s="146">
        <f>SUMIF(Inputs!$114:$114,Finance!AK$16,Inputs!120:120)</f>
        <v>2.4E-2</v>
      </c>
      <c r="AL122" s="146">
        <f>SUMIF(Inputs!$114:$114,Finance!AL$16,Inputs!120:120)</f>
        <v>2.4E-2</v>
      </c>
      <c r="AM122" s="146">
        <f>SUMIF(Inputs!$114:$114,Finance!AM$16,Inputs!120:120)</f>
        <v>2.4E-2</v>
      </c>
      <c r="AN122" s="146">
        <f>SUMIF(Inputs!$114:$114,Finance!AN$16,Inputs!120:120)</f>
        <v>2.4E-2</v>
      </c>
      <c r="AO122" s="146">
        <f>SUMIF(Inputs!$114:$114,Finance!AO$16,Inputs!120:120)</f>
        <v>0</v>
      </c>
      <c r="AP122" s="146">
        <f>SUMIF(Inputs!$114:$114,Finance!AP$16,Inputs!120:120)</f>
        <v>4.8000000000000001E-2</v>
      </c>
      <c r="AQ122" s="146">
        <f>SUMIF(Inputs!$114:$114,Finance!AQ$16,Inputs!120:120)</f>
        <v>4.8000000000000001E-2</v>
      </c>
      <c r="AR122" s="146">
        <f>SUMIF(Inputs!$114:$114,Finance!AR$16,Inputs!120:120)</f>
        <v>4.8000000000000001E-2</v>
      </c>
      <c r="AS122" s="146">
        <f>SUMIF(Inputs!$114:$114,Finance!AS$16,Inputs!120:120)</f>
        <v>4.8000000000000001E-2</v>
      </c>
      <c r="AT122" s="146">
        <f>SUMIF(Inputs!$114:$114,Finance!AT$16,Inputs!120:120)</f>
        <v>4.8000000000000001E-2</v>
      </c>
      <c r="AU122" s="146">
        <f>SUMIF(Inputs!$114:$114,Finance!AU$16,Inputs!120:120)</f>
        <v>4.8000000000000001E-2</v>
      </c>
      <c r="AV122" s="146">
        <f>SUMIF(Inputs!$114:$114,Finance!AV$16,Inputs!120:120)</f>
        <v>4.8000000000000001E-2</v>
      </c>
      <c r="AW122" s="146">
        <f>SUMIF(Inputs!$114:$114,Finance!AW$16,Inputs!120:120)</f>
        <v>4.8000000000000001E-2</v>
      </c>
      <c r="AX122" s="146">
        <f>SUMIF(Inputs!$114:$114,Finance!AX$16,Inputs!120:120)</f>
        <v>4.8000000000000001E-2</v>
      </c>
    </row>
    <row r="123" spans="1:50" ht="15" customHeight="1">
      <c r="A123" s="145"/>
      <c r="B123" s="93"/>
      <c r="C123" s="93"/>
      <c r="D123" s="90"/>
      <c r="E123" s="11" t="s">
        <v>350</v>
      </c>
      <c r="G123" s="1" t="s">
        <v>160</v>
      </c>
      <c r="I123" s="140"/>
      <c r="J123" s="140"/>
      <c r="K123" s="146">
        <f>SUMIF(Inputs!$114:$114,Finance!K$16,Inputs!122:122)</f>
        <v>2.5999999999999999E-2</v>
      </c>
      <c r="L123" s="146">
        <f>SUMIF(Inputs!$114:$114,Finance!L$16,Inputs!122:122)</f>
        <v>2.5999999999999999E-2</v>
      </c>
      <c r="M123" s="146">
        <f>SUMIF(Inputs!$114:$114,Finance!M$16,Inputs!122:122)</f>
        <v>2.5999999999999999E-2</v>
      </c>
      <c r="N123" s="146">
        <f>SUMIF(Inputs!$114:$114,Finance!N$16,Inputs!122:122)</f>
        <v>2.5999999999999999E-2</v>
      </c>
      <c r="O123" s="146">
        <f>SUMIF(Inputs!$114:$114,Finance!O$16,Inputs!122:122)</f>
        <v>2.5999999999999999E-2</v>
      </c>
      <c r="P123" s="146">
        <f>SUMIF(Inputs!$114:$114,Finance!P$16,Inputs!122:122)</f>
        <v>2.5999999999999999E-2</v>
      </c>
      <c r="Q123" s="146">
        <f>SUMIF(Inputs!$114:$114,Finance!Q$16,Inputs!122:122)</f>
        <v>1.2999999999999999E-2</v>
      </c>
      <c r="R123" s="146">
        <f>SUMIF(Inputs!$114:$114,Finance!R$16,Inputs!122:122)</f>
        <v>1.2999999999999999E-2</v>
      </c>
      <c r="S123" s="146">
        <f>SUMIF(Inputs!$114:$114,Finance!S$16,Inputs!122:122)</f>
        <v>1.2999999999999999E-2</v>
      </c>
      <c r="T123" s="146">
        <f>SUMIF(Inputs!$114:$114,Finance!T$16,Inputs!122:122)</f>
        <v>1.2999999999999999E-2</v>
      </c>
      <c r="U123" s="146">
        <f>SUMIF(Inputs!$114:$114,Finance!U$16,Inputs!122:122)</f>
        <v>1.2999999999999999E-2</v>
      </c>
      <c r="V123" s="146">
        <f>SUMIF(Inputs!$114:$114,Finance!V$16,Inputs!122:122)</f>
        <v>1.2999999999999999E-2</v>
      </c>
      <c r="W123" s="146">
        <f>SUMIF(Inputs!$114:$114,Finance!W$16,Inputs!122:122)</f>
        <v>1.2999999999999999E-2</v>
      </c>
      <c r="X123" s="146">
        <f>SUMIF(Inputs!$114:$114,Finance!X$16,Inputs!122:122)</f>
        <v>1.2999999999999999E-2</v>
      </c>
      <c r="Y123" s="146">
        <f>SUMIF(Inputs!$114:$114,Finance!Y$16,Inputs!122:122)</f>
        <v>1.2999999999999999E-2</v>
      </c>
      <c r="Z123" s="146">
        <f>SUMIF(Inputs!$114:$114,Finance!Z$16,Inputs!122:122)</f>
        <v>1.2999999999999999E-2</v>
      </c>
      <c r="AA123" s="146">
        <f>SUMIF(Inputs!$114:$114,Finance!AA$16,Inputs!122:122)</f>
        <v>1.2999999999999999E-2</v>
      </c>
      <c r="AB123" s="146">
        <f>SUMIF(Inputs!$114:$114,Finance!AB$16,Inputs!122:122)</f>
        <v>1.2999999999999999E-2</v>
      </c>
      <c r="AC123" s="146">
        <f>SUMIF(Inputs!$114:$114,Finance!AC$16,Inputs!122:122)</f>
        <v>1.2999999999999999E-2</v>
      </c>
      <c r="AD123" s="146">
        <f>SUMIF(Inputs!$114:$114,Finance!AD$16,Inputs!122:122)</f>
        <v>1.2999999999999999E-2</v>
      </c>
      <c r="AE123" s="146">
        <f>SUMIF(Inputs!$114:$114,Finance!AE$16,Inputs!122:122)</f>
        <v>1.2999999999999999E-2</v>
      </c>
      <c r="AF123" s="146">
        <f>SUMIF(Inputs!$114:$114,Finance!AF$16,Inputs!122:122)</f>
        <v>1.2999999999999999E-2</v>
      </c>
      <c r="AG123" s="146">
        <f>SUMIF(Inputs!$114:$114,Finance!AG$16,Inputs!122:122)</f>
        <v>1.2999999999999999E-2</v>
      </c>
      <c r="AH123" s="146">
        <f>SUMIF(Inputs!$114:$114,Finance!AH$16,Inputs!122:122)</f>
        <v>1.2999999999999999E-2</v>
      </c>
      <c r="AI123" s="146">
        <f>SUMIF(Inputs!$114:$114,Finance!AI$16,Inputs!122:122)</f>
        <v>1.2999999999999999E-2</v>
      </c>
      <c r="AJ123" s="146">
        <f>SUMIF(Inputs!$114:$114,Finance!AJ$16,Inputs!122:122)</f>
        <v>1.2999999999999999E-2</v>
      </c>
      <c r="AK123" s="146">
        <f>SUMIF(Inputs!$114:$114,Finance!AK$16,Inputs!122:122)</f>
        <v>1.2999999999999999E-2</v>
      </c>
      <c r="AL123" s="146">
        <f>SUMIF(Inputs!$114:$114,Finance!AL$16,Inputs!122:122)</f>
        <v>1.2999999999999999E-2</v>
      </c>
      <c r="AM123" s="146">
        <f>SUMIF(Inputs!$114:$114,Finance!AM$16,Inputs!122:122)</f>
        <v>1.2999999999999999E-2</v>
      </c>
      <c r="AN123" s="146">
        <f>SUMIF(Inputs!$114:$114,Finance!AN$16,Inputs!122:122)</f>
        <v>1.2999999999999999E-2</v>
      </c>
      <c r="AO123" s="146">
        <f>SUMIF(Inputs!$114:$114,Finance!AO$16,Inputs!122:122)</f>
        <v>0</v>
      </c>
      <c r="AP123" s="146">
        <f>SUMIF(Inputs!$114:$114,Finance!AP$16,Inputs!122:122)</f>
        <v>2.5999999999999999E-2</v>
      </c>
      <c r="AQ123" s="146">
        <f>SUMIF(Inputs!$114:$114,Finance!AQ$16,Inputs!122:122)</f>
        <v>2.5999999999999999E-2</v>
      </c>
      <c r="AR123" s="146">
        <f>SUMIF(Inputs!$114:$114,Finance!AR$16,Inputs!122:122)</f>
        <v>2.5999999999999999E-2</v>
      </c>
      <c r="AS123" s="146">
        <f>SUMIF(Inputs!$114:$114,Finance!AS$16,Inputs!122:122)</f>
        <v>2.5999999999999999E-2</v>
      </c>
      <c r="AT123" s="146">
        <f>SUMIF(Inputs!$114:$114,Finance!AT$16,Inputs!122:122)</f>
        <v>2.5999999999999999E-2</v>
      </c>
      <c r="AU123" s="146">
        <f>SUMIF(Inputs!$114:$114,Finance!AU$16,Inputs!122:122)</f>
        <v>2.5999999999999999E-2</v>
      </c>
      <c r="AV123" s="146">
        <f>SUMIF(Inputs!$114:$114,Finance!AV$16,Inputs!122:122)</f>
        <v>2.5999999999999999E-2</v>
      </c>
      <c r="AW123" s="146">
        <f>SUMIF(Inputs!$114:$114,Finance!AW$16,Inputs!122:122)</f>
        <v>2.5999999999999999E-2</v>
      </c>
      <c r="AX123" s="146">
        <f>SUMIF(Inputs!$114:$114,Finance!AX$16,Inputs!122:122)</f>
        <v>2.5999999999999999E-2</v>
      </c>
    </row>
    <row r="124" spans="1:50" ht="15" customHeight="1">
      <c r="A124" s="145"/>
      <c r="B124" s="93"/>
      <c r="C124" s="93"/>
      <c r="D124" s="90"/>
      <c r="I124" s="140"/>
      <c r="J124" s="140"/>
      <c r="K124" s="140"/>
      <c r="L124" s="140"/>
      <c r="M124" s="140"/>
      <c r="N124" s="140"/>
      <c r="O124" s="140"/>
      <c r="P124" s="140"/>
      <c r="Q124" s="140"/>
      <c r="R124" s="140"/>
      <c r="S124" s="140"/>
      <c r="T124" s="140"/>
      <c r="U124" s="140"/>
      <c r="V124" s="140"/>
      <c r="W124" s="140"/>
      <c r="X124" s="140"/>
      <c r="Y124" s="140"/>
      <c r="Z124" s="140"/>
      <c r="AA124" s="140"/>
      <c r="AB124" s="140"/>
      <c r="AC124" s="140"/>
      <c r="AD124" s="140"/>
      <c r="AE124" s="140"/>
      <c r="AF124" s="140"/>
      <c r="AG124" s="140"/>
      <c r="AH124" s="140"/>
      <c r="AI124" s="140"/>
      <c r="AJ124" s="140"/>
      <c r="AK124" s="140"/>
      <c r="AL124" s="140"/>
      <c r="AM124" s="140"/>
      <c r="AN124" s="140"/>
      <c r="AO124" s="140"/>
      <c r="AP124" s="140"/>
      <c r="AQ124" s="140"/>
      <c r="AR124" s="140"/>
      <c r="AS124" s="140"/>
      <c r="AT124" s="140"/>
      <c r="AU124" s="140"/>
      <c r="AV124" s="140"/>
      <c r="AW124" s="140"/>
      <c r="AX124" s="140"/>
    </row>
    <row r="125" spans="1:50" ht="15" customHeight="1">
      <c r="A125" s="145"/>
      <c r="B125" s="93"/>
      <c r="C125" s="93"/>
      <c r="D125" s="90"/>
      <c r="E125" s="11" t="s">
        <v>327</v>
      </c>
      <c r="G125" s="11" t="s">
        <v>160</v>
      </c>
      <c r="I125" s="140"/>
      <c r="J125" s="140"/>
      <c r="K125" s="149">
        <f t="shared" ref="K125:AX125" si="25">($I$118+K119)*(K$16&lt;&gt;0)</f>
        <v>0</v>
      </c>
      <c r="L125" s="149">
        <f t="shared" si="25"/>
        <v>0</v>
      </c>
      <c r="M125" s="149">
        <f t="shared" si="25"/>
        <v>0</v>
      </c>
      <c r="N125" s="149">
        <f t="shared" si="25"/>
        <v>0</v>
      </c>
      <c r="O125" s="149">
        <f t="shared" si="25"/>
        <v>0</v>
      </c>
      <c r="P125" s="149">
        <f t="shared" si="25"/>
        <v>0</v>
      </c>
      <c r="Q125" s="149">
        <f t="shared" si="25"/>
        <v>6.4000000000000001E-2</v>
      </c>
      <c r="R125" s="149">
        <f t="shared" si="25"/>
        <v>6.4000000000000001E-2</v>
      </c>
      <c r="S125" s="149">
        <f t="shared" si="25"/>
        <v>6.4000000000000001E-2</v>
      </c>
      <c r="T125" s="149">
        <f t="shared" si="25"/>
        <v>6.4000000000000001E-2</v>
      </c>
      <c r="U125" s="149">
        <f t="shared" si="25"/>
        <v>6.4000000000000001E-2</v>
      </c>
      <c r="V125" s="149">
        <f t="shared" si="25"/>
        <v>6.4000000000000001E-2</v>
      </c>
      <c r="W125" s="149">
        <f t="shared" si="25"/>
        <v>6.4000000000000001E-2</v>
      </c>
      <c r="X125" s="149">
        <f t="shared" si="25"/>
        <v>6.4000000000000001E-2</v>
      </c>
      <c r="Y125" s="149">
        <f t="shared" si="25"/>
        <v>6.4000000000000001E-2</v>
      </c>
      <c r="Z125" s="149">
        <f t="shared" si="25"/>
        <v>6.4000000000000001E-2</v>
      </c>
      <c r="AA125" s="149">
        <f t="shared" si="25"/>
        <v>6.4000000000000001E-2</v>
      </c>
      <c r="AB125" s="149">
        <f t="shared" si="25"/>
        <v>6.4000000000000001E-2</v>
      </c>
      <c r="AC125" s="149">
        <f t="shared" si="25"/>
        <v>6.4000000000000001E-2</v>
      </c>
      <c r="AD125" s="149">
        <f t="shared" si="25"/>
        <v>6.4000000000000001E-2</v>
      </c>
      <c r="AE125" s="149">
        <f t="shared" si="25"/>
        <v>6.4000000000000001E-2</v>
      </c>
      <c r="AF125" s="149">
        <f t="shared" si="25"/>
        <v>6.4000000000000001E-2</v>
      </c>
      <c r="AG125" s="149">
        <f t="shared" si="25"/>
        <v>6.4000000000000001E-2</v>
      </c>
      <c r="AH125" s="149">
        <f t="shared" si="25"/>
        <v>6.4000000000000001E-2</v>
      </c>
      <c r="AI125" s="149">
        <f t="shared" si="25"/>
        <v>6.4000000000000001E-2</v>
      </c>
      <c r="AJ125" s="149">
        <f t="shared" si="25"/>
        <v>6.4000000000000001E-2</v>
      </c>
      <c r="AK125" s="149">
        <f t="shared" si="25"/>
        <v>6.4000000000000001E-2</v>
      </c>
      <c r="AL125" s="149">
        <f t="shared" si="25"/>
        <v>6.4000000000000001E-2</v>
      </c>
      <c r="AM125" s="149">
        <f t="shared" si="25"/>
        <v>6.4000000000000001E-2</v>
      </c>
      <c r="AN125" s="149">
        <f t="shared" si="25"/>
        <v>6.4000000000000001E-2</v>
      </c>
      <c r="AO125" s="149">
        <f t="shared" si="25"/>
        <v>0.04</v>
      </c>
      <c r="AP125" s="149">
        <f t="shared" si="25"/>
        <v>0</v>
      </c>
      <c r="AQ125" s="149">
        <f t="shared" si="25"/>
        <v>0</v>
      </c>
      <c r="AR125" s="149">
        <f t="shared" si="25"/>
        <v>0</v>
      </c>
      <c r="AS125" s="149">
        <f t="shared" si="25"/>
        <v>0</v>
      </c>
      <c r="AT125" s="149">
        <f t="shared" si="25"/>
        <v>0</v>
      </c>
      <c r="AU125" s="149">
        <f t="shared" si="25"/>
        <v>0</v>
      </c>
      <c r="AV125" s="149">
        <f t="shared" si="25"/>
        <v>0</v>
      </c>
      <c r="AW125" s="149">
        <f t="shared" si="25"/>
        <v>0</v>
      </c>
      <c r="AX125" s="149">
        <f t="shared" si="25"/>
        <v>0</v>
      </c>
    </row>
    <row r="126" spans="1:50" ht="15" customHeight="1">
      <c r="A126" s="145"/>
      <c r="B126" s="93"/>
      <c r="C126" s="93"/>
      <c r="D126" s="90"/>
      <c r="E126" s="11" t="s">
        <v>328</v>
      </c>
      <c r="G126" s="11" t="s">
        <v>160</v>
      </c>
      <c r="I126" s="140"/>
      <c r="J126" s="140"/>
      <c r="K126" s="149">
        <f t="shared" ref="K126:AX126" si="26">($I$118+K120)*(K$16&lt;&gt;0)</f>
        <v>0</v>
      </c>
      <c r="L126" s="149">
        <f t="shared" si="26"/>
        <v>0</v>
      </c>
      <c r="M126" s="149">
        <f t="shared" si="26"/>
        <v>0</v>
      </c>
      <c r="N126" s="149">
        <f t="shared" si="26"/>
        <v>0</v>
      </c>
      <c r="O126" s="149">
        <f t="shared" si="26"/>
        <v>0</v>
      </c>
      <c r="P126" s="149">
        <f t="shared" si="26"/>
        <v>0</v>
      </c>
      <c r="Q126" s="149">
        <f t="shared" si="26"/>
        <v>6.4000000000000001E-2</v>
      </c>
      <c r="R126" s="149">
        <f t="shared" si="26"/>
        <v>6.4000000000000001E-2</v>
      </c>
      <c r="S126" s="149">
        <f t="shared" si="26"/>
        <v>6.4000000000000001E-2</v>
      </c>
      <c r="T126" s="149">
        <f t="shared" si="26"/>
        <v>6.4000000000000001E-2</v>
      </c>
      <c r="U126" s="149">
        <f t="shared" si="26"/>
        <v>6.4000000000000001E-2</v>
      </c>
      <c r="V126" s="149">
        <f t="shared" si="26"/>
        <v>6.4000000000000001E-2</v>
      </c>
      <c r="W126" s="149">
        <f t="shared" si="26"/>
        <v>6.4000000000000001E-2</v>
      </c>
      <c r="X126" s="149">
        <f t="shared" si="26"/>
        <v>6.4000000000000001E-2</v>
      </c>
      <c r="Y126" s="149">
        <f t="shared" si="26"/>
        <v>6.4000000000000001E-2</v>
      </c>
      <c r="Z126" s="149">
        <f t="shared" si="26"/>
        <v>6.4000000000000001E-2</v>
      </c>
      <c r="AA126" s="149">
        <f t="shared" si="26"/>
        <v>6.4000000000000001E-2</v>
      </c>
      <c r="AB126" s="149">
        <f t="shared" si="26"/>
        <v>6.4000000000000001E-2</v>
      </c>
      <c r="AC126" s="149">
        <f t="shared" si="26"/>
        <v>6.4000000000000001E-2</v>
      </c>
      <c r="AD126" s="149">
        <f t="shared" si="26"/>
        <v>6.4000000000000001E-2</v>
      </c>
      <c r="AE126" s="149">
        <f t="shared" si="26"/>
        <v>6.4000000000000001E-2</v>
      </c>
      <c r="AF126" s="149">
        <f t="shared" si="26"/>
        <v>6.4000000000000001E-2</v>
      </c>
      <c r="AG126" s="149">
        <f t="shared" si="26"/>
        <v>6.4000000000000001E-2</v>
      </c>
      <c r="AH126" s="149">
        <f t="shared" si="26"/>
        <v>6.4000000000000001E-2</v>
      </c>
      <c r="AI126" s="149">
        <f t="shared" si="26"/>
        <v>6.4000000000000001E-2</v>
      </c>
      <c r="AJ126" s="149">
        <f t="shared" si="26"/>
        <v>6.4000000000000001E-2</v>
      </c>
      <c r="AK126" s="149">
        <f t="shared" si="26"/>
        <v>6.4000000000000001E-2</v>
      </c>
      <c r="AL126" s="149">
        <f t="shared" si="26"/>
        <v>6.4000000000000001E-2</v>
      </c>
      <c r="AM126" s="149">
        <f t="shared" si="26"/>
        <v>6.4000000000000001E-2</v>
      </c>
      <c r="AN126" s="149">
        <f t="shared" si="26"/>
        <v>6.4000000000000001E-2</v>
      </c>
      <c r="AO126" s="149">
        <f t="shared" si="26"/>
        <v>0.04</v>
      </c>
      <c r="AP126" s="149">
        <f t="shared" si="26"/>
        <v>0</v>
      </c>
      <c r="AQ126" s="149">
        <f t="shared" si="26"/>
        <v>0</v>
      </c>
      <c r="AR126" s="149">
        <f t="shared" si="26"/>
        <v>0</v>
      </c>
      <c r="AS126" s="149">
        <f t="shared" si="26"/>
        <v>0</v>
      </c>
      <c r="AT126" s="149">
        <f t="shared" si="26"/>
        <v>0</v>
      </c>
      <c r="AU126" s="149">
        <f t="shared" si="26"/>
        <v>0</v>
      </c>
      <c r="AV126" s="149">
        <f t="shared" si="26"/>
        <v>0</v>
      </c>
      <c r="AW126" s="149">
        <f t="shared" si="26"/>
        <v>0</v>
      </c>
      <c r="AX126" s="149">
        <f t="shared" si="26"/>
        <v>0</v>
      </c>
    </row>
    <row r="127" spans="1:50" ht="15" customHeight="1">
      <c r="A127" s="145"/>
      <c r="B127" s="93"/>
      <c r="C127" s="93"/>
      <c r="D127" s="90"/>
      <c r="E127" s="11" t="s">
        <v>329</v>
      </c>
      <c r="G127" s="11" t="s">
        <v>160</v>
      </c>
      <c r="I127" s="140"/>
      <c r="J127" s="140"/>
      <c r="K127" s="149">
        <f t="shared" ref="K127:AX127" si="27">($I$118+K121)*(K$16&lt;&gt;0)</f>
        <v>0</v>
      </c>
      <c r="L127" s="149">
        <f t="shared" si="27"/>
        <v>0</v>
      </c>
      <c r="M127" s="149">
        <f t="shared" si="27"/>
        <v>0</v>
      </c>
      <c r="N127" s="149">
        <f t="shared" si="27"/>
        <v>0</v>
      </c>
      <c r="O127" s="149">
        <f t="shared" si="27"/>
        <v>0</v>
      </c>
      <c r="P127" s="149">
        <f t="shared" si="27"/>
        <v>0</v>
      </c>
      <c r="Q127" s="149">
        <f t="shared" si="27"/>
        <v>6.4000000000000001E-2</v>
      </c>
      <c r="R127" s="149">
        <f t="shared" si="27"/>
        <v>6.4000000000000001E-2</v>
      </c>
      <c r="S127" s="149">
        <f t="shared" si="27"/>
        <v>6.4000000000000001E-2</v>
      </c>
      <c r="T127" s="149">
        <f t="shared" si="27"/>
        <v>6.4000000000000001E-2</v>
      </c>
      <c r="U127" s="149">
        <f t="shared" si="27"/>
        <v>6.4000000000000001E-2</v>
      </c>
      <c r="V127" s="149">
        <f t="shared" si="27"/>
        <v>6.4000000000000001E-2</v>
      </c>
      <c r="W127" s="149">
        <f t="shared" si="27"/>
        <v>6.4000000000000001E-2</v>
      </c>
      <c r="X127" s="149">
        <f t="shared" si="27"/>
        <v>6.4000000000000001E-2</v>
      </c>
      <c r="Y127" s="149">
        <f t="shared" si="27"/>
        <v>6.4000000000000001E-2</v>
      </c>
      <c r="Z127" s="149">
        <f t="shared" si="27"/>
        <v>6.4000000000000001E-2</v>
      </c>
      <c r="AA127" s="149">
        <f t="shared" si="27"/>
        <v>6.4000000000000001E-2</v>
      </c>
      <c r="AB127" s="149">
        <f t="shared" si="27"/>
        <v>6.4000000000000001E-2</v>
      </c>
      <c r="AC127" s="149">
        <f t="shared" si="27"/>
        <v>6.4000000000000001E-2</v>
      </c>
      <c r="AD127" s="149">
        <f t="shared" si="27"/>
        <v>6.4000000000000001E-2</v>
      </c>
      <c r="AE127" s="149">
        <f t="shared" si="27"/>
        <v>6.4000000000000001E-2</v>
      </c>
      <c r="AF127" s="149">
        <f t="shared" si="27"/>
        <v>6.4000000000000001E-2</v>
      </c>
      <c r="AG127" s="149">
        <f t="shared" si="27"/>
        <v>6.4000000000000001E-2</v>
      </c>
      <c r="AH127" s="149">
        <f t="shared" si="27"/>
        <v>6.4000000000000001E-2</v>
      </c>
      <c r="AI127" s="149">
        <f t="shared" si="27"/>
        <v>6.4000000000000001E-2</v>
      </c>
      <c r="AJ127" s="149">
        <f t="shared" si="27"/>
        <v>6.4000000000000001E-2</v>
      </c>
      <c r="AK127" s="149">
        <f t="shared" si="27"/>
        <v>6.4000000000000001E-2</v>
      </c>
      <c r="AL127" s="149">
        <f t="shared" si="27"/>
        <v>6.4000000000000001E-2</v>
      </c>
      <c r="AM127" s="149">
        <f t="shared" si="27"/>
        <v>6.4000000000000001E-2</v>
      </c>
      <c r="AN127" s="149">
        <f t="shared" si="27"/>
        <v>6.4000000000000001E-2</v>
      </c>
      <c r="AO127" s="149">
        <f t="shared" si="27"/>
        <v>0.04</v>
      </c>
      <c r="AP127" s="149">
        <f t="shared" si="27"/>
        <v>0</v>
      </c>
      <c r="AQ127" s="149">
        <f t="shared" si="27"/>
        <v>0</v>
      </c>
      <c r="AR127" s="149">
        <f t="shared" si="27"/>
        <v>0</v>
      </c>
      <c r="AS127" s="149">
        <f t="shared" si="27"/>
        <v>0</v>
      </c>
      <c r="AT127" s="149">
        <f t="shared" si="27"/>
        <v>0</v>
      </c>
      <c r="AU127" s="149">
        <f t="shared" si="27"/>
        <v>0</v>
      </c>
      <c r="AV127" s="149">
        <f t="shared" si="27"/>
        <v>0</v>
      </c>
      <c r="AW127" s="149">
        <f t="shared" si="27"/>
        <v>0</v>
      </c>
      <c r="AX127" s="149">
        <f t="shared" si="27"/>
        <v>0</v>
      </c>
    </row>
    <row r="128" spans="1:50" ht="15" customHeight="1">
      <c r="A128" s="145"/>
      <c r="B128" s="93"/>
      <c r="C128" s="93"/>
      <c r="D128" s="90"/>
      <c r="E128" s="11" t="s">
        <v>330</v>
      </c>
      <c r="G128" s="11" t="s">
        <v>160</v>
      </c>
      <c r="I128" s="140"/>
      <c r="J128" s="140"/>
      <c r="K128" s="149">
        <f t="shared" ref="K128:AX128" si="28">($I$118+K122)*(K$16&lt;&gt;0)</f>
        <v>0</v>
      </c>
      <c r="L128" s="149">
        <f t="shared" si="28"/>
        <v>0</v>
      </c>
      <c r="M128" s="149">
        <f t="shared" si="28"/>
        <v>0</v>
      </c>
      <c r="N128" s="149">
        <f t="shared" si="28"/>
        <v>0</v>
      </c>
      <c r="O128" s="149">
        <f t="shared" si="28"/>
        <v>0</v>
      </c>
      <c r="P128" s="149">
        <f t="shared" si="28"/>
        <v>0</v>
      </c>
      <c r="Q128" s="149">
        <f t="shared" si="28"/>
        <v>6.4000000000000001E-2</v>
      </c>
      <c r="R128" s="149">
        <f t="shared" si="28"/>
        <v>6.4000000000000001E-2</v>
      </c>
      <c r="S128" s="149">
        <f t="shared" si="28"/>
        <v>6.4000000000000001E-2</v>
      </c>
      <c r="T128" s="149">
        <f t="shared" si="28"/>
        <v>6.4000000000000001E-2</v>
      </c>
      <c r="U128" s="149">
        <f t="shared" si="28"/>
        <v>6.4000000000000001E-2</v>
      </c>
      <c r="V128" s="149">
        <f t="shared" si="28"/>
        <v>6.4000000000000001E-2</v>
      </c>
      <c r="W128" s="149">
        <f t="shared" si="28"/>
        <v>6.4000000000000001E-2</v>
      </c>
      <c r="X128" s="149">
        <f t="shared" si="28"/>
        <v>6.4000000000000001E-2</v>
      </c>
      <c r="Y128" s="149">
        <f t="shared" si="28"/>
        <v>6.4000000000000001E-2</v>
      </c>
      <c r="Z128" s="149">
        <f t="shared" si="28"/>
        <v>6.4000000000000001E-2</v>
      </c>
      <c r="AA128" s="149">
        <f t="shared" si="28"/>
        <v>6.4000000000000001E-2</v>
      </c>
      <c r="AB128" s="149">
        <f t="shared" si="28"/>
        <v>6.4000000000000001E-2</v>
      </c>
      <c r="AC128" s="149">
        <f t="shared" si="28"/>
        <v>6.4000000000000001E-2</v>
      </c>
      <c r="AD128" s="149">
        <f t="shared" si="28"/>
        <v>6.4000000000000001E-2</v>
      </c>
      <c r="AE128" s="149">
        <f t="shared" si="28"/>
        <v>6.4000000000000001E-2</v>
      </c>
      <c r="AF128" s="149">
        <f t="shared" si="28"/>
        <v>6.4000000000000001E-2</v>
      </c>
      <c r="AG128" s="149">
        <f t="shared" si="28"/>
        <v>6.4000000000000001E-2</v>
      </c>
      <c r="AH128" s="149">
        <f t="shared" si="28"/>
        <v>6.4000000000000001E-2</v>
      </c>
      <c r="AI128" s="149">
        <f t="shared" si="28"/>
        <v>6.4000000000000001E-2</v>
      </c>
      <c r="AJ128" s="149">
        <f t="shared" si="28"/>
        <v>6.4000000000000001E-2</v>
      </c>
      <c r="AK128" s="149">
        <f t="shared" si="28"/>
        <v>6.4000000000000001E-2</v>
      </c>
      <c r="AL128" s="149">
        <f t="shared" si="28"/>
        <v>6.4000000000000001E-2</v>
      </c>
      <c r="AM128" s="149">
        <f t="shared" si="28"/>
        <v>6.4000000000000001E-2</v>
      </c>
      <c r="AN128" s="149">
        <f t="shared" si="28"/>
        <v>6.4000000000000001E-2</v>
      </c>
      <c r="AO128" s="149">
        <f t="shared" si="28"/>
        <v>0.04</v>
      </c>
      <c r="AP128" s="149">
        <f t="shared" si="28"/>
        <v>0</v>
      </c>
      <c r="AQ128" s="149">
        <f t="shared" si="28"/>
        <v>0</v>
      </c>
      <c r="AR128" s="149">
        <f t="shared" si="28"/>
        <v>0</v>
      </c>
      <c r="AS128" s="149">
        <f t="shared" si="28"/>
        <v>0</v>
      </c>
      <c r="AT128" s="149">
        <f t="shared" si="28"/>
        <v>0</v>
      </c>
      <c r="AU128" s="149">
        <f t="shared" si="28"/>
        <v>0</v>
      </c>
      <c r="AV128" s="149">
        <f t="shared" si="28"/>
        <v>0</v>
      </c>
      <c r="AW128" s="149">
        <f t="shared" si="28"/>
        <v>0</v>
      </c>
      <c r="AX128" s="149">
        <f t="shared" si="28"/>
        <v>0</v>
      </c>
    </row>
    <row r="129" spans="1:50" ht="15" customHeight="1">
      <c r="A129" s="145"/>
      <c r="B129" s="93"/>
      <c r="C129" s="93"/>
      <c r="D129" s="90"/>
      <c r="E129" s="11" t="s">
        <v>332</v>
      </c>
      <c r="G129" s="11" t="s">
        <v>160</v>
      </c>
      <c r="I129" s="140"/>
      <c r="J129" s="140"/>
      <c r="K129" s="149">
        <f t="shared" ref="K129:AX129" si="29">($I$118+K123)*(K$16&lt;&gt;0)</f>
        <v>0</v>
      </c>
      <c r="L129" s="149">
        <f t="shared" si="29"/>
        <v>0</v>
      </c>
      <c r="M129" s="149">
        <f t="shared" si="29"/>
        <v>0</v>
      </c>
      <c r="N129" s="149">
        <f t="shared" si="29"/>
        <v>0</v>
      </c>
      <c r="O129" s="149">
        <f t="shared" si="29"/>
        <v>0</v>
      </c>
      <c r="P129" s="149">
        <f t="shared" si="29"/>
        <v>0</v>
      </c>
      <c r="Q129" s="149">
        <f t="shared" si="29"/>
        <v>5.2999999999999999E-2</v>
      </c>
      <c r="R129" s="149">
        <f t="shared" si="29"/>
        <v>5.2999999999999999E-2</v>
      </c>
      <c r="S129" s="149">
        <f t="shared" si="29"/>
        <v>5.2999999999999999E-2</v>
      </c>
      <c r="T129" s="149">
        <f t="shared" si="29"/>
        <v>5.2999999999999999E-2</v>
      </c>
      <c r="U129" s="149">
        <f t="shared" si="29"/>
        <v>5.2999999999999999E-2</v>
      </c>
      <c r="V129" s="149">
        <f t="shared" si="29"/>
        <v>5.2999999999999999E-2</v>
      </c>
      <c r="W129" s="149">
        <f t="shared" si="29"/>
        <v>5.2999999999999999E-2</v>
      </c>
      <c r="X129" s="149">
        <f t="shared" si="29"/>
        <v>5.2999999999999999E-2</v>
      </c>
      <c r="Y129" s="149">
        <f t="shared" si="29"/>
        <v>5.2999999999999999E-2</v>
      </c>
      <c r="Z129" s="149">
        <f t="shared" si="29"/>
        <v>5.2999999999999999E-2</v>
      </c>
      <c r="AA129" s="149">
        <f t="shared" si="29"/>
        <v>5.2999999999999999E-2</v>
      </c>
      <c r="AB129" s="149">
        <f t="shared" si="29"/>
        <v>5.2999999999999999E-2</v>
      </c>
      <c r="AC129" s="149">
        <f t="shared" si="29"/>
        <v>5.2999999999999999E-2</v>
      </c>
      <c r="AD129" s="149">
        <f t="shared" si="29"/>
        <v>5.2999999999999999E-2</v>
      </c>
      <c r="AE129" s="149">
        <f t="shared" si="29"/>
        <v>5.2999999999999999E-2</v>
      </c>
      <c r="AF129" s="149">
        <f t="shared" si="29"/>
        <v>5.2999999999999999E-2</v>
      </c>
      <c r="AG129" s="149">
        <f t="shared" si="29"/>
        <v>5.2999999999999999E-2</v>
      </c>
      <c r="AH129" s="149">
        <f t="shared" si="29"/>
        <v>5.2999999999999999E-2</v>
      </c>
      <c r="AI129" s="149">
        <f t="shared" si="29"/>
        <v>5.2999999999999999E-2</v>
      </c>
      <c r="AJ129" s="149">
        <f t="shared" si="29"/>
        <v>5.2999999999999999E-2</v>
      </c>
      <c r="AK129" s="149">
        <f t="shared" si="29"/>
        <v>5.2999999999999999E-2</v>
      </c>
      <c r="AL129" s="149">
        <f t="shared" si="29"/>
        <v>5.2999999999999999E-2</v>
      </c>
      <c r="AM129" s="149">
        <f t="shared" si="29"/>
        <v>5.2999999999999999E-2</v>
      </c>
      <c r="AN129" s="149">
        <f t="shared" si="29"/>
        <v>5.2999999999999999E-2</v>
      </c>
      <c r="AO129" s="149">
        <f t="shared" si="29"/>
        <v>0.04</v>
      </c>
      <c r="AP129" s="149">
        <f t="shared" si="29"/>
        <v>0</v>
      </c>
      <c r="AQ129" s="149">
        <f t="shared" si="29"/>
        <v>0</v>
      </c>
      <c r="AR129" s="149">
        <f t="shared" si="29"/>
        <v>0</v>
      </c>
      <c r="AS129" s="149">
        <f t="shared" si="29"/>
        <v>0</v>
      </c>
      <c r="AT129" s="149">
        <f t="shared" si="29"/>
        <v>0</v>
      </c>
      <c r="AU129" s="149">
        <f t="shared" si="29"/>
        <v>0</v>
      </c>
      <c r="AV129" s="149">
        <f t="shared" si="29"/>
        <v>0</v>
      </c>
      <c r="AW129" s="149">
        <f t="shared" si="29"/>
        <v>0</v>
      </c>
      <c r="AX129" s="149">
        <f t="shared" si="29"/>
        <v>0</v>
      </c>
    </row>
    <row r="130" spans="1:50" ht="15" customHeight="1">
      <c r="A130" s="145"/>
      <c r="B130" s="93"/>
      <c r="C130" s="93"/>
      <c r="D130" s="90"/>
      <c r="E130" s="150"/>
      <c r="I130" s="140"/>
      <c r="J130" s="140"/>
      <c r="K130" s="149"/>
      <c r="L130" s="149"/>
      <c r="M130" s="149"/>
      <c r="N130" s="149"/>
      <c r="O130" s="149"/>
      <c r="P130" s="149"/>
      <c r="Q130" s="149"/>
      <c r="R130" s="149"/>
      <c r="S130" s="149"/>
      <c r="T130" s="149"/>
      <c r="U130" s="149"/>
      <c r="V130" s="149"/>
      <c r="W130" s="149"/>
      <c r="X130" s="149"/>
      <c r="Y130" s="149"/>
      <c r="Z130" s="149"/>
      <c r="AA130" s="149"/>
      <c r="AB130" s="149"/>
      <c r="AC130" s="149"/>
      <c r="AD130" s="149"/>
      <c r="AE130" s="149"/>
      <c r="AF130" s="149"/>
      <c r="AG130" s="149"/>
      <c r="AH130" s="149"/>
      <c r="AI130" s="149"/>
      <c r="AJ130" s="149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</row>
    <row r="131" spans="1:50" ht="15" customHeight="1">
      <c r="A131" s="145"/>
      <c r="B131" s="93"/>
      <c r="C131" s="93"/>
      <c r="D131" s="90"/>
      <c r="E131" s="11" t="s">
        <v>333</v>
      </c>
      <c r="F131" s="1"/>
      <c r="G131" s="77" t="s">
        <v>166</v>
      </c>
      <c r="I131" s="141">
        <f>Inputs!I76</f>
        <v>0.35</v>
      </c>
      <c r="J131" s="140"/>
      <c r="K131" s="149"/>
      <c r="L131" s="149"/>
      <c r="M131" s="149"/>
      <c r="N131" s="149"/>
      <c r="O131" s="149"/>
      <c r="P131" s="149"/>
      <c r="Q131" s="149"/>
      <c r="R131" s="149"/>
      <c r="S131" s="149"/>
      <c r="T131" s="149"/>
      <c r="U131" s="149"/>
      <c r="V131" s="149"/>
      <c r="W131" s="149"/>
      <c r="X131" s="149"/>
      <c r="Y131" s="149"/>
      <c r="Z131" s="149"/>
      <c r="AA131" s="149"/>
      <c r="AB131" s="149"/>
      <c r="AC131" s="149"/>
      <c r="AD131" s="149"/>
      <c r="AE131" s="149"/>
      <c r="AF131" s="149"/>
      <c r="AG131" s="149"/>
      <c r="AH131" s="149"/>
      <c r="AI131" s="149"/>
      <c r="AJ131" s="149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</row>
    <row r="132" spans="1:50" ht="15" customHeight="1">
      <c r="A132" s="145"/>
      <c r="B132" s="93"/>
      <c r="C132" s="93"/>
      <c r="D132" s="90"/>
      <c r="E132" s="11" t="s">
        <v>334</v>
      </c>
      <c r="F132" s="1"/>
      <c r="G132" s="77" t="s">
        <v>166</v>
      </c>
      <c r="I132" s="141">
        <f>Inputs!I84</f>
        <v>0.35</v>
      </c>
      <c r="J132" s="140"/>
      <c r="K132" s="149"/>
      <c r="L132" s="149"/>
      <c r="M132" s="149"/>
      <c r="N132" s="149"/>
      <c r="O132" s="149"/>
      <c r="P132" s="149"/>
      <c r="Q132" s="149"/>
      <c r="R132" s="149"/>
      <c r="S132" s="149"/>
      <c r="T132" s="149"/>
      <c r="U132" s="149"/>
      <c r="V132" s="149"/>
      <c r="W132" s="149"/>
      <c r="X132" s="149"/>
      <c r="Y132" s="149"/>
      <c r="Z132" s="149"/>
      <c r="AA132" s="149"/>
      <c r="AB132" s="149"/>
      <c r="AC132" s="149"/>
      <c r="AD132" s="149"/>
      <c r="AE132" s="149"/>
      <c r="AF132" s="149"/>
      <c r="AG132" s="149"/>
      <c r="AH132" s="149"/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</row>
    <row r="133" spans="1:50" ht="15" customHeight="1">
      <c r="A133" s="145"/>
      <c r="B133" s="93"/>
      <c r="C133" s="93"/>
      <c r="D133" s="90"/>
      <c r="E133" s="11" t="s">
        <v>335</v>
      </c>
      <c r="F133" s="1"/>
      <c r="G133" s="77" t="s">
        <v>166</v>
      </c>
      <c r="I133" s="141">
        <f>Inputs!I90</f>
        <v>0.35</v>
      </c>
      <c r="J133" s="140"/>
      <c r="K133" s="149"/>
      <c r="L133" s="149"/>
      <c r="M133" s="149"/>
      <c r="N133" s="149"/>
      <c r="O133" s="149"/>
      <c r="P133" s="149"/>
      <c r="Q133" s="149"/>
      <c r="R133" s="149"/>
      <c r="S133" s="149"/>
      <c r="T133" s="149"/>
      <c r="U133" s="149"/>
      <c r="V133" s="149"/>
      <c r="W133" s="149"/>
      <c r="X133" s="149"/>
      <c r="Y133" s="149"/>
      <c r="Z133" s="149"/>
      <c r="AA133" s="149"/>
      <c r="AB133" s="149"/>
      <c r="AC133" s="149"/>
      <c r="AD133" s="149"/>
      <c r="AE133" s="149"/>
      <c r="AF133" s="149"/>
      <c r="AG133" s="149"/>
      <c r="AH133" s="149"/>
      <c r="AI133" s="149"/>
      <c r="AJ133" s="149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</row>
    <row r="134" spans="1:50" ht="15" customHeight="1">
      <c r="A134" s="145"/>
      <c r="B134" s="93"/>
      <c r="C134" s="93"/>
      <c r="D134" s="90"/>
      <c r="E134" s="11" t="s">
        <v>336</v>
      </c>
      <c r="F134" s="1"/>
      <c r="G134" s="77" t="s">
        <v>166</v>
      </c>
      <c r="I134" s="141">
        <f>Inputs!I95</f>
        <v>0.35</v>
      </c>
      <c r="J134" s="140"/>
      <c r="K134" s="149"/>
      <c r="L134" s="149"/>
      <c r="M134" s="149"/>
      <c r="N134" s="149"/>
      <c r="O134" s="149"/>
      <c r="P134" s="149"/>
      <c r="Q134" s="149"/>
      <c r="R134" s="149"/>
      <c r="S134" s="149"/>
      <c r="T134" s="149"/>
      <c r="U134" s="149"/>
      <c r="V134" s="149"/>
      <c r="W134" s="149"/>
      <c r="X134" s="149"/>
      <c r="Y134" s="149"/>
      <c r="Z134" s="149"/>
      <c r="AA134" s="149"/>
      <c r="AB134" s="149"/>
      <c r="AC134" s="149"/>
      <c r="AD134" s="149"/>
      <c r="AE134" s="149"/>
      <c r="AF134" s="149"/>
      <c r="AG134" s="149"/>
      <c r="AH134" s="149"/>
      <c r="AI134" s="149"/>
      <c r="AJ134" s="149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</row>
    <row r="135" spans="1:50" ht="15" customHeight="1">
      <c r="A135" s="145"/>
      <c r="B135" s="93"/>
      <c r="C135" s="93"/>
      <c r="D135" s="90"/>
      <c r="E135" s="11" t="s">
        <v>338</v>
      </c>
      <c r="F135" s="1"/>
      <c r="G135" s="77" t="s">
        <v>166</v>
      </c>
      <c r="I135" s="141">
        <f>Inputs!I106</f>
        <v>0</v>
      </c>
      <c r="J135" s="140"/>
      <c r="K135" s="149"/>
      <c r="L135" s="149"/>
      <c r="M135" s="149"/>
      <c r="N135" s="149"/>
      <c r="O135" s="149"/>
      <c r="P135" s="149"/>
      <c r="Q135" s="149"/>
      <c r="R135" s="149"/>
      <c r="S135" s="149"/>
      <c r="T135" s="149"/>
      <c r="U135" s="149"/>
      <c r="V135" s="149"/>
      <c r="W135" s="149"/>
      <c r="X135" s="149"/>
      <c r="Y135" s="149"/>
      <c r="Z135" s="149"/>
      <c r="AA135" s="149"/>
      <c r="AB135" s="149"/>
      <c r="AC135" s="149"/>
      <c r="AD135" s="149"/>
      <c r="AE135" s="149"/>
      <c r="AF135" s="149"/>
      <c r="AG135" s="149"/>
      <c r="AH135" s="149"/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</row>
    <row r="136" spans="1:50" ht="15" customHeight="1">
      <c r="A136" s="145"/>
      <c r="B136" s="93"/>
      <c r="C136" s="93"/>
      <c r="D136" s="90"/>
      <c r="E136" s="150"/>
      <c r="I136" s="140"/>
      <c r="J136" s="140"/>
      <c r="K136" s="149"/>
      <c r="L136" s="149"/>
      <c r="M136" s="149"/>
      <c r="N136" s="149"/>
      <c r="O136" s="149"/>
      <c r="P136" s="149"/>
      <c r="Q136" s="149"/>
      <c r="R136" s="149"/>
      <c r="S136" s="149"/>
      <c r="T136" s="149"/>
      <c r="U136" s="149"/>
      <c r="V136" s="149"/>
      <c r="W136" s="149"/>
      <c r="X136" s="149"/>
      <c r="Y136" s="149"/>
      <c r="Z136" s="149"/>
      <c r="AA136" s="149"/>
      <c r="AB136" s="149"/>
      <c r="AC136" s="149"/>
      <c r="AD136" s="149"/>
      <c r="AE136" s="149"/>
      <c r="AF136" s="149"/>
      <c r="AG136" s="149"/>
      <c r="AH136" s="149"/>
      <c r="AI136" s="149"/>
      <c r="AJ136" s="149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</row>
    <row r="137" spans="1:50" ht="15" customHeight="1">
      <c r="A137" s="145"/>
      <c r="B137" s="93"/>
      <c r="C137" s="93"/>
      <c r="D137" s="90"/>
      <c r="E137" s="1" t="s">
        <v>341</v>
      </c>
      <c r="F137" s="1"/>
      <c r="G137" s="11" t="s">
        <v>77</v>
      </c>
      <c r="I137" s="140"/>
      <c r="J137" s="140"/>
      <c r="K137" s="1">
        <f t="shared" ref="K137:AX137" si="30">SUM(K63:K64)*K125</f>
        <v>0</v>
      </c>
      <c r="L137" s="1">
        <f>SUM(L63:L64)*L125</f>
        <v>0</v>
      </c>
      <c r="M137" s="1">
        <f t="shared" si="30"/>
        <v>0</v>
      </c>
      <c r="N137" s="1">
        <f t="shared" si="30"/>
        <v>0</v>
      </c>
      <c r="O137" s="1">
        <f>SUM(O63:O64)*O125</f>
        <v>0</v>
      </c>
      <c r="P137" s="1">
        <f t="shared" si="30"/>
        <v>0</v>
      </c>
      <c r="Q137" s="1">
        <f t="shared" si="30"/>
        <v>32</v>
      </c>
      <c r="R137" s="1">
        <f t="shared" si="30"/>
        <v>30.72</v>
      </c>
      <c r="S137" s="1">
        <f t="shared" si="30"/>
        <v>29.44</v>
      </c>
      <c r="T137" s="1">
        <f t="shared" si="30"/>
        <v>28.16</v>
      </c>
      <c r="U137" s="1">
        <f t="shared" si="30"/>
        <v>26.88</v>
      </c>
      <c r="V137" s="1">
        <f t="shared" si="30"/>
        <v>25.6</v>
      </c>
      <c r="W137" s="1">
        <f t="shared" si="30"/>
        <v>24.32</v>
      </c>
      <c r="X137" s="1">
        <f t="shared" si="30"/>
        <v>23.04</v>
      </c>
      <c r="Y137" s="1">
        <f t="shared" si="30"/>
        <v>21.76</v>
      </c>
      <c r="Z137" s="1">
        <f t="shared" si="30"/>
        <v>20.48</v>
      </c>
      <c r="AA137" s="1">
        <f t="shared" si="30"/>
        <v>19.2</v>
      </c>
      <c r="AB137" s="1">
        <f t="shared" si="30"/>
        <v>17.920000000000002</v>
      </c>
      <c r="AC137" s="1">
        <f t="shared" si="30"/>
        <v>16.64</v>
      </c>
      <c r="AD137" s="1">
        <f t="shared" si="30"/>
        <v>15.36</v>
      </c>
      <c r="AE137" s="1">
        <f t="shared" si="30"/>
        <v>14.08</v>
      </c>
      <c r="AF137" s="1">
        <f t="shared" si="30"/>
        <v>12.8</v>
      </c>
      <c r="AG137" s="1">
        <f t="shared" si="30"/>
        <v>11.52</v>
      </c>
      <c r="AH137" s="1">
        <f t="shared" si="30"/>
        <v>10.24</v>
      </c>
      <c r="AI137" s="1">
        <f t="shared" si="30"/>
        <v>8.9600000000000009</v>
      </c>
      <c r="AJ137" s="1">
        <f t="shared" si="30"/>
        <v>7.68</v>
      </c>
      <c r="AK137" s="1">
        <f t="shared" si="30"/>
        <v>6.4</v>
      </c>
      <c r="AL137" s="1">
        <f t="shared" si="30"/>
        <v>5.12</v>
      </c>
      <c r="AM137" s="1">
        <f t="shared" si="30"/>
        <v>3.84</v>
      </c>
      <c r="AN137" s="1">
        <f t="shared" si="30"/>
        <v>2.56</v>
      </c>
      <c r="AO137" s="1">
        <f t="shared" si="30"/>
        <v>0.8</v>
      </c>
      <c r="AP137" s="1">
        <f t="shared" si="30"/>
        <v>0</v>
      </c>
      <c r="AQ137" s="1">
        <f t="shared" si="30"/>
        <v>0</v>
      </c>
      <c r="AR137" s="1">
        <f t="shared" si="30"/>
        <v>0</v>
      </c>
      <c r="AS137" s="1">
        <f t="shared" si="30"/>
        <v>0</v>
      </c>
      <c r="AT137" s="1">
        <f t="shared" si="30"/>
        <v>0</v>
      </c>
      <c r="AU137" s="1">
        <f t="shared" si="30"/>
        <v>0</v>
      </c>
      <c r="AV137" s="1">
        <f t="shared" si="30"/>
        <v>0</v>
      </c>
      <c r="AW137" s="1">
        <f t="shared" si="30"/>
        <v>0</v>
      </c>
      <c r="AX137" s="1">
        <f t="shared" si="30"/>
        <v>0</v>
      </c>
    </row>
    <row r="138" spans="1:50" ht="15" customHeight="1">
      <c r="A138" s="145"/>
      <c r="B138" s="93"/>
      <c r="C138" s="93"/>
      <c r="D138" s="90"/>
      <c r="E138" s="1" t="s">
        <v>342</v>
      </c>
      <c r="F138" s="1"/>
      <c r="G138" s="11" t="s">
        <v>77</v>
      </c>
      <c r="I138" s="140"/>
      <c r="J138" s="140"/>
      <c r="K138" s="1">
        <f t="shared" ref="K138:AX138" si="31">$I$70*K127</f>
        <v>0</v>
      </c>
      <c r="L138" s="1">
        <f t="shared" si="31"/>
        <v>0</v>
      </c>
      <c r="M138" s="1">
        <f t="shared" si="31"/>
        <v>0</v>
      </c>
      <c r="N138" s="1">
        <f t="shared" si="31"/>
        <v>0</v>
      </c>
      <c r="O138" s="1">
        <f t="shared" si="31"/>
        <v>0</v>
      </c>
      <c r="P138" s="1">
        <f t="shared" si="31"/>
        <v>0</v>
      </c>
      <c r="Q138" s="1">
        <f t="shared" si="31"/>
        <v>0.32</v>
      </c>
      <c r="R138" s="1">
        <f t="shared" si="31"/>
        <v>0.32</v>
      </c>
      <c r="S138" s="1">
        <f t="shared" si="31"/>
        <v>0.32</v>
      </c>
      <c r="T138" s="1">
        <f t="shared" si="31"/>
        <v>0.32</v>
      </c>
      <c r="U138" s="1">
        <f t="shared" si="31"/>
        <v>0.32</v>
      </c>
      <c r="V138" s="1">
        <f t="shared" si="31"/>
        <v>0.32</v>
      </c>
      <c r="W138" s="1">
        <f t="shared" si="31"/>
        <v>0.32</v>
      </c>
      <c r="X138" s="1">
        <f t="shared" si="31"/>
        <v>0.32</v>
      </c>
      <c r="Y138" s="1">
        <f t="shared" si="31"/>
        <v>0.32</v>
      </c>
      <c r="Z138" s="1">
        <f t="shared" si="31"/>
        <v>0.32</v>
      </c>
      <c r="AA138" s="1">
        <f t="shared" si="31"/>
        <v>0.32</v>
      </c>
      <c r="AB138" s="1">
        <f t="shared" si="31"/>
        <v>0.32</v>
      </c>
      <c r="AC138" s="1">
        <f t="shared" si="31"/>
        <v>0.32</v>
      </c>
      <c r="AD138" s="1">
        <f t="shared" si="31"/>
        <v>0.32</v>
      </c>
      <c r="AE138" s="1">
        <f t="shared" si="31"/>
        <v>0.32</v>
      </c>
      <c r="AF138" s="1">
        <f t="shared" si="31"/>
        <v>0.32</v>
      </c>
      <c r="AG138" s="1">
        <f t="shared" si="31"/>
        <v>0.32</v>
      </c>
      <c r="AH138" s="1">
        <f t="shared" si="31"/>
        <v>0.32</v>
      </c>
      <c r="AI138" s="1">
        <f t="shared" si="31"/>
        <v>0.32</v>
      </c>
      <c r="AJ138" s="1">
        <f t="shared" si="31"/>
        <v>0.32</v>
      </c>
      <c r="AK138" s="1">
        <f t="shared" si="31"/>
        <v>0.32</v>
      </c>
      <c r="AL138" s="1">
        <f t="shared" si="31"/>
        <v>0.32</v>
      </c>
      <c r="AM138" s="1">
        <f t="shared" si="31"/>
        <v>0.32</v>
      </c>
      <c r="AN138" s="1">
        <f t="shared" si="31"/>
        <v>0.32</v>
      </c>
      <c r="AO138" s="1">
        <f t="shared" si="31"/>
        <v>0.2</v>
      </c>
      <c r="AP138" s="1">
        <f t="shared" si="31"/>
        <v>0</v>
      </c>
      <c r="AQ138" s="1">
        <f t="shared" si="31"/>
        <v>0</v>
      </c>
      <c r="AR138" s="1">
        <f t="shared" si="31"/>
        <v>0</v>
      </c>
      <c r="AS138" s="1">
        <f t="shared" si="31"/>
        <v>0</v>
      </c>
      <c r="AT138" s="1">
        <f t="shared" si="31"/>
        <v>0</v>
      </c>
      <c r="AU138" s="1">
        <f t="shared" si="31"/>
        <v>0</v>
      </c>
      <c r="AV138" s="1">
        <f t="shared" si="31"/>
        <v>0</v>
      </c>
      <c r="AW138" s="1">
        <f t="shared" si="31"/>
        <v>0</v>
      </c>
      <c r="AX138" s="1">
        <f t="shared" si="31"/>
        <v>0</v>
      </c>
    </row>
    <row r="139" spans="1:50" ht="15" customHeight="1">
      <c r="A139" s="145"/>
      <c r="B139" s="93"/>
      <c r="C139" s="93"/>
      <c r="D139" s="90"/>
      <c r="E139" s="1" t="s">
        <v>344</v>
      </c>
      <c r="F139" s="1"/>
      <c r="G139" s="11" t="s">
        <v>77</v>
      </c>
      <c r="I139" s="140"/>
      <c r="J139" s="140"/>
      <c r="K139" s="1">
        <f t="shared" ref="K139:AX139" si="32">($I$68*(K126-$I$118)*$I$132+($I$69-$I$70)*(K127-$I$118)*$I$133+$I$74*(K129-$I$118)*$I$135)*(K$16&lt;&gt;0)</f>
        <v>0</v>
      </c>
      <c r="L139" s="1">
        <f t="shared" si="32"/>
        <v>0</v>
      </c>
      <c r="M139" s="1">
        <f t="shared" si="32"/>
        <v>0</v>
      </c>
      <c r="N139" s="1">
        <f t="shared" si="32"/>
        <v>0</v>
      </c>
      <c r="O139" s="1">
        <f t="shared" si="32"/>
        <v>0</v>
      </c>
      <c r="P139" s="1">
        <f t="shared" si="32"/>
        <v>0</v>
      </c>
      <c r="Q139" s="1">
        <f t="shared" si="32"/>
        <v>0.63</v>
      </c>
      <c r="R139" s="1">
        <f t="shared" si="32"/>
        <v>0.63</v>
      </c>
      <c r="S139" s="1">
        <f t="shared" si="32"/>
        <v>0.63</v>
      </c>
      <c r="T139" s="1">
        <f t="shared" si="32"/>
        <v>0.63</v>
      </c>
      <c r="U139" s="1">
        <f t="shared" si="32"/>
        <v>0.63</v>
      </c>
      <c r="V139" s="1">
        <f t="shared" si="32"/>
        <v>0.63</v>
      </c>
      <c r="W139" s="1">
        <f t="shared" si="32"/>
        <v>0.63</v>
      </c>
      <c r="X139" s="1">
        <f t="shared" si="32"/>
        <v>0.63</v>
      </c>
      <c r="Y139" s="1">
        <f t="shared" si="32"/>
        <v>0.63</v>
      </c>
      <c r="Z139" s="1">
        <f t="shared" si="32"/>
        <v>0.63</v>
      </c>
      <c r="AA139" s="1">
        <f t="shared" si="32"/>
        <v>0.63</v>
      </c>
      <c r="AB139" s="1">
        <f t="shared" si="32"/>
        <v>0.63</v>
      </c>
      <c r="AC139" s="1">
        <f t="shared" si="32"/>
        <v>0.63</v>
      </c>
      <c r="AD139" s="1">
        <f t="shared" si="32"/>
        <v>0.63</v>
      </c>
      <c r="AE139" s="1">
        <f t="shared" si="32"/>
        <v>0.63</v>
      </c>
      <c r="AF139" s="1">
        <f t="shared" si="32"/>
        <v>0.63</v>
      </c>
      <c r="AG139" s="1">
        <f t="shared" si="32"/>
        <v>0.63</v>
      </c>
      <c r="AH139" s="1">
        <f t="shared" si="32"/>
        <v>0.63</v>
      </c>
      <c r="AI139" s="1">
        <f t="shared" si="32"/>
        <v>0.63</v>
      </c>
      <c r="AJ139" s="1">
        <f t="shared" si="32"/>
        <v>0.63</v>
      </c>
      <c r="AK139" s="1">
        <f t="shared" si="32"/>
        <v>0.63</v>
      </c>
      <c r="AL139" s="1">
        <f t="shared" si="32"/>
        <v>0.63</v>
      </c>
      <c r="AM139" s="1">
        <f t="shared" si="32"/>
        <v>0.63</v>
      </c>
      <c r="AN139" s="1">
        <f t="shared" si="32"/>
        <v>0.63</v>
      </c>
      <c r="AO139" s="1">
        <f t="shared" si="32"/>
        <v>0</v>
      </c>
      <c r="AP139" s="1">
        <f t="shared" si="32"/>
        <v>0</v>
      </c>
      <c r="AQ139" s="1">
        <f t="shared" si="32"/>
        <v>0</v>
      </c>
      <c r="AR139" s="1">
        <f t="shared" si="32"/>
        <v>0</v>
      </c>
      <c r="AS139" s="1">
        <f t="shared" si="32"/>
        <v>0</v>
      </c>
      <c r="AT139" s="1">
        <f t="shared" si="32"/>
        <v>0</v>
      </c>
      <c r="AU139" s="1">
        <f t="shared" si="32"/>
        <v>0</v>
      </c>
      <c r="AV139" s="1">
        <f t="shared" si="32"/>
        <v>0</v>
      </c>
      <c r="AW139" s="1">
        <f t="shared" si="32"/>
        <v>0</v>
      </c>
      <c r="AX139" s="1">
        <f t="shared" si="32"/>
        <v>0</v>
      </c>
    </row>
    <row r="140" spans="1:50" ht="15" customHeight="1">
      <c r="A140" s="92"/>
      <c r="B140" s="1"/>
      <c r="C140" s="1"/>
      <c r="D140" s="1"/>
      <c r="E140" s="77" t="s">
        <v>345</v>
      </c>
      <c r="F140" s="1"/>
      <c r="G140" s="11" t="s">
        <v>77</v>
      </c>
      <c r="H140" s="1"/>
      <c r="I140" s="80"/>
      <c r="J140" s="80"/>
      <c r="K140" s="142">
        <f t="shared" ref="K140:AX140" si="33">SUM(K137:K139)</f>
        <v>0</v>
      </c>
      <c r="L140" s="142">
        <f t="shared" si="33"/>
        <v>0</v>
      </c>
      <c r="M140" s="142">
        <f t="shared" si="33"/>
        <v>0</v>
      </c>
      <c r="N140" s="142">
        <f t="shared" si="33"/>
        <v>0</v>
      </c>
      <c r="O140" s="142">
        <f>SUM(O137:O139)</f>
        <v>0</v>
      </c>
      <c r="P140" s="142">
        <f t="shared" si="33"/>
        <v>0</v>
      </c>
      <c r="Q140" s="142">
        <f t="shared" si="33"/>
        <v>32.950000000000003</v>
      </c>
      <c r="R140" s="142">
        <f t="shared" si="33"/>
        <v>31.669999999999998</v>
      </c>
      <c r="S140" s="142">
        <f t="shared" si="33"/>
        <v>30.39</v>
      </c>
      <c r="T140" s="142">
        <f t="shared" si="33"/>
        <v>29.11</v>
      </c>
      <c r="U140" s="142">
        <f t="shared" si="33"/>
        <v>27.83</v>
      </c>
      <c r="V140" s="142">
        <f t="shared" si="33"/>
        <v>26.55</v>
      </c>
      <c r="W140" s="142">
        <f t="shared" si="33"/>
        <v>25.27</v>
      </c>
      <c r="X140" s="142">
        <f t="shared" si="33"/>
        <v>23.99</v>
      </c>
      <c r="Y140" s="142">
        <f t="shared" si="33"/>
        <v>22.71</v>
      </c>
      <c r="Z140" s="142">
        <f t="shared" si="33"/>
        <v>21.43</v>
      </c>
      <c r="AA140" s="142">
        <f t="shared" si="33"/>
        <v>20.149999999999999</v>
      </c>
      <c r="AB140" s="142">
        <f t="shared" si="33"/>
        <v>18.87</v>
      </c>
      <c r="AC140" s="142">
        <f t="shared" si="33"/>
        <v>17.59</v>
      </c>
      <c r="AD140" s="142">
        <f t="shared" si="33"/>
        <v>16.309999999999999</v>
      </c>
      <c r="AE140" s="142">
        <f t="shared" si="33"/>
        <v>15.030000000000001</v>
      </c>
      <c r="AF140" s="142">
        <f t="shared" si="33"/>
        <v>13.750000000000002</v>
      </c>
      <c r="AG140" s="142">
        <f t="shared" si="33"/>
        <v>12.47</v>
      </c>
      <c r="AH140" s="142">
        <f t="shared" si="33"/>
        <v>11.190000000000001</v>
      </c>
      <c r="AI140" s="142">
        <f t="shared" si="33"/>
        <v>9.9100000000000019</v>
      </c>
      <c r="AJ140" s="142">
        <f t="shared" si="33"/>
        <v>8.6300000000000008</v>
      </c>
      <c r="AK140" s="142">
        <f t="shared" si="33"/>
        <v>7.3500000000000005</v>
      </c>
      <c r="AL140" s="142">
        <f t="shared" si="33"/>
        <v>6.07</v>
      </c>
      <c r="AM140" s="142">
        <f t="shared" si="33"/>
        <v>4.79</v>
      </c>
      <c r="AN140" s="142">
        <f t="shared" si="33"/>
        <v>3.51</v>
      </c>
      <c r="AO140" s="142">
        <f t="shared" si="33"/>
        <v>1</v>
      </c>
      <c r="AP140" s="142">
        <f t="shared" si="33"/>
        <v>0</v>
      </c>
      <c r="AQ140" s="142">
        <f t="shared" si="33"/>
        <v>0</v>
      </c>
      <c r="AR140" s="142">
        <f t="shared" si="33"/>
        <v>0</v>
      </c>
      <c r="AS140" s="142">
        <f t="shared" si="33"/>
        <v>0</v>
      </c>
      <c r="AT140" s="142">
        <f t="shared" si="33"/>
        <v>0</v>
      </c>
      <c r="AU140" s="142">
        <f t="shared" si="33"/>
        <v>0</v>
      </c>
      <c r="AV140" s="142">
        <f t="shared" si="33"/>
        <v>0</v>
      </c>
      <c r="AW140" s="142">
        <f t="shared" si="33"/>
        <v>0</v>
      </c>
      <c r="AX140" s="142">
        <f t="shared" si="33"/>
        <v>0</v>
      </c>
    </row>
    <row r="141" spans="1:50" ht="15" customHeight="1">
      <c r="A141" s="23"/>
      <c r="B141" s="1"/>
      <c r="C141" s="1"/>
      <c r="D141" s="1"/>
      <c r="E141" s="1"/>
      <c r="F141" s="1"/>
      <c r="G141" s="1"/>
      <c r="H141" s="1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1"/>
      <c r="T141" s="1"/>
      <c r="U141" s="1"/>
      <c r="V141" s="1"/>
      <c r="W141" s="81"/>
      <c r="X141" s="81"/>
      <c r="Y141" s="81"/>
      <c r="Z141" s="81"/>
      <c r="AA141" s="81"/>
      <c r="AB141" s="81"/>
      <c r="AC141" s="81"/>
      <c r="AD141" s="81"/>
      <c r="AE141" s="81"/>
      <c r="AF141" s="81"/>
      <c r="AG141" s="81"/>
      <c r="AH141" s="81"/>
      <c r="AI141" s="81"/>
      <c r="AJ141" s="81"/>
      <c r="AK141" s="81"/>
      <c r="AL141" s="81"/>
      <c r="AM141" s="81"/>
      <c r="AN141" s="81"/>
      <c r="AO141" s="81"/>
      <c r="AP141" s="81"/>
      <c r="AQ141" s="81"/>
      <c r="AR141" s="81"/>
      <c r="AS141" s="81"/>
      <c r="AT141" s="81"/>
      <c r="AU141" s="81"/>
      <c r="AV141" s="81"/>
      <c r="AW141" s="81"/>
      <c r="AX141" s="81"/>
    </row>
    <row r="142" spans="1:50" ht="15" customHeight="1">
      <c r="A142" s="23"/>
      <c r="B142" s="1"/>
      <c r="C142" s="56" t="s">
        <v>351</v>
      </c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</row>
    <row r="143" spans="1:50" ht="15" customHeight="1">
      <c r="A143" s="145"/>
      <c r="B143" s="93"/>
      <c r="C143" s="93"/>
      <c r="D143" s="90"/>
      <c r="I143" s="140"/>
      <c r="J143" s="140"/>
      <c r="K143" s="140"/>
      <c r="L143" s="140"/>
      <c r="M143" s="140"/>
      <c r="N143" s="140"/>
      <c r="O143" s="140"/>
      <c r="P143" s="140"/>
      <c r="Q143" s="140"/>
      <c r="R143" s="140"/>
      <c r="S143" s="140"/>
      <c r="T143" s="140"/>
      <c r="U143" s="140"/>
      <c r="V143" s="140"/>
      <c r="W143" s="140"/>
      <c r="X143" s="140"/>
      <c r="Y143" s="140"/>
      <c r="Z143" s="140"/>
      <c r="AA143" s="140"/>
      <c r="AB143" s="140"/>
      <c r="AC143" s="140"/>
      <c r="AD143" s="140"/>
      <c r="AE143" s="140"/>
      <c r="AF143" s="140"/>
      <c r="AG143" s="140"/>
      <c r="AH143" s="140"/>
      <c r="AI143" s="140"/>
      <c r="AJ143" s="140"/>
      <c r="AK143" s="140"/>
      <c r="AL143" s="140"/>
      <c r="AM143" s="140"/>
      <c r="AN143" s="140"/>
      <c r="AO143" s="140"/>
      <c r="AP143" s="140"/>
      <c r="AQ143" s="140"/>
      <c r="AR143" s="140"/>
      <c r="AS143" s="140"/>
      <c r="AT143" s="140"/>
      <c r="AU143" s="140"/>
      <c r="AV143" s="140"/>
      <c r="AW143" s="140"/>
      <c r="AX143" s="140"/>
    </row>
    <row r="144" spans="1:50" ht="15" customHeight="1">
      <c r="A144" s="145"/>
      <c r="B144" s="1"/>
      <c r="C144" s="1"/>
      <c r="D144" s="1"/>
      <c r="E144" s="1" t="s">
        <v>352</v>
      </c>
      <c r="F144" s="1"/>
      <c r="G144" s="11" t="s">
        <v>77</v>
      </c>
      <c r="H144" s="1"/>
      <c r="I144" s="55"/>
      <c r="J144" s="80"/>
      <c r="K144" s="1">
        <f t="shared" ref="K144:AX144" si="34">-K65</f>
        <v>0</v>
      </c>
      <c r="L144" s="1">
        <f t="shared" si="34"/>
        <v>0</v>
      </c>
      <c r="M144" s="1">
        <f t="shared" si="34"/>
        <v>0</v>
      </c>
      <c r="N144" s="1">
        <f t="shared" si="34"/>
        <v>0</v>
      </c>
      <c r="O144" s="1">
        <f t="shared" si="34"/>
        <v>0</v>
      </c>
      <c r="P144" s="1">
        <f t="shared" si="34"/>
        <v>0</v>
      </c>
      <c r="Q144" s="1">
        <f t="shared" si="34"/>
        <v>20</v>
      </c>
      <c r="R144" s="1">
        <f t="shared" si="34"/>
        <v>20</v>
      </c>
      <c r="S144" s="1">
        <f t="shared" si="34"/>
        <v>20</v>
      </c>
      <c r="T144" s="1">
        <f t="shared" si="34"/>
        <v>20</v>
      </c>
      <c r="U144" s="1">
        <f t="shared" si="34"/>
        <v>20</v>
      </c>
      <c r="V144" s="1">
        <f t="shared" si="34"/>
        <v>20</v>
      </c>
      <c r="W144" s="1">
        <f t="shared" si="34"/>
        <v>20</v>
      </c>
      <c r="X144" s="1">
        <f t="shared" si="34"/>
        <v>20</v>
      </c>
      <c r="Y144" s="1">
        <f t="shared" si="34"/>
        <v>20</v>
      </c>
      <c r="Z144" s="1">
        <f t="shared" si="34"/>
        <v>20</v>
      </c>
      <c r="AA144" s="1">
        <f t="shared" si="34"/>
        <v>20</v>
      </c>
      <c r="AB144" s="1">
        <f t="shared" si="34"/>
        <v>20</v>
      </c>
      <c r="AC144" s="1">
        <f t="shared" si="34"/>
        <v>20</v>
      </c>
      <c r="AD144" s="1">
        <f t="shared" si="34"/>
        <v>20</v>
      </c>
      <c r="AE144" s="1">
        <f t="shared" si="34"/>
        <v>20</v>
      </c>
      <c r="AF144" s="1">
        <f t="shared" si="34"/>
        <v>20</v>
      </c>
      <c r="AG144" s="1">
        <f t="shared" si="34"/>
        <v>20</v>
      </c>
      <c r="AH144" s="1">
        <f t="shared" si="34"/>
        <v>20</v>
      </c>
      <c r="AI144" s="1">
        <f t="shared" si="34"/>
        <v>20</v>
      </c>
      <c r="AJ144" s="1">
        <f t="shared" si="34"/>
        <v>20</v>
      </c>
      <c r="AK144" s="1">
        <f t="shared" si="34"/>
        <v>20</v>
      </c>
      <c r="AL144" s="1">
        <f t="shared" si="34"/>
        <v>20</v>
      </c>
      <c r="AM144" s="1">
        <f t="shared" si="34"/>
        <v>20</v>
      </c>
      <c r="AN144" s="1">
        <f t="shared" si="34"/>
        <v>20</v>
      </c>
      <c r="AO144" s="1">
        <f t="shared" si="34"/>
        <v>0</v>
      </c>
      <c r="AP144" s="1">
        <f t="shared" si="34"/>
        <v>0</v>
      </c>
      <c r="AQ144" s="1">
        <f t="shared" si="34"/>
        <v>0</v>
      </c>
      <c r="AR144" s="1">
        <f t="shared" si="34"/>
        <v>0</v>
      </c>
      <c r="AS144" s="1">
        <f t="shared" si="34"/>
        <v>0</v>
      </c>
      <c r="AT144" s="1">
        <f t="shared" si="34"/>
        <v>0</v>
      </c>
      <c r="AU144" s="1">
        <f t="shared" si="34"/>
        <v>0</v>
      </c>
      <c r="AV144" s="1">
        <f t="shared" si="34"/>
        <v>0</v>
      </c>
      <c r="AW144" s="1">
        <f t="shared" si="34"/>
        <v>0</v>
      </c>
      <c r="AX144" s="1">
        <f t="shared" si="34"/>
        <v>0</v>
      </c>
    </row>
    <row r="145" spans="1:52" ht="15" customHeight="1">
      <c r="A145" s="145"/>
      <c r="B145" s="1"/>
      <c r="C145" s="1"/>
      <c r="D145" s="1"/>
      <c r="E145" s="1" t="s">
        <v>345</v>
      </c>
      <c r="F145" s="1"/>
      <c r="G145" s="11" t="s">
        <v>77</v>
      </c>
      <c r="H145" s="1"/>
      <c r="I145" s="55"/>
      <c r="J145" s="80"/>
      <c r="K145" s="1">
        <f t="shared" ref="K145:AX145" si="35">K140</f>
        <v>0</v>
      </c>
      <c r="L145" s="1">
        <f t="shared" si="35"/>
        <v>0</v>
      </c>
      <c r="M145" s="1">
        <f t="shared" si="35"/>
        <v>0</v>
      </c>
      <c r="N145" s="1">
        <f t="shared" si="35"/>
        <v>0</v>
      </c>
      <c r="O145" s="1">
        <f t="shared" si="35"/>
        <v>0</v>
      </c>
      <c r="P145" s="1">
        <f t="shared" si="35"/>
        <v>0</v>
      </c>
      <c r="Q145" s="1">
        <f t="shared" si="35"/>
        <v>32.950000000000003</v>
      </c>
      <c r="R145" s="1">
        <f t="shared" si="35"/>
        <v>31.669999999999998</v>
      </c>
      <c r="S145" s="1">
        <f t="shared" si="35"/>
        <v>30.39</v>
      </c>
      <c r="T145" s="1">
        <f t="shared" si="35"/>
        <v>29.11</v>
      </c>
      <c r="U145" s="1">
        <f t="shared" si="35"/>
        <v>27.83</v>
      </c>
      <c r="V145" s="1">
        <f t="shared" si="35"/>
        <v>26.55</v>
      </c>
      <c r="W145" s="1">
        <f t="shared" si="35"/>
        <v>25.27</v>
      </c>
      <c r="X145" s="1">
        <f t="shared" si="35"/>
        <v>23.99</v>
      </c>
      <c r="Y145" s="1">
        <f t="shared" si="35"/>
        <v>22.71</v>
      </c>
      <c r="Z145" s="1">
        <f t="shared" si="35"/>
        <v>21.43</v>
      </c>
      <c r="AA145" s="1">
        <f t="shared" si="35"/>
        <v>20.149999999999999</v>
      </c>
      <c r="AB145" s="1">
        <f t="shared" si="35"/>
        <v>18.87</v>
      </c>
      <c r="AC145" s="1">
        <f t="shared" si="35"/>
        <v>17.59</v>
      </c>
      <c r="AD145" s="1">
        <f t="shared" si="35"/>
        <v>16.309999999999999</v>
      </c>
      <c r="AE145" s="1">
        <f t="shared" si="35"/>
        <v>15.030000000000001</v>
      </c>
      <c r="AF145" s="1">
        <f t="shared" si="35"/>
        <v>13.750000000000002</v>
      </c>
      <c r="AG145" s="1">
        <f t="shared" si="35"/>
        <v>12.47</v>
      </c>
      <c r="AH145" s="1">
        <f t="shared" si="35"/>
        <v>11.190000000000001</v>
      </c>
      <c r="AI145" s="1">
        <f t="shared" si="35"/>
        <v>9.9100000000000019</v>
      </c>
      <c r="AJ145" s="1">
        <f t="shared" si="35"/>
        <v>8.6300000000000008</v>
      </c>
      <c r="AK145" s="1">
        <f t="shared" si="35"/>
        <v>7.3500000000000005</v>
      </c>
      <c r="AL145" s="1">
        <f t="shared" si="35"/>
        <v>6.07</v>
      </c>
      <c r="AM145" s="1">
        <f t="shared" si="35"/>
        <v>4.79</v>
      </c>
      <c r="AN145" s="1">
        <f t="shared" si="35"/>
        <v>3.51</v>
      </c>
      <c r="AO145" s="1">
        <f t="shared" si="35"/>
        <v>1</v>
      </c>
      <c r="AP145" s="1">
        <f t="shared" si="35"/>
        <v>0</v>
      </c>
      <c r="AQ145" s="1">
        <f t="shared" si="35"/>
        <v>0</v>
      </c>
      <c r="AR145" s="1">
        <f t="shared" si="35"/>
        <v>0</v>
      </c>
      <c r="AS145" s="1">
        <f t="shared" si="35"/>
        <v>0</v>
      </c>
      <c r="AT145" s="1">
        <f t="shared" si="35"/>
        <v>0</v>
      </c>
      <c r="AU145" s="1">
        <f t="shared" si="35"/>
        <v>0</v>
      </c>
      <c r="AV145" s="1">
        <f t="shared" si="35"/>
        <v>0</v>
      </c>
      <c r="AW145" s="1">
        <f t="shared" si="35"/>
        <v>0</v>
      </c>
      <c r="AX145" s="1">
        <f t="shared" si="35"/>
        <v>0</v>
      </c>
    </row>
    <row r="146" spans="1:52" ht="15" customHeight="1">
      <c r="A146" s="92"/>
      <c r="B146" s="1"/>
      <c r="C146" s="1"/>
      <c r="D146" s="1"/>
      <c r="E146" s="77" t="s">
        <v>353</v>
      </c>
      <c r="F146" s="1"/>
      <c r="G146" s="11" t="s">
        <v>77</v>
      </c>
      <c r="H146" s="1"/>
      <c r="I146" s="80"/>
      <c r="J146" s="80"/>
      <c r="K146" s="136">
        <f t="shared" ref="K146:AX146" si="36">SUM(K144:K145)</f>
        <v>0</v>
      </c>
      <c r="L146" s="136">
        <f t="shared" si="36"/>
        <v>0</v>
      </c>
      <c r="M146" s="136">
        <f t="shared" si="36"/>
        <v>0</v>
      </c>
      <c r="N146" s="136">
        <f t="shared" si="36"/>
        <v>0</v>
      </c>
      <c r="O146" s="136">
        <f t="shared" si="36"/>
        <v>0</v>
      </c>
      <c r="P146" s="136">
        <f t="shared" si="36"/>
        <v>0</v>
      </c>
      <c r="Q146" s="136">
        <f t="shared" si="36"/>
        <v>52.95</v>
      </c>
      <c r="R146" s="136">
        <f t="shared" si="36"/>
        <v>51.67</v>
      </c>
      <c r="S146" s="136">
        <f t="shared" si="36"/>
        <v>50.39</v>
      </c>
      <c r="T146" s="136">
        <f t="shared" si="36"/>
        <v>49.11</v>
      </c>
      <c r="U146" s="136">
        <f t="shared" si="36"/>
        <v>47.83</v>
      </c>
      <c r="V146" s="136">
        <f t="shared" si="36"/>
        <v>46.55</v>
      </c>
      <c r="W146" s="136">
        <f t="shared" si="36"/>
        <v>45.269999999999996</v>
      </c>
      <c r="X146" s="136">
        <f t="shared" si="36"/>
        <v>43.989999999999995</v>
      </c>
      <c r="Y146" s="136">
        <f t="shared" si="36"/>
        <v>42.71</v>
      </c>
      <c r="Z146" s="136">
        <f t="shared" si="36"/>
        <v>41.43</v>
      </c>
      <c r="AA146" s="136">
        <f t="shared" si="36"/>
        <v>40.15</v>
      </c>
      <c r="AB146" s="136">
        <f t="shared" si="36"/>
        <v>38.870000000000005</v>
      </c>
      <c r="AC146" s="136">
        <f t="shared" si="36"/>
        <v>37.590000000000003</v>
      </c>
      <c r="AD146" s="136">
        <f t="shared" si="36"/>
        <v>36.31</v>
      </c>
      <c r="AE146" s="136">
        <f t="shared" si="36"/>
        <v>35.03</v>
      </c>
      <c r="AF146" s="136">
        <f t="shared" si="36"/>
        <v>33.75</v>
      </c>
      <c r="AG146" s="136">
        <f t="shared" si="36"/>
        <v>32.47</v>
      </c>
      <c r="AH146" s="136">
        <f t="shared" si="36"/>
        <v>31.19</v>
      </c>
      <c r="AI146" s="136">
        <f t="shared" si="36"/>
        <v>29.910000000000004</v>
      </c>
      <c r="AJ146" s="136">
        <f t="shared" si="36"/>
        <v>28.630000000000003</v>
      </c>
      <c r="AK146" s="136">
        <f t="shared" si="36"/>
        <v>27.35</v>
      </c>
      <c r="AL146" s="136">
        <f t="shared" si="36"/>
        <v>26.07</v>
      </c>
      <c r="AM146" s="136">
        <f t="shared" si="36"/>
        <v>24.79</v>
      </c>
      <c r="AN146" s="136">
        <f t="shared" si="36"/>
        <v>23.509999999999998</v>
      </c>
      <c r="AO146" s="136">
        <f t="shared" si="36"/>
        <v>1</v>
      </c>
      <c r="AP146" s="136">
        <f t="shared" si="36"/>
        <v>0</v>
      </c>
      <c r="AQ146" s="136">
        <f t="shared" si="36"/>
        <v>0</v>
      </c>
      <c r="AR146" s="136">
        <f t="shared" si="36"/>
        <v>0</v>
      </c>
      <c r="AS146" s="136">
        <f t="shared" si="36"/>
        <v>0</v>
      </c>
      <c r="AT146" s="136">
        <f t="shared" si="36"/>
        <v>0</v>
      </c>
      <c r="AU146" s="136">
        <f t="shared" si="36"/>
        <v>0</v>
      </c>
      <c r="AV146" s="136">
        <f t="shared" si="36"/>
        <v>0</v>
      </c>
      <c r="AW146" s="136">
        <f t="shared" si="36"/>
        <v>0</v>
      </c>
      <c r="AX146" s="136">
        <f t="shared" si="36"/>
        <v>0</v>
      </c>
    </row>
    <row r="147" spans="1:52" ht="15" customHeight="1">
      <c r="A147" s="23"/>
      <c r="B147" s="1"/>
      <c r="C147" s="1"/>
      <c r="D147" s="1"/>
      <c r="E147" s="1"/>
      <c r="F147" s="1"/>
      <c r="G147" s="1"/>
      <c r="H147" s="1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1"/>
      <c r="T147" s="1"/>
      <c r="U147" s="1"/>
      <c r="V147" s="1"/>
      <c r="W147" s="81"/>
      <c r="X147" s="81"/>
      <c r="Y147" s="81"/>
      <c r="Z147" s="81"/>
      <c r="AA147" s="81"/>
      <c r="AB147" s="81"/>
      <c r="AC147" s="81"/>
      <c r="AD147" s="81"/>
      <c r="AE147" s="81"/>
      <c r="AF147" s="81"/>
      <c r="AG147" s="81"/>
      <c r="AH147" s="81"/>
      <c r="AI147" s="81"/>
      <c r="AJ147" s="81"/>
      <c r="AK147" s="81"/>
      <c r="AL147" s="81"/>
      <c r="AM147" s="81"/>
      <c r="AN147" s="81"/>
      <c r="AO147" s="81"/>
      <c r="AP147" s="81"/>
      <c r="AQ147" s="81"/>
      <c r="AR147" s="81"/>
      <c r="AS147" s="81"/>
      <c r="AT147" s="81"/>
      <c r="AU147" s="81"/>
      <c r="AV147" s="81"/>
      <c r="AW147" s="81"/>
      <c r="AX147" s="81"/>
    </row>
    <row r="148" spans="1:52" ht="15" customHeight="1">
      <c r="A148" s="23"/>
      <c r="B148" s="1"/>
      <c r="C148" s="1"/>
      <c r="D148" s="1"/>
      <c r="E148" s="11" t="s">
        <v>157</v>
      </c>
      <c r="F148" s="1"/>
      <c r="G148" s="77" t="str">
        <f>Inputs!G68</f>
        <v>DSCRx</v>
      </c>
      <c r="I148" s="151">
        <f>Inputs!I68</f>
        <v>1.2</v>
      </c>
      <c r="J148" s="80"/>
      <c r="K148" s="80"/>
      <c r="L148" s="80"/>
      <c r="M148" s="80"/>
      <c r="N148" s="80"/>
      <c r="O148" s="80"/>
      <c r="P148" s="80"/>
      <c r="Q148" s="80"/>
      <c r="R148" s="80"/>
      <c r="S148" s="1"/>
      <c r="T148" s="1"/>
      <c r="U148" s="1"/>
      <c r="V148" s="1"/>
      <c r="W148" s="81"/>
      <c r="X148" s="81"/>
      <c r="Y148" s="81"/>
      <c r="Z148" s="81"/>
      <c r="AA148" s="81"/>
      <c r="AB148" s="81"/>
      <c r="AC148" s="81"/>
      <c r="AD148" s="81"/>
      <c r="AE148" s="81"/>
      <c r="AF148" s="81"/>
      <c r="AG148" s="81"/>
      <c r="AH148" s="81"/>
      <c r="AI148" s="81"/>
      <c r="AJ148" s="81"/>
      <c r="AK148" s="81"/>
      <c r="AL148" s="81"/>
      <c r="AM148" s="81"/>
      <c r="AN148" s="81"/>
      <c r="AO148" s="81"/>
      <c r="AP148" s="81"/>
      <c r="AQ148" s="81"/>
      <c r="AR148" s="81"/>
      <c r="AS148" s="81"/>
      <c r="AT148" s="81"/>
      <c r="AU148" s="81"/>
      <c r="AV148" s="81"/>
      <c r="AW148" s="81"/>
      <c r="AX148" s="81"/>
    </row>
    <row r="149" spans="1:52" ht="15" customHeight="1">
      <c r="A149" s="23"/>
      <c r="B149" s="1"/>
      <c r="C149" s="1"/>
      <c r="D149" s="1"/>
      <c r="E149" s="1"/>
      <c r="F149" s="1"/>
      <c r="G149" s="1"/>
      <c r="H149" s="1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1"/>
      <c r="T149" s="1"/>
      <c r="U149" s="1"/>
      <c r="V149" s="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1"/>
      <c r="AU149" s="81"/>
      <c r="AV149" s="81"/>
      <c r="AW149" s="81"/>
      <c r="AX149" s="81"/>
    </row>
    <row r="150" spans="1:52" ht="15" customHeight="1">
      <c r="A150" s="145"/>
      <c r="B150" s="1"/>
      <c r="C150" s="1"/>
      <c r="D150" s="1"/>
      <c r="E150" s="1" t="s">
        <v>354</v>
      </c>
      <c r="F150" s="1"/>
      <c r="G150" s="11" t="s">
        <v>77</v>
      </c>
      <c r="H150" s="1"/>
      <c r="I150" s="55"/>
      <c r="J150" s="80"/>
      <c r="K150" s="1">
        <f t="shared" ref="K150:AX150" si="37">K146*$I$148</f>
        <v>0</v>
      </c>
      <c r="L150" s="1">
        <f t="shared" si="37"/>
        <v>0</v>
      </c>
      <c r="M150" s="1">
        <f t="shared" si="37"/>
        <v>0</v>
      </c>
      <c r="N150" s="1">
        <f t="shared" si="37"/>
        <v>0</v>
      </c>
      <c r="O150" s="1">
        <f>O146*$I$148</f>
        <v>0</v>
      </c>
      <c r="P150" s="1">
        <f t="shared" si="37"/>
        <v>0</v>
      </c>
      <c r="Q150" s="1">
        <f t="shared" si="37"/>
        <v>63.54</v>
      </c>
      <c r="R150" s="1">
        <f t="shared" si="37"/>
        <v>62.003999999999998</v>
      </c>
      <c r="S150" s="1">
        <f t="shared" si="37"/>
        <v>60.467999999999996</v>
      </c>
      <c r="T150" s="1">
        <f t="shared" si="37"/>
        <v>58.931999999999995</v>
      </c>
      <c r="U150" s="1">
        <f t="shared" si="37"/>
        <v>57.395999999999994</v>
      </c>
      <c r="V150" s="1">
        <f t="shared" si="37"/>
        <v>55.859999999999992</v>
      </c>
      <c r="W150" s="1">
        <f t="shared" si="37"/>
        <v>54.323999999999991</v>
      </c>
      <c r="X150" s="1">
        <f t="shared" si="37"/>
        <v>52.78799999999999</v>
      </c>
      <c r="Y150" s="1">
        <f t="shared" si="37"/>
        <v>51.252000000000002</v>
      </c>
      <c r="Z150" s="1">
        <f t="shared" si="37"/>
        <v>49.716000000000001</v>
      </c>
      <c r="AA150" s="1">
        <f t="shared" si="37"/>
        <v>48.18</v>
      </c>
      <c r="AB150" s="1">
        <f t="shared" si="37"/>
        <v>46.644000000000005</v>
      </c>
      <c r="AC150" s="1">
        <f t="shared" si="37"/>
        <v>45.108000000000004</v>
      </c>
      <c r="AD150" s="1">
        <f t="shared" si="37"/>
        <v>43.572000000000003</v>
      </c>
      <c r="AE150" s="1">
        <f t="shared" si="37"/>
        <v>42.036000000000001</v>
      </c>
      <c r="AF150" s="1">
        <f t="shared" si="37"/>
        <v>40.5</v>
      </c>
      <c r="AG150" s="1">
        <f t="shared" si="37"/>
        <v>38.963999999999999</v>
      </c>
      <c r="AH150" s="1">
        <f t="shared" si="37"/>
        <v>37.427999999999997</v>
      </c>
      <c r="AI150" s="1">
        <f t="shared" si="37"/>
        <v>35.892000000000003</v>
      </c>
      <c r="AJ150" s="1">
        <f t="shared" si="37"/>
        <v>34.356000000000002</v>
      </c>
      <c r="AK150" s="1">
        <f t="shared" si="37"/>
        <v>32.82</v>
      </c>
      <c r="AL150" s="1">
        <f t="shared" si="37"/>
        <v>31.283999999999999</v>
      </c>
      <c r="AM150" s="1">
        <f t="shared" si="37"/>
        <v>29.747999999999998</v>
      </c>
      <c r="AN150" s="1">
        <f t="shared" si="37"/>
        <v>28.211999999999996</v>
      </c>
      <c r="AO150" s="1">
        <f t="shared" si="37"/>
        <v>1.2</v>
      </c>
      <c r="AP150" s="1">
        <f t="shared" si="37"/>
        <v>0</v>
      </c>
      <c r="AQ150" s="1">
        <f t="shared" si="37"/>
        <v>0</v>
      </c>
      <c r="AR150" s="1">
        <f t="shared" si="37"/>
        <v>0</v>
      </c>
      <c r="AS150" s="1">
        <f t="shared" si="37"/>
        <v>0</v>
      </c>
      <c r="AT150" s="1">
        <f t="shared" si="37"/>
        <v>0</v>
      </c>
      <c r="AU150" s="1">
        <f t="shared" si="37"/>
        <v>0</v>
      </c>
      <c r="AV150" s="1">
        <f t="shared" si="37"/>
        <v>0</v>
      </c>
      <c r="AW150" s="1">
        <f t="shared" si="37"/>
        <v>0</v>
      </c>
      <c r="AX150" s="1">
        <f t="shared" si="37"/>
        <v>0</v>
      </c>
    </row>
    <row r="151" spans="1:52" ht="15" customHeight="1">
      <c r="A151" s="145"/>
      <c r="B151" s="1"/>
      <c r="C151" s="1"/>
      <c r="D151" s="1"/>
      <c r="E151" s="1" t="s">
        <v>354</v>
      </c>
      <c r="F151" s="1"/>
      <c r="G151" s="1" t="str">
        <f>Inputs!$I$6</f>
        <v>£m 2024 prices</v>
      </c>
      <c r="H151" s="85"/>
      <c r="I151" s="85"/>
      <c r="J151" s="80"/>
      <c r="K151" s="17">
        <f>K150/Inputs!K$23</f>
        <v>0</v>
      </c>
      <c r="L151" s="17">
        <f>L150/Inputs!L$23</f>
        <v>0</v>
      </c>
      <c r="M151" s="17">
        <f>M150/Inputs!M$23</f>
        <v>0</v>
      </c>
      <c r="N151" s="17">
        <f>N150/Inputs!N$23</f>
        <v>0</v>
      </c>
      <c r="O151" s="17">
        <f>O150/Inputs!O$23</f>
        <v>0</v>
      </c>
      <c r="P151" s="17">
        <f>P150/Inputs!P$23</f>
        <v>0</v>
      </c>
      <c r="Q151" s="17">
        <f>Q150/Inputs!Q$23</f>
        <v>55.31539374912807</v>
      </c>
      <c r="R151" s="17">
        <f>R150/Inputs!R$23</f>
        <v>52.919816975271658</v>
      </c>
      <c r="S151" s="17">
        <f>S150/Inputs!S$23</f>
        <v>50.596917416787896</v>
      </c>
      <c r="T151" s="17">
        <f>T150/Inputs!T$23</f>
        <v>48.344766008242637</v>
      </c>
      <c r="U151" s="17">
        <f>U150/Inputs!U$23</f>
        <v>46.161481391798432</v>
      </c>
      <c r="V151" s="17">
        <f>V150/Inputs!V$23</f>
        <v>44.045228787991313</v>
      </c>
      <c r="W151" s="17">
        <f>W150/Inputs!W$23</f>
        <v>41.994218892448906</v>
      </c>
      <c r="X151" s="17">
        <f>X150/Inputs!X$23</f>
        <v>40.006706797966608</v>
      </c>
      <c r="Y151" s="17">
        <f>Y150/Inputs!Y$23</f>
        <v>38.080990941371574</v>
      </c>
      <c r="Z151" s="17">
        <f>Z150/Inputs!Z$23</f>
        <v>36.215412074616872</v>
      </c>
      <c r="AA151" s="17">
        <f>AA150/Inputs!AA$23</f>
        <v>34.408352259560594</v>
      </c>
      <c r="AB151" s="17">
        <f>AB150/Inputs!AB$23</f>
        <v>32.658233885896522</v>
      </c>
      <c r="AC151" s="17">
        <f>AC150/Inputs!AC$23</f>
        <v>30.963518711715025</v>
      </c>
      <c r="AD151" s="17">
        <f>AD150/Inputs!AD$23</f>
        <v>29.322706926184285</v>
      </c>
      <c r="AE151" s="17">
        <f>AE150/Inputs!AE$23</f>
        <v>27.734336233853242</v>
      </c>
      <c r="AF151" s="17">
        <f>AF150/Inputs!AF$23</f>
        <v>26.196980960088741</v>
      </c>
      <c r="AG151" s="17">
        <f>AG150/Inputs!AG$23</f>
        <v>24.70925117717012</v>
      </c>
      <c r="AH151" s="17">
        <f>AH150/Inputs!AH$23</f>
        <v>23.269791850575068</v>
      </c>
      <c r="AI151" s="17">
        <f>AI150/Inputs!AI$23</f>
        <v>21.877282005000989</v>
      </c>
      <c r="AJ151" s="17">
        <f>AJ150/Inputs!AJ$23</f>
        <v>20.530433909676031</v>
      </c>
      <c r="AK151" s="17">
        <f>AK150/Inputs!AK$23</f>
        <v>19.227992282524138</v>
      </c>
      <c r="AL151" s="17">
        <f>AL150/Inputs!AL$23</f>
        <v>17.968733512757797</v>
      </c>
      <c r="AM151" s="17">
        <f>AM150/Inputs!AM$23</f>
        <v>16.751464901481899</v>
      </c>
      <c r="AN151" s="17">
        <f>AN150/Inputs!AN$23</f>
        <v>15.575023919901264</v>
      </c>
      <c r="AO151" s="17">
        <f>AO150/Inputs!AO$23</f>
        <v>0.64949516350577829</v>
      </c>
      <c r="AP151" s="17">
        <f>AP150/Inputs!AP$23</f>
        <v>0</v>
      </c>
      <c r="AQ151" s="17">
        <f>AQ150/Inputs!AQ$23</f>
        <v>0</v>
      </c>
      <c r="AR151" s="17">
        <f>AR150/Inputs!AR$23</f>
        <v>0</v>
      </c>
      <c r="AS151" s="17">
        <f>AS150/Inputs!AS$23</f>
        <v>0</v>
      </c>
      <c r="AT151" s="17">
        <f>AT150/Inputs!AT$23</f>
        <v>0</v>
      </c>
      <c r="AU151" s="17">
        <f>AU150/Inputs!AU$23</f>
        <v>0</v>
      </c>
      <c r="AV151" s="17">
        <f>AV150/Inputs!AV$23</f>
        <v>0</v>
      </c>
      <c r="AW151" s="17">
        <f>AW150/Inputs!AW$23</f>
        <v>0</v>
      </c>
      <c r="AX151" s="17">
        <f>AX150/Inputs!AX$23</f>
        <v>0</v>
      </c>
    </row>
    <row r="152" spans="1:52" ht="15" customHeight="1">
      <c r="A152" s="145"/>
      <c r="B152" s="1"/>
      <c r="C152" s="1"/>
      <c r="D152" s="1"/>
      <c r="E152" s="1"/>
      <c r="F152" s="1"/>
      <c r="G152" s="1"/>
      <c r="H152" s="85"/>
      <c r="I152" s="85"/>
      <c r="J152" s="80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</row>
    <row r="153" spans="1:52" ht="15" customHeight="1">
      <c r="A153" s="145"/>
      <c r="B153" s="1"/>
      <c r="C153" s="1"/>
      <c r="D153" s="1"/>
      <c r="E153" s="1" t="s">
        <v>153</v>
      </c>
      <c r="F153" s="1"/>
      <c r="G153" s="11" t="s">
        <v>160</v>
      </c>
      <c r="H153" s="85"/>
      <c r="I153" s="141">
        <f>Inputs!I64</f>
        <v>1</v>
      </c>
      <c r="J153" s="80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</row>
    <row r="154" spans="1:52" ht="15" customHeight="1">
      <c r="A154" s="145"/>
      <c r="B154" s="1"/>
      <c r="C154" s="1"/>
      <c r="D154" s="1"/>
      <c r="E154" s="1"/>
      <c r="F154" s="1"/>
      <c r="G154" s="1"/>
      <c r="H154" s="85"/>
      <c r="I154" s="85"/>
      <c r="J154" s="80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</row>
    <row r="155" spans="1:52" ht="15" customHeight="1">
      <c r="A155" s="145"/>
      <c r="B155" s="1"/>
      <c r="C155" s="1"/>
      <c r="D155" s="1"/>
      <c r="E155" s="1" t="s">
        <v>355</v>
      </c>
      <c r="F155" s="1"/>
      <c r="G155" s="11" t="s">
        <v>77</v>
      </c>
      <c r="H155" s="85"/>
      <c r="I155" s="85"/>
      <c r="J155" s="80"/>
      <c r="K155" s="17">
        <f>K150*$I$153</f>
        <v>0</v>
      </c>
      <c r="L155" s="17">
        <f t="shared" ref="L155:AX155" si="38">L150*$I$153</f>
        <v>0</v>
      </c>
      <c r="M155" s="17">
        <f t="shared" si="38"/>
        <v>0</v>
      </c>
      <c r="N155" s="17">
        <f>N150*$I$153</f>
        <v>0</v>
      </c>
      <c r="O155" s="17">
        <f>O150*$I$153</f>
        <v>0</v>
      </c>
      <c r="P155" s="17">
        <f t="shared" si="38"/>
        <v>0</v>
      </c>
      <c r="Q155" s="17">
        <f t="shared" si="38"/>
        <v>63.54</v>
      </c>
      <c r="R155" s="17">
        <f t="shared" si="38"/>
        <v>62.003999999999998</v>
      </c>
      <c r="S155" s="17">
        <f t="shared" si="38"/>
        <v>60.467999999999996</v>
      </c>
      <c r="T155" s="17">
        <f t="shared" si="38"/>
        <v>58.931999999999995</v>
      </c>
      <c r="U155" s="17">
        <f t="shared" si="38"/>
        <v>57.395999999999994</v>
      </c>
      <c r="V155" s="17">
        <f t="shared" si="38"/>
        <v>55.859999999999992</v>
      </c>
      <c r="W155" s="17">
        <f t="shared" si="38"/>
        <v>54.323999999999991</v>
      </c>
      <c r="X155" s="17">
        <f t="shared" si="38"/>
        <v>52.78799999999999</v>
      </c>
      <c r="Y155" s="17">
        <f t="shared" si="38"/>
        <v>51.252000000000002</v>
      </c>
      <c r="Z155" s="17">
        <f t="shared" si="38"/>
        <v>49.716000000000001</v>
      </c>
      <c r="AA155" s="17">
        <f t="shared" si="38"/>
        <v>48.18</v>
      </c>
      <c r="AB155" s="17">
        <f t="shared" si="38"/>
        <v>46.644000000000005</v>
      </c>
      <c r="AC155" s="17">
        <f t="shared" si="38"/>
        <v>45.108000000000004</v>
      </c>
      <c r="AD155" s="17">
        <f t="shared" si="38"/>
        <v>43.572000000000003</v>
      </c>
      <c r="AE155" s="17">
        <f t="shared" si="38"/>
        <v>42.036000000000001</v>
      </c>
      <c r="AF155" s="17">
        <f t="shared" si="38"/>
        <v>40.5</v>
      </c>
      <c r="AG155" s="17">
        <f t="shared" si="38"/>
        <v>38.963999999999999</v>
      </c>
      <c r="AH155" s="17">
        <f t="shared" si="38"/>
        <v>37.427999999999997</v>
      </c>
      <c r="AI155" s="17">
        <f t="shared" si="38"/>
        <v>35.892000000000003</v>
      </c>
      <c r="AJ155" s="17">
        <f t="shared" si="38"/>
        <v>34.356000000000002</v>
      </c>
      <c r="AK155" s="17">
        <f t="shared" si="38"/>
        <v>32.82</v>
      </c>
      <c r="AL155" s="17">
        <f t="shared" si="38"/>
        <v>31.283999999999999</v>
      </c>
      <c r="AM155" s="17">
        <f t="shared" si="38"/>
        <v>29.747999999999998</v>
      </c>
      <c r="AN155" s="17">
        <f t="shared" si="38"/>
        <v>28.211999999999996</v>
      </c>
      <c r="AO155" s="17">
        <f t="shared" si="38"/>
        <v>1.2</v>
      </c>
      <c r="AP155" s="17">
        <f t="shared" si="38"/>
        <v>0</v>
      </c>
      <c r="AQ155" s="17">
        <f t="shared" si="38"/>
        <v>0</v>
      </c>
      <c r="AR155" s="17">
        <f t="shared" si="38"/>
        <v>0</v>
      </c>
      <c r="AS155" s="17">
        <f t="shared" si="38"/>
        <v>0</v>
      </c>
      <c r="AT155" s="17">
        <f t="shared" si="38"/>
        <v>0</v>
      </c>
      <c r="AU155" s="17">
        <f t="shared" si="38"/>
        <v>0</v>
      </c>
      <c r="AV155" s="17">
        <f t="shared" si="38"/>
        <v>0</v>
      </c>
      <c r="AW155" s="17">
        <f t="shared" si="38"/>
        <v>0</v>
      </c>
      <c r="AX155" s="17">
        <f t="shared" si="38"/>
        <v>0</v>
      </c>
    </row>
    <row r="156" spans="1:52" ht="15" customHeight="1">
      <c r="A156" s="145"/>
      <c r="B156" s="1"/>
      <c r="C156" s="1"/>
      <c r="D156" s="1"/>
      <c r="E156" s="1" t="s">
        <v>355</v>
      </c>
      <c r="F156" s="1"/>
      <c r="G156" s="1" t="str">
        <f>Inputs!$I$6</f>
        <v>£m 2024 prices</v>
      </c>
      <c r="H156" s="85"/>
      <c r="I156" s="85"/>
      <c r="J156" s="80"/>
      <c r="K156" s="17">
        <f>K155/Inputs!K23</f>
        <v>0</v>
      </c>
      <c r="L156" s="17">
        <f>L155/Inputs!L23</f>
        <v>0</v>
      </c>
      <c r="M156" s="17">
        <f>M155/Inputs!M23</f>
        <v>0</v>
      </c>
      <c r="N156" s="17">
        <f>N155/Inputs!N23</f>
        <v>0</v>
      </c>
      <c r="O156" s="17">
        <f>O155/Inputs!O23</f>
        <v>0</v>
      </c>
      <c r="P156" s="17">
        <f>P155/Inputs!P23</f>
        <v>0</v>
      </c>
      <c r="Q156" s="17">
        <f>Q155/Inputs!Q23</f>
        <v>55.31539374912807</v>
      </c>
      <c r="R156" s="17">
        <f>R155/Inputs!R23</f>
        <v>52.919816975271658</v>
      </c>
      <c r="S156" s="17">
        <f>S155/Inputs!S23</f>
        <v>50.596917416787896</v>
      </c>
      <c r="T156" s="17">
        <f>T155/Inputs!T23</f>
        <v>48.344766008242637</v>
      </c>
      <c r="U156" s="17">
        <f>U155/Inputs!U23</f>
        <v>46.161481391798432</v>
      </c>
      <c r="V156" s="17">
        <f>V155/Inputs!V23</f>
        <v>44.045228787991313</v>
      </c>
      <c r="W156" s="17">
        <f>W155/Inputs!W23</f>
        <v>41.994218892448906</v>
      </c>
      <c r="X156" s="17">
        <f>X155/Inputs!X23</f>
        <v>40.006706797966608</v>
      </c>
      <c r="Y156" s="17">
        <f>Y155/Inputs!Y23</f>
        <v>38.080990941371574</v>
      </c>
      <c r="Z156" s="17">
        <f>Z155/Inputs!Z23</f>
        <v>36.215412074616872</v>
      </c>
      <c r="AA156" s="17">
        <f>AA155/Inputs!AA23</f>
        <v>34.408352259560594</v>
      </c>
      <c r="AB156" s="17">
        <f>AB155/Inputs!AB23</f>
        <v>32.658233885896522</v>
      </c>
      <c r="AC156" s="17">
        <f>AC155/Inputs!AC23</f>
        <v>30.963518711715025</v>
      </c>
      <c r="AD156" s="17">
        <f>AD155/Inputs!AD23</f>
        <v>29.322706926184285</v>
      </c>
      <c r="AE156" s="17">
        <f>AE155/Inputs!AE23</f>
        <v>27.734336233853242</v>
      </c>
      <c r="AF156" s="17">
        <f>AF155/Inputs!AF23</f>
        <v>26.196980960088741</v>
      </c>
      <c r="AG156" s="17">
        <f>AG155/Inputs!AG23</f>
        <v>24.70925117717012</v>
      </c>
      <c r="AH156" s="17">
        <f>AH155/Inputs!AH23</f>
        <v>23.269791850575068</v>
      </c>
      <c r="AI156" s="17">
        <f>AI155/Inputs!AI23</f>
        <v>21.877282005000989</v>
      </c>
      <c r="AJ156" s="17">
        <f>AJ155/Inputs!AJ23</f>
        <v>20.530433909676031</v>
      </c>
      <c r="AK156" s="17">
        <f>AK155/Inputs!AK23</f>
        <v>19.227992282524138</v>
      </c>
      <c r="AL156" s="17">
        <f>AL155/Inputs!AL23</f>
        <v>17.968733512757797</v>
      </c>
      <c r="AM156" s="17">
        <f>AM155/Inputs!AM23</f>
        <v>16.751464901481899</v>
      </c>
      <c r="AN156" s="17">
        <f>AN155/Inputs!AN23</f>
        <v>15.575023919901264</v>
      </c>
      <c r="AO156" s="17">
        <f>AO155/Inputs!AO23</f>
        <v>0.64949516350577829</v>
      </c>
      <c r="AP156" s="17">
        <f>AP155/Inputs!AP23</f>
        <v>0</v>
      </c>
      <c r="AQ156" s="17">
        <f>AQ155/Inputs!AQ23</f>
        <v>0</v>
      </c>
      <c r="AR156" s="17">
        <f>AR155/Inputs!AR23</f>
        <v>0</v>
      </c>
      <c r="AS156" s="17">
        <f>AS155/Inputs!AS23</f>
        <v>0</v>
      </c>
      <c r="AT156" s="17">
        <f>AT155/Inputs!AT23</f>
        <v>0</v>
      </c>
      <c r="AU156" s="17">
        <f>AU155/Inputs!AU23</f>
        <v>0</v>
      </c>
      <c r="AV156" s="17">
        <f>AV155/Inputs!AV23</f>
        <v>0</v>
      </c>
      <c r="AW156" s="17">
        <f>AW155/Inputs!AW23</f>
        <v>0</v>
      </c>
      <c r="AX156" s="17">
        <f>AX155/Inputs!AX23</f>
        <v>0</v>
      </c>
    </row>
    <row r="157" spans="1:52" ht="15" customHeight="1">
      <c r="A157" s="23"/>
      <c r="B157" s="1"/>
      <c r="C157" s="1"/>
      <c r="D157" s="1"/>
      <c r="E157" s="1"/>
      <c r="F157" s="1"/>
      <c r="G157" s="1"/>
      <c r="H157" s="1"/>
      <c r="I157" s="80"/>
      <c r="J157" s="80"/>
      <c r="K157" s="81"/>
      <c r="L157" s="81"/>
      <c r="M157" s="81"/>
      <c r="N157" s="81"/>
      <c r="O157" s="81"/>
      <c r="P157" s="81"/>
      <c r="Q157" s="81"/>
      <c r="R157" s="81"/>
      <c r="S157" s="81"/>
      <c r="T157" s="81"/>
      <c r="U157" s="81"/>
      <c r="V157" s="81"/>
      <c r="W157" s="81"/>
      <c r="X157" s="81"/>
      <c r="Y157" s="81"/>
      <c r="Z157" s="81"/>
      <c r="AA157" s="81"/>
      <c r="AB157" s="81"/>
      <c r="AC157" s="81"/>
      <c r="AD157" s="81"/>
      <c r="AE157" s="81"/>
      <c r="AF157" s="81"/>
      <c r="AG157" s="81"/>
      <c r="AH157" s="81"/>
      <c r="AI157" s="81"/>
      <c r="AJ157" s="81"/>
      <c r="AK157" s="81"/>
      <c r="AL157" s="81"/>
      <c r="AM157" s="81"/>
      <c r="AN157" s="81"/>
      <c r="AO157" s="81"/>
      <c r="AP157" s="81"/>
      <c r="AQ157" s="81"/>
      <c r="AR157" s="81"/>
      <c r="AS157" s="81"/>
      <c r="AT157" s="81"/>
      <c r="AU157" s="81"/>
      <c r="AV157" s="81"/>
      <c r="AW157" s="81"/>
      <c r="AX157" s="81"/>
    </row>
    <row r="158" spans="1:52" ht="15" customHeight="1">
      <c r="A158" s="86"/>
      <c r="B158" s="1"/>
      <c r="C158" s="56" t="s">
        <v>356</v>
      </c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Z158" s="11"/>
    </row>
    <row r="159" spans="1:52" ht="15" customHeight="1">
      <c r="A159" s="86"/>
      <c r="B159" s="1"/>
      <c r="C159" s="152"/>
      <c r="D159" s="1"/>
      <c r="E159" s="1"/>
      <c r="F159" s="1"/>
      <c r="G159" s="1"/>
      <c r="H159" s="1"/>
      <c r="I159" s="55"/>
      <c r="J159" s="80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  <c r="AA159" s="85"/>
      <c r="AB159" s="85"/>
      <c r="AC159" s="85"/>
      <c r="AD159" s="85"/>
      <c r="AE159" s="85"/>
      <c r="AF159" s="85"/>
      <c r="AG159" s="85"/>
      <c r="AH159" s="85"/>
      <c r="AI159" s="85"/>
      <c r="AJ159" s="85"/>
      <c r="AK159" s="85"/>
      <c r="AL159" s="85"/>
      <c r="AM159" s="85"/>
      <c r="AN159" s="85"/>
      <c r="AO159" s="85"/>
      <c r="AP159" s="85"/>
      <c r="AQ159" s="85"/>
      <c r="AR159" s="85"/>
      <c r="AS159" s="85"/>
      <c r="AT159" s="85"/>
      <c r="AU159" s="85"/>
      <c r="AV159" s="85"/>
      <c r="AW159" s="85"/>
      <c r="AX159" s="85"/>
      <c r="AZ159" s="11"/>
    </row>
    <row r="160" spans="1:52" ht="15" customHeight="1">
      <c r="A160" s="86"/>
      <c r="B160" s="1"/>
      <c r="C160" s="1"/>
      <c r="D160" s="1"/>
      <c r="E160" s="1" t="s">
        <v>357</v>
      </c>
      <c r="F160" s="1"/>
      <c r="G160" s="1"/>
      <c r="H160" s="1"/>
      <c r="I160" s="153"/>
      <c r="J160" s="80"/>
      <c r="K160" s="17">
        <f>Inputs!$I$81*Finance!K12*(Inputs!$I$108=2)</f>
        <v>0</v>
      </c>
      <c r="L160" s="17">
        <f>Inputs!$I$81*Finance!L12*(Inputs!$I$108=2)</f>
        <v>0</v>
      </c>
      <c r="M160" s="17">
        <f>Inputs!$I$81*Finance!M12*(Inputs!$I$108=2)</f>
        <v>0</v>
      </c>
      <c r="N160" s="17">
        <f>Inputs!$I$81*Finance!N12*(Inputs!$I$108=2)</f>
        <v>0</v>
      </c>
      <c r="O160" s="17">
        <f>Inputs!$I$81*Finance!O12*(Inputs!$I$108=2)</f>
        <v>0</v>
      </c>
      <c r="P160" s="17">
        <f>Inputs!$I$81*Finance!P12*(Inputs!$I$108=2)</f>
        <v>0</v>
      </c>
      <c r="Q160" s="17">
        <f>Inputs!$I$81*Finance!Q12*(Inputs!$I$108=2)</f>
        <v>0</v>
      </c>
      <c r="R160" s="17">
        <f>Inputs!$I$81*Finance!R12*(Inputs!$I$108=2)</f>
        <v>0</v>
      </c>
      <c r="S160" s="17">
        <f>Inputs!$I$81*Finance!S12*(Inputs!$I$108=2)</f>
        <v>0</v>
      </c>
      <c r="T160" s="17">
        <f>Inputs!$I$81*Finance!T12*(Inputs!$I$108=2)</f>
        <v>0</v>
      </c>
      <c r="U160" s="17">
        <f>Inputs!$I$81*Finance!U12*(Inputs!$I$108=2)</f>
        <v>0</v>
      </c>
      <c r="V160" s="17">
        <f>Inputs!$I$81*Finance!V12*(Inputs!$I$108=2)</f>
        <v>0</v>
      </c>
      <c r="W160" s="17">
        <f>Inputs!$I$81*Finance!W12*(Inputs!$I$108=2)</f>
        <v>0</v>
      </c>
      <c r="X160" s="17">
        <f>Inputs!$I$81*Finance!X12*(Inputs!$I$108=2)</f>
        <v>0</v>
      </c>
      <c r="Y160" s="17">
        <f>Inputs!$I$81*Finance!Y12*(Inputs!$I$108=2)</f>
        <v>0</v>
      </c>
      <c r="Z160" s="17">
        <f>Inputs!$I$81*Finance!Z12*(Inputs!$I$108=2)</f>
        <v>0</v>
      </c>
      <c r="AA160" s="17">
        <f>Inputs!$I$81*Finance!AA12*(Inputs!$I$108=2)</f>
        <v>0</v>
      </c>
      <c r="AB160" s="17">
        <f>Inputs!$I$81*Finance!AB12*(Inputs!$I$108=2)</f>
        <v>0</v>
      </c>
      <c r="AC160" s="17">
        <f>Inputs!$I$81*Finance!AC12*(Inputs!$I$108=2)</f>
        <v>0</v>
      </c>
      <c r="AD160" s="17">
        <f>Inputs!$I$81*Finance!AD12*(Inputs!$I$108=2)</f>
        <v>0</v>
      </c>
      <c r="AE160" s="17">
        <f>Inputs!$I$81*Finance!AE12*(Inputs!$I$108=2)</f>
        <v>0</v>
      </c>
      <c r="AF160" s="17">
        <f>Inputs!$I$81*Finance!AF12*(Inputs!$I$108=2)</f>
        <v>0</v>
      </c>
      <c r="AG160" s="17">
        <f>Inputs!$I$81*Finance!AG12*(Inputs!$I$108=2)</f>
        <v>0</v>
      </c>
      <c r="AH160" s="17">
        <f>Inputs!$I$81*Finance!AH12*(Inputs!$I$108=2)</f>
        <v>0</v>
      </c>
      <c r="AI160" s="17">
        <f>Inputs!$I$81*Finance!AI12*(Inputs!$I$108=2)</f>
        <v>0</v>
      </c>
      <c r="AJ160" s="17">
        <f>Inputs!$I$81*Finance!AJ12*(Inputs!$I$108=2)</f>
        <v>0</v>
      </c>
      <c r="AK160" s="17">
        <f>Inputs!$I$81*Finance!AK12*(Inputs!$I$108=2)</f>
        <v>0</v>
      </c>
      <c r="AL160" s="17">
        <f>Inputs!$I$81*Finance!AL12*(Inputs!$I$108=2)</f>
        <v>0</v>
      </c>
      <c r="AM160" s="17">
        <f>Inputs!$I$81*Finance!AM12*(Inputs!$I$108=2)</f>
        <v>0</v>
      </c>
      <c r="AN160" s="17">
        <f>Inputs!$I$81*Finance!AN12*(Inputs!$I$108=2)</f>
        <v>0</v>
      </c>
      <c r="AO160" s="17">
        <f>Inputs!$I$81*Finance!AO12*(Inputs!$I$108=2)</f>
        <v>0</v>
      </c>
      <c r="AP160" s="17">
        <f>Inputs!$I$81*Finance!AP12*(Inputs!$I$108=2)</f>
        <v>0</v>
      </c>
      <c r="AQ160" s="17">
        <f>Inputs!$I$81*Finance!AQ12*(Inputs!$I$108=2)</f>
        <v>0</v>
      </c>
      <c r="AR160" s="17">
        <f>Inputs!$I$81*Finance!AR12*(Inputs!$I$108=2)</f>
        <v>0</v>
      </c>
      <c r="AS160" s="17">
        <f>Inputs!$I$81*Finance!AS12*(Inputs!$I$108=2)</f>
        <v>0</v>
      </c>
      <c r="AT160" s="17">
        <f>Inputs!$I$81*Finance!AT12*(Inputs!$I$108=2)</f>
        <v>0</v>
      </c>
      <c r="AU160" s="17">
        <f>Inputs!$I$81*Finance!AU12*(Inputs!$I$108=2)</f>
        <v>0</v>
      </c>
      <c r="AV160" s="17">
        <f>Inputs!$I$81*Finance!AV12*(Inputs!$I$108=2)</f>
        <v>0</v>
      </c>
      <c r="AW160" s="17">
        <f>Inputs!$I$81*Finance!AW12*(Inputs!$I$108=2)</f>
        <v>0</v>
      </c>
      <c r="AX160" s="17">
        <f>Inputs!$I$81*Finance!AX12*(Inputs!$I$108=2)</f>
        <v>0</v>
      </c>
      <c r="AZ160" s="11"/>
    </row>
    <row r="161" spans="1:50" ht="15" customHeight="1">
      <c r="A161" s="92"/>
      <c r="B161" s="1"/>
      <c r="C161" s="1"/>
      <c r="D161" s="1"/>
      <c r="E161" s="1"/>
      <c r="F161" s="1"/>
      <c r="G161" s="1"/>
      <c r="H161" s="1"/>
      <c r="I161" s="55"/>
      <c r="J161" s="80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</row>
    <row r="162" spans="1:50" ht="15" customHeight="1">
      <c r="A162"/>
      <c r="B162" s="12" t="s">
        <v>49</v>
      </c>
      <c r="C162" s="50"/>
      <c r="D162" s="50"/>
      <c r="E162" s="50"/>
      <c r="F162" s="51"/>
      <c r="G162" s="51"/>
      <c r="H162" s="51"/>
      <c r="I162" s="133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  <c r="AS162" s="51"/>
      <c r="AT162" s="51"/>
      <c r="AU162" s="51"/>
      <c r="AV162" s="51"/>
      <c r="AW162" s="51"/>
      <c r="AX162" s="51"/>
    </row>
    <row r="163" spans="1:50" ht="15" customHeight="1"/>
  </sheetData>
  <pageMargins left="0.23622047244094502" right="0.23622047244094502" top="0.74803149606299213" bottom="0.74803149606299213" header="0.31496062992126012" footer="0.31496062992126012"/>
  <pageSetup paperSize="0" orientation="landscape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CC0DA"/>
    <pageSetUpPr fitToPage="1"/>
  </sheetPr>
  <dimension ref="A1:AX60"/>
  <sheetViews>
    <sheetView topLeftCell="A13" zoomScaleNormal="100" workbookViewId="0">
      <selection activeCell="A41" sqref="A41:XFD42"/>
    </sheetView>
  </sheetViews>
  <sheetFormatPr defaultColWidth="9.140625" defaultRowHeight="0" customHeight="1" zeroHeight="1"/>
  <cols>
    <col min="1" max="4" width="2.5703125" style="11" customWidth="1"/>
    <col min="5" max="5" width="50.5703125" style="11" customWidth="1"/>
    <col min="6" max="6" width="1.5703125" style="11" customWidth="1"/>
    <col min="7" max="7" width="15.5703125" style="11" customWidth="1"/>
    <col min="8" max="8" width="10.7109375" style="11" bestFit="1" customWidth="1"/>
    <col min="9" max="9" width="10.5703125" style="139" customWidth="1"/>
    <col min="10" max="10" width="1.5703125" style="11" customWidth="1"/>
    <col min="11" max="35" width="10.5703125" style="11" customWidth="1"/>
    <col min="36" max="49" width="10.5703125" customWidth="1"/>
    <col min="50" max="50" width="9.140625" customWidth="1"/>
    <col min="51" max="51" width="3.140625" customWidth="1"/>
    <col min="16382" max="16384" width="4.42578125" customWidth="1"/>
  </cols>
  <sheetData>
    <row r="1" spans="1:50" ht="14.45">
      <c r="A1" s="45" t="s">
        <v>30</v>
      </c>
      <c r="B1" s="46"/>
      <c r="C1" s="46"/>
      <c r="D1" s="46"/>
      <c r="E1" s="46"/>
      <c r="F1" s="46"/>
      <c r="G1" s="46"/>
      <c r="H1" s="46" t="s">
        <v>64</v>
      </c>
      <c r="I1" s="131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</row>
    <row r="2" spans="1:50" ht="15" customHeight="1">
      <c r="A2" s="46"/>
      <c r="B2" s="46"/>
      <c r="C2" s="46"/>
      <c r="D2" s="46"/>
      <c r="E2" s="48" t="s">
        <v>65</v>
      </c>
      <c r="F2" s="48"/>
      <c r="G2" s="48" t="s">
        <v>66</v>
      </c>
      <c r="H2" s="48" t="s">
        <v>67</v>
      </c>
      <c r="I2" s="49" t="s">
        <v>68</v>
      </c>
      <c r="J2" s="46"/>
      <c r="K2" s="48" t="s">
        <v>69</v>
      </c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</row>
    <row r="3" spans="1:50" ht="15" customHeight="1">
      <c r="A3" s="46"/>
      <c r="B3" s="46"/>
      <c r="C3" s="46"/>
      <c r="D3" s="46"/>
      <c r="E3" s="46" t="s">
        <v>358</v>
      </c>
      <c r="F3" s="48"/>
      <c r="G3" s="48"/>
      <c r="H3" s="48"/>
      <c r="I3" s="49"/>
      <c r="J3" s="46"/>
      <c r="K3" s="76" t="s">
        <v>91</v>
      </c>
      <c r="L3" s="76" t="s">
        <v>92</v>
      </c>
      <c r="M3" s="76" t="s">
        <v>93</v>
      </c>
      <c r="N3" s="76" t="s">
        <v>94</v>
      </c>
      <c r="O3" s="76" t="s">
        <v>95</v>
      </c>
      <c r="P3" s="76" t="s">
        <v>96</v>
      </c>
      <c r="Q3" s="76" t="s">
        <v>97</v>
      </c>
      <c r="R3" s="76" t="s">
        <v>98</v>
      </c>
      <c r="S3" s="76" t="s">
        <v>99</v>
      </c>
      <c r="T3" s="76" t="s">
        <v>100</v>
      </c>
      <c r="U3" s="76" t="s">
        <v>101</v>
      </c>
      <c r="V3" s="76" t="s">
        <v>102</v>
      </c>
      <c r="W3" s="76" t="s">
        <v>103</v>
      </c>
      <c r="X3" s="76" t="s">
        <v>104</v>
      </c>
      <c r="Y3" s="76" t="s">
        <v>105</v>
      </c>
      <c r="Z3" s="76" t="s">
        <v>106</v>
      </c>
      <c r="AA3" s="76" t="s">
        <v>107</v>
      </c>
      <c r="AB3" s="76" t="s">
        <v>108</v>
      </c>
      <c r="AC3" s="76" t="s">
        <v>109</v>
      </c>
      <c r="AD3" s="76" t="s">
        <v>110</v>
      </c>
      <c r="AE3" s="76" t="s">
        <v>111</v>
      </c>
      <c r="AF3" s="76" t="s">
        <v>112</v>
      </c>
      <c r="AG3" s="76" t="s">
        <v>113</v>
      </c>
      <c r="AH3" s="76" t="s">
        <v>114</v>
      </c>
      <c r="AI3" s="76" t="s">
        <v>115</v>
      </c>
      <c r="AJ3" s="76" t="s">
        <v>116</v>
      </c>
      <c r="AK3" s="76" t="s">
        <v>117</v>
      </c>
      <c r="AL3" s="76" t="s">
        <v>118</v>
      </c>
      <c r="AM3" s="76" t="s">
        <v>119</v>
      </c>
      <c r="AN3" s="76" t="s">
        <v>120</v>
      </c>
      <c r="AO3" s="76" t="s">
        <v>121</v>
      </c>
      <c r="AP3" s="76" t="s">
        <v>122</v>
      </c>
      <c r="AQ3" s="76" t="s">
        <v>123</v>
      </c>
      <c r="AR3" s="76" t="s">
        <v>124</v>
      </c>
      <c r="AS3" s="76" t="s">
        <v>125</v>
      </c>
      <c r="AT3" s="76" t="s">
        <v>126</v>
      </c>
      <c r="AU3" s="76" t="s">
        <v>127</v>
      </c>
      <c r="AV3" s="76" t="s">
        <v>128</v>
      </c>
      <c r="AW3" s="76" t="s">
        <v>129</v>
      </c>
      <c r="AX3" s="76" t="s">
        <v>130</v>
      </c>
    </row>
    <row r="4" spans="1:50" ht="15" customHeight="1">
      <c r="A4" s="1"/>
      <c r="B4" s="1"/>
      <c r="C4" s="1"/>
      <c r="D4" s="1"/>
      <c r="E4" s="1"/>
      <c r="F4" s="1"/>
      <c r="G4" s="1"/>
      <c r="H4" s="1"/>
      <c r="I4" s="55"/>
      <c r="J4" s="80"/>
      <c r="K4" s="80"/>
      <c r="L4" s="80"/>
      <c r="M4" s="80"/>
      <c r="N4" s="80"/>
      <c r="O4" s="80"/>
      <c r="P4" s="80"/>
      <c r="Q4" s="80"/>
      <c r="R4" s="80"/>
      <c r="S4" s="1"/>
      <c r="T4" s="1"/>
      <c r="U4" s="1"/>
      <c r="V4" s="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</row>
    <row r="5" spans="1:50" ht="15" customHeight="1">
      <c r="A5" s="1"/>
      <c r="B5" s="12" t="s">
        <v>265</v>
      </c>
      <c r="C5" s="13"/>
      <c r="D5" s="13"/>
      <c r="E5" s="13"/>
      <c r="F5" s="79"/>
      <c r="G5" s="79"/>
      <c r="H5" s="79"/>
      <c r="I5" s="154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</row>
    <row r="6" spans="1:50" ht="15" customHeight="1">
      <c r="A6" s="1"/>
      <c r="B6" s="1"/>
      <c r="C6" s="1"/>
      <c r="D6" s="1"/>
      <c r="E6" s="1"/>
      <c r="F6" s="1"/>
      <c r="G6" s="1"/>
      <c r="H6" s="1"/>
      <c r="I6" s="55"/>
      <c r="J6" s="80"/>
      <c r="K6" s="80"/>
      <c r="L6" s="80"/>
      <c r="M6" s="80"/>
      <c r="N6" s="80"/>
      <c r="O6" s="80"/>
      <c r="P6" s="80"/>
      <c r="Q6" s="80"/>
      <c r="R6" s="80"/>
      <c r="S6" s="1"/>
      <c r="T6" s="1"/>
      <c r="U6" s="1"/>
      <c r="V6" s="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</row>
    <row r="7" spans="1:50" ht="15" customHeight="1">
      <c r="A7" s="1"/>
      <c r="B7" s="1"/>
      <c r="C7" s="56" t="s">
        <v>359</v>
      </c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</row>
    <row r="8" spans="1:50" ht="15" customHeight="1">
      <c r="A8" s="1"/>
      <c r="B8" s="1"/>
      <c r="C8" s="1"/>
      <c r="D8" s="1"/>
      <c r="E8" s="1"/>
      <c r="F8" s="1"/>
      <c r="G8" s="1"/>
      <c r="H8" s="1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</row>
    <row r="9" spans="1:50" ht="15" customHeight="1">
      <c r="A9"/>
      <c r="B9" s="1"/>
      <c r="C9" s="1"/>
      <c r="D9" s="1"/>
      <c r="E9" s="80" t="s">
        <v>360</v>
      </c>
      <c r="F9" s="1"/>
      <c r="G9" s="1" t="str">
        <f>Inputs!$I$6</f>
        <v>£m 2024 prices</v>
      </c>
      <c r="H9" s="1"/>
      <c r="I9" s="55"/>
      <c r="J9" s="55"/>
      <c r="K9" s="1">
        <f t="shared" ref="K9:AI9" si="0">J16</f>
        <v>0</v>
      </c>
      <c r="L9" s="1">
        <f t="shared" si="0"/>
        <v>482.42279324441489</v>
      </c>
      <c r="M9" s="1">
        <f t="shared" si="0"/>
        <v>462.32184352589758</v>
      </c>
      <c r="N9" s="1">
        <f t="shared" si="0"/>
        <v>442.22089380738032</v>
      </c>
      <c r="O9" s="1">
        <f t="shared" si="0"/>
        <v>422.11994408886301</v>
      </c>
      <c r="P9" s="1">
        <f t="shared" si="0"/>
        <v>402.01899437034569</v>
      </c>
      <c r="Q9" s="1">
        <f t="shared" si="0"/>
        <v>381.91804465182838</v>
      </c>
      <c r="R9" s="1">
        <f t="shared" si="0"/>
        <v>361.81709493331107</v>
      </c>
      <c r="S9" s="1">
        <f t="shared" si="0"/>
        <v>342.42250664653443</v>
      </c>
      <c r="T9" s="1">
        <f t="shared" si="0"/>
        <v>322.65863419455502</v>
      </c>
      <c r="U9" s="1">
        <f t="shared" si="0"/>
        <v>302.68763139527931</v>
      </c>
      <c r="V9" s="1">
        <f t="shared" si="0"/>
        <v>282.89085806984946</v>
      </c>
      <c r="W9" s="1">
        <f t="shared" si="0"/>
        <v>263.44240686753102</v>
      </c>
      <c r="X9" s="1">
        <f t="shared" si="0"/>
        <v>244.57281840161698</v>
      </c>
      <c r="Y9" s="1">
        <f t="shared" si="0"/>
        <v>224.48291105282533</v>
      </c>
      <c r="Z9" s="1">
        <f t="shared" si="0"/>
        <v>204.36557781890912</v>
      </c>
      <c r="AA9" s="1">
        <f t="shared" si="0"/>
        <v>185.54612759384932</v>
      </c>
      <c r="AB9" s="1">
        <f t="shared" si="0"/>
        <v>165.22009532905517</v>
      </c>
      <c r="AC9" s="1">
        <f t="shared" si="0"/>
        <v>144.85874426426636</v>
      </c>
      <c r="AD9" s="1">
        <f t="shared" si="0"/>
        <v>124.45484207532218</v>
      </c>
      <c r="AE9" s="1">
        <f t="shared" si="0"/>
        <v>104.04945165483545</v>
      </c>
      <c r="AF9" s="1">
        <f t="shared" si="0"/>
        <v>84.095185099386953</v>
      </c>
      <c r="AG9" s="1">
        <f t="shared" si="0"/>
        <v>64.111743711350726</v>
      </c>
      <c r="AH9" s="1">
        <f t="shared" si="0"/>
        <v>43.031366608756272</v>
      </c>
      <c r="AI9" s="1">
        <f t="shared" si="0"/>
        <v>21.840329244443502</v>
      </c>
      <c r="AJ9" s="1">
        <f t="shared" ref="AJ9" si="1">AI16</f>
        <v>0</v>
      </c>
      <c r="AK9" s="1">
        <f t="shared" ref="AK9" si="2">AJ16</f>
        <v>0</v>
      </c>
      <c r="AL9" s="1">
        <f t="shared" ref="AL9" si="3">AK16</f>
        <v>0</v>
      </c>
      <c r="AM9" s="1">
        <f t="shared" ref="AM9" si="4">AL16</f>
        <v>0</v>
      </c>
      <c r="AN9" s="1">
        <f t="shared" ref="AN9" si="5">AM16</f>
        <v>0</v>
      </c>
      <c r="AO9" s="1">
        <f t="shared" ref="AO9" si="6">AN16</f>
        <v>0</v>
      </c>
      <c r="AP9" s="1">
        <f t="shared" ref="AP9" si="7">AO16</f>
        <v>0</v>
      </c>
      <c r="AQ9" s="1">
        <f t="shared" ref="AQ9" si="8">AP16</f>
        <v>0</v>
      </c>
      <c r="AR9" s="1">
        <f t="shared" ref="AR9" si="9">AQ16</f>
        <v>0</v>
      </c>
      <c r="AS9" s="1">
        <f t="shared" ref="AS9" si="10">AR16</f>
        <v>0</v>
      </c>
      <c r="AT9" s="1">
        <f t="shared" ref="AT9" si="11">AS16</f>
        <v>0</v>
      </c>
      <c r="AU9" s="1">
        <f t="shared" ref="AU9" si="12">AT16</f>
        <v>0</v>
      </c>
      <c r="AV9" s="1">
        <f t="shared" ref="AV9" si="13">AU16</f>
        <v>0</v>
      </c>
      <c r="AW9" s="1">
        <f t="shared" ref="AW9:AX9" si="14">AV16</f>
        <v>0</v>
      </c>
      <c r="AX9" s="1">
        <f t="shared" si="14"/>
        <v>0</v>
      </c>
    </row>
    <row r="10" spans="1:50" ht="15" customHeight="1">
      <c r="A10"/>
      <c r="B10" s="1"/>
      <c r="C10" s="1"/>
      <c r="D10" s="1"/>
      <c r="E10" s="80" t="s">
        <v>361</v>
      </c>
      <c r="F10" s="1"/>
      <c r="G10" s="1" t="str">
        <f>Inputs!$I$6</f>
        <v>£m 2024 prices</v>
      </c>
      <c r="H10" s="1"/>
      <c r="I10" s="55"/>
      <c r="J10" s="55"/>
      <c r="K10" s="155">
        <f>-SUM(Finance!K49:AX49)</f>
        <v>21.943906305402702</v>
      </c>
      <c r="L10" s="156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</row>
    <row r="11" spans="1:50" ht="15" customHeight="1">
      <c r="A11"/>
      <c r="B11" s="1"/>
      <c r="C11" s="1"/>
      <c r="D11" s="1"/>
      <c r="E11" s="80" t="s">
        <v>362</v>
      </c>
      <c r="F11" s="1"/>
      <c r="G11" s="1" t="str">
        <f>Inputs!$I$6</f>
        <v>£m 2024 prices</v>
      </c>
      <c r="H11" s="1"/>
      <c r="I11" s="55"/>
      <c r="J11" s="55"/>
      <c r="K11" s="216">
        <f>-SUM(Pre_Op_RAV!K25:AX25)</f>
        <v>480.57983665752948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</row>
    <row r="12" spans="1:50" ht="15" customHeight="1">
      <c r="A12"/>
      <c r="B12" s="1"/>
      <c r="C12" s="1"/>
      <c r="D12" s="1"/>
      <c r="E12" s="80" t="s">
        <v>88</v>
      </c>
      <c r="F12" s="1"/>
      <c r="G12" s="1" t="str">
        <f>Inputs!$I$6</f>
        <v>£m 2024 prices</v>
      </c>
      <c r="H12" s="1"/>
      <c r="I12" s="55"/>
      <c r="J12" s="55"/>
      <c r="K12" s="216">
        <f>- Inputs!I29</f>
        <v>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</row>
    <row r="13" spans="1:50" ht="15" customHeight="1">
      <c r="A13"/>
      <c r="B13" s="1"/>
      <c r="C13" s="1"/>
      <c r="D13" s="1"/>
      <c r="E13" s="80" t="s">
        <v>363</v>
      </c>
      <c r="F13" s="1"/>
      <c r="G13" s="1" t="str">
        <f>Inputs!$I$6</f>
        <v>£m 2024 prices</v>
      </c>
      <c r="H13" s="1"/>
      <c r="I13" s="55"/>
      <c r="J13" s="55"/>
      <c r="K13" s="143">
        <f>SUM(K9:K12)</f>
        <v>502.5237429629322</v>
      </c>
      <c r="L13" s="143">
        <f t="shared" ref="L13:AX13" si="15">SUM(L9:L12)</f>
        <v>482.42279324441489</v>
      </c>
      <c r="M13" s="143">
        <f t="shared" si="15"/>
        <v>462.32184352589758</v>
      </c>
      <c r="N13" s="143">
        <f t="shared" si="15"/>
        <v>442.22089380738032</v>
      </c>
      <c r="O13" s="143">
        <f t="shared" si="15"/>
        <v>422.11994408886301</v>
      </c>
      <c r="P13" s="143">
        <f t="shared" si="15"/>
        <v>402.01899437034569</v>
      </c>
      <c r="Q13" s="143">
        <f t="shared" si="15"/>
        <v>381.91804465182838</v>
      </c>
      <c r="R13" s="143">
        <f t="shared" si="15"/>
        <v>361.81709493331107</v>
      </c>
      <c r="S13" s="143">
        <f t="shared" si="15"/>
        <v>342.42250664653443</v>
      </c>
      <c r="T13" s="143">
        <f t="shared" si="15"/>
        <v>322.65863419455502</v>
      </c>
      <c r="U13" s="143">
        <f t="shared" si="15"/>
        <v>302.68763139527931</v>
      </c>
      <c r="V13" s="143">
        <f t="shared" si="15"/>
        <v>282.89085806984946</v>
      </c>
      <c r="W13" s="143">
        <f t="shared" si="15"/>
        <v>263.44240686753102</v>
      </c>
      <c r="X13" s="143">
        <f t="shared" si="15"/>
        <v>244.57281840161698</v>
      </c>
      <c r="Y13" s="143">
        <f t="shared" si="15"/>
        <v>224.48291105282533</v>
      </c>
      <c r="Z13" s="143">
        <f t="shared" si="15"/>
        <v>204.36557781890912</v>
      </c>
      <c r="AA13" s="143">
        <f t="shared" si="15"/>
        <v>185.54612759384932</v>
      </c>
      <c r="AB13" s="143">
        <f t="shared" si="15"/>
        <v>165.22009532905517</v>
      </c>
      <c r="AC13" s="143">
        <f t="shared" si="15"/>
        <v>144.85874426426636</v>
      </c>
      <c r="AD13" s="143">
        <f t="shared" si="15"/>
        <v>124.45484207532218</v>
      </c>
      <c r="AE13" s="143">
        <f t="shared" si="15"/>
        <v>104.04945165483545</v>
      </c>
      <c r="AF13" s="143">
        <f t="shared" si="15"/>
        <v>84.095185099386953</v>
      </c>
      <c r="AG13" s="143">
        <f t="shared" si="15"/>
        <v>64.111743711350726</v>
      </c>
      <c r="AH13" s="143">
        <f t="shared" si="15"/>
        <v>43.031366608756272</v>
      </c>
      <c r="AI13" s="143">
        <f t="shared" si="15"/>
        <v>21.840329244443502</v>
      </c>
      <c r="AJ13" s="143">
        <f t="shared" si="15"/>
        <v>0</v>
      </c>
      <c r="AK13" s="143">
        <f t="shared" si="15"/>
        <v>0</v>
      </c>
      <c r="AL13" s="143">
        <f t="shared" si="15"/>
        <v>0</v>
      </c>
      <c r="AM13" s="143">
        <f t="shared" si="15"/>
        <v>0</v>
      </c>
      <c r="AN13" s="143">
        <f t="shared" si="15"/>
        <v>0</v>
      </c>
      <c r="AO13" s="143">
        <f t="shared" si="15"/>
        <v>0</v>
      </c>
      <c r="AP13" s="143">
        <f t="shared" si="15"/>
        <v>0</v>
      </c>
      <c r="AQ13" s="143">
        <f t="shared" si="15"/>
        <v>0</v>
      </c>
      <c r="AR13" s="143">
        <f t="shared" si="15"/>
        <v>0</v>
      </c>
      <c r="AS13" s="143">
        <f t="shared" si="15"/>
        <v>0</v>
      </c>
      <c r="AT13" s="143">
        <f t="shared" si="15"/>
        <v>0</v>
      </c>
      <c r="AU13" s="143">
        <f t="shared" si="15"/>
        <v>0</v>
      </c>
      <c r="AV13" s="143">
        <f t="shared" si="15"/>
        <v>0</v>
      </c>
      <c r="AW13" s="143">
        <f t="shared" si="15"/>
        <v>0</v>
      </c>
      <c r="AX13" s="143">
        <f t="shared" si="15"/>
        <v>0</v>
      </c>
    </row>
    <row r="14" spans="1:50" ht="15" customHeight="1">
      <c r="A14"/>
      <c r="B14" s="1"/>
      <c r="C14" s="1"/>
      <c r="D14" s="1"/>
      <c r="E14" s="80" t="s">
        <v>131</v>
      </c>
      <c r="F14" s="1"/>
      <c r="G14" s="1" t="str">
        <f>Inputs!$I$6</f>
        <v>£m 2024 prices</v>
      </c>
      <c r="H14" s="1"/>
      <c r="I14" s="55"/>
      <c r="J14" s="55"/>
      <c r="K14" s="18">
        <f>Inputs!K35</f>
        <v>0</v>
      </c>
      <c r="L14" s="18">
        <f>Inputs!L35</f>
        <v>0</v>
      </c>
      <c r="M14" s="18">
        <f>Inputs!M35</f>
        <v>0</v>
      </c>
      <c r="N14" s="18">
        <f>Inputs!N35</f>
        <v>0</v>
      </c>
      <c r="O14" s="18">
        <f>Inputs!O35</f>
        <v>0</v>
      </c>
      <c r="P14" s="18">
        <f>Inputs!P35</f>
        <v>0</v>
      </c>
      <c r="Q14" s="18">
        <f>Inputs!Q35</f>
        <v>0</v>
      </c>
      <c r="R14" s="18">
        <f>Inputs!R35</f>
        <v>0.70636143174061439</v>
      </c>
      <c r="S14" s="18">
        <f>Inputs!S35</f>
        <v>0.3786279389931741</v>
      </c>
      <c r="T14" s="18">
        <f>Inputs!T35</f>
        <v>0.19516183788395905</v>
      </c>
      <c r="U14" s="18">
        <f>Inputs!U35</f>
        <v>0.38240210092208138</v>
      </c>
      <c r="V14" s="18">
        <f>Inputs!V35</f>
        <v>0.75803865981368157</v>
      </c>
      <c r="W14" s="18">
        <f>Inputs!W35</f>
        <v>1.3952120623575672</v>
      </c>
      <c r="X14" s="18">
        <f>Inputs!X35</f>
        <v>0.29116085134308672</v>
      </c>
      <c r="Y14" s="18">
        <f>Inputs!Y35</f>
        <v>0.2902041345224502</v>
      </c>
      <c r="Z14" s="18">
        <f>Inputs!Z35</f>
        <v>1.6171075568311293</v>
      </c>
      <c r="AA14" s="18">
        <f>Inputs!AA35</f>
        <v>0.2902041345224502</v>
      </c>
      <c r="AB14" s="18">
        <f>Inputs!AB35</f>
        <v>0.29116085134308672</v>
      </c>
      <c r="AC14" s="18">
        <f>Inputs!AC35</f>
        <v>0.2902041345224502</v>
      </c>
      <c r="AD14" s="18">
        <f>Inputs!AD35</f>
        <v>0.33708325873363693</v>
      </c>
      <c r="AE14" s="18">
        <f>Inputs!AE35</f>
        <v>0.85562377551860125</v>
      </c>
      <c r="AF14" s="18">
        <f>Inputs!AF35</f>
        <v>1.0403548868105208</v>
      </c>
      <c r="AG14" s="18">
        <f>Inputs!AG35</f>
        <v>0.2902041345224502</v>
      </c>
      <c r="AH14" s="18">
        <f>Inputs!AH35</f>
        <v>0.32464594006536301</v>
      </c>
      <c r="AI14" s="18">
        <f>Inputs!AI35</f>
        <v>1.0106119004617085</v>
      </c>
      <c r="AJ14" s="18">
        <f>Inputs!AJ35</f>
        <v>0</v>
      </c>
      <c r="AK14" s="18">
        <f>Inputs!AK35</f>
        <v>0</v>
      </c>
      <c r="AL14" s="18">
        <f>Inputs!AL35</f>
        <v>0</v>
      </c>
      <c r="AM14" s="18">
        <f>Inputs!AM35</f>
        <v>0</v>
      </c>
      <c r="AN14" s="18">
        <f>Inputs!AN35</f>
        <v>0</v>
      </c>
      <c r="AO14" s="18">
        <f>Inputs!AO35</f>
        <v>0</v>
      </c>
      <c r="AP14" s="18">
        <f>Inputs!AP35</f>
        <v>0</v>
      </c>
      <c r="AQ14" s="18">
        <f>Inputs!AQ35</f>
        <v>0</v>
      </c>
      <c r="AR14" s="18">
        <f>Inputs!AR35</f>
        <v>0</v>
      </c>
      <c r="AS14" s="18">
        <f>Inputs!AS35</f>
        <v>0</v>
      </c>
      <c r="AT14" s="18">
        <f>Inputs!AT35</f>
        <v>0</v>
      </c>
      <c r="AU14" s="18">
        <f>Inputs!AU35</f>
        <v>0</v>
      </c>
      <c r="AV14" s="18">
        <f>Inputs!AV35</f>
        <v>0</v>
      </c>
      <c r="AW14" s="18">
        <f>Inputs!AW35</f>
        <v>0</v>
      </c>
      <c r="AX14" s="18">
        <f>Inputs!AX35</f>
        <v>0</v>
      </c>
    </row>
    <row r="15" spans="1:50" ht="15" customHeight="1">
      <c r="A15"/>
      <c r="B15" s="1"/>
      <c r="C15" s="1"/>
      <c r="D15" s="1"/>
      <c r="E15" s="80" t="s">
        <v>364</v>
      </c>
      <c r="F15" s="1"/>
      <c r="G15" s="1" t="str">
        <f>Inputs!$I$6</f>
        <v>£m 2024 prices</v>
      </c>
      <c r="H15" s="1"/>
      <c r="I15" s="55"/>
      <c r="J15" s="55"/>
      <c r="K15" s="1">
        <f t="shared" ref="K15:AI15" si="16" xml:space="preserve"> - K26</f>
        <v>-20.100949718517288</v>
      </c>
      <c r="L15" s="1">
        <f t="shared" si="16"/>
        <v>-20.100949718517288</v>
      </c>
      <c r="M15" s="1">
        <f t="shared" si="16"/>
        <v>-20.100949718517285</v>
      </c>
      <c r="N15" s="1">
        <f t="shared" si="16"/>
        <v>-20.100949718517288</v>
      </c>
      <c r="O15" s="1">
        <f t="shared" si="16"/>
        <v>-20.100949718517285</v>
      </c>
      <c r="P15" s="1">
        <f t="shared" si="16"/>
        <v>-20.100949718517285</v>
      </c>
      <c r="Q15" s="1">
        <f t="shared" si="16"/>
        <v>-20.100949718517285</v>
      </c>
      <c r="R15" s="1">
        <f t="shared" si="16"/>
        <v>-20.100949718517281</v>
      </c>
      <c r="S15" s="1">
        <f t="shared" si="16"/>
        <v>-20.142500390972614</v>
      </c>
      <c r="T15" s="1">
        <f t="shared" si="16"/>
        <v>-20.166164637159689</v>
      </c>
      <c r="U15" s="1">
        <f t="shared" si="16"/>
        <v>-20.179175426351954</v>
      </c>
      <c r="V15" s="1">
        <f t="shared" si="16"/>
        <v>-20.206489862132106</v>
      </c>
      <c r="W15" s="1">
        <f t="shared" si="16"/>
        <v>-20.264800528271618</v>
      </c>
      <c r="X15" s="1">
        <f t="shared" si="16"/>
        <v>-20.381068200134749</v>
      </c>
      <c r="Y15" s="1">
        <f t="shared" si="16"/>
        <v>-20.407537368438668</v>
      </c>
      <c r="Z15" s="1">
        <f t="shared" si="16"/>
        <v>-20.436557781890912</v>
      </c>
      <c r="AA15" s="1">
        <f t="shared" si="16"/>
        <v>-20.616236399316591</v>
      </c>
      <c r="AB15" s="1">
        <f t="shared" si="16"/>
        <v>-20.652511916131896</v>
      </c>
      <c r="AC15" s="1">
        <f t="shared" si="16"/>
        <v>-20.694106323466624</v>
      </c>
      <c r="AD15" s="1">
        <f t="shared" si="16"/>
        <v>-20.742473679220364</v>
      </c>
      <c r="AE15" s="1">
        <f t="shared" si="16"/>
        <v>-20.80989033096709</v>
      </c>
      <c r="AF15" s="1">
        <f t="shared" si="16"/>
        <v>-21.023796274846738</v>
      </c>
      <c r="AG15" s="1">
        <f t="shared" si="16"/>
        <v>-21.370581237116909</v>
      </c>
      <c r="AH15" s="1">
        <f t="shared" si="16"/>
        <v>-21.515683304378136</v>
      </c>
      <c r="AI15" s="1">
        <f t="shared" si="16"/>
        <v>-22.85094114490521</v>
      </c>
      <c r="AJ15" s="1">
        <f t="shared" ref="AJ15:AU15" si="17" xml:space="preserve"> - AJ26</f>
        <v>0</v>
      </c>
      <c r="AK15" s="1">
        <f t="shared" si="17"/>
        <v>0</v>
      </c>
      <c r="AL15" s="1">
        <f t="shared" si="17"/>
        <v>0</v>
      </c>
      <c r="AM15" s="1">
        <f t="shared" si="17"/>
        <v>0</v>
      </c>
      <c r="AN15" s="1">
        <f t="shared" si="17"/>
        <v>0</v>
      </c>
      <c r="AO15" s="1">
        <f t="shared" si="17"/>
        <v>0</v>
      </c>
      <c r="AP15" s="1">
        <f t="shared" si="17"/>
        <v>0</v>
      </c>
      <c r="AQ15" s="1">
        <f t="shared" si="17"/>
        <v>0</v>
      </c>
      <c r="AR15" s="1">
        <f t="shared" si="17"/>
        <v>0</v>
      </c>
      <c r="AS15" s="1">
        <f t="shared" si="17"/>
        <v>0</v>
      </c>
      <c r="AT15" s="1">
        <f t="shared" si="17"/>
        <v>0</v>
      </c>
      <c r="AU15" s="1">
        <f t="shared" si="17"/>
        <v>0</v>
      </c>
      <c r="AV15" s="1">
        <f t="shared" ref="AV15:AW15" si="18" xml:space="preserve"> - AV26</f>
        <v>0</v>
      </c>
      <c r="AW15" s="1">
        <f t="shared" si="18"/>
        <v>0</v>
      </c>
      <c r="AX15" s="1">
        <f t="shared" ref="AX15" si="19" xml:space="preserve"> - AX26</f>
        <v>0</v>
      </c>
    </row>
    <row r="16" spans="1:50" ht="15" customHeight="1">
      <c r="A16"/>
      <c r="B16" s="1"/>
      <c r="C16" s="1"/>
      <c r="D16" s="1"/>
      <c r="E16" s="80" t="s">
        <v>365</v>
      </c>
      <c r="F16" s="1"/>
      <c r="G16" s="1" t="str">
        <f>Inputs!$I$6</f>
        <v>£m 2024 prices</v>
      </c>
      <c r="H16" s="1"/>
      <c r="I16" s="55"/>
      <c r="J16" s="55"/>
      <c r="K16" s="136">
        <f>SUM(K13:K15)</f>
        <v>482.42279324441489</v>
      </c>
      <c r="L16" s="136">
        <f t="shared" ref="L16:AH16" si="20">SUM(L13:L15)</f>
        <v>462.32184352589758</v>
      </c>
      <c r="M16" s="136">
        <f t="shared" si="20"/>
        <v>442.22089380738032</v>
      </c>
      <c r="N16" s="136">
        <f t="shared" si="20"/>
        <v>422.11994408886301</v>
      </c>
      <c r="O16" s="136">
        <f t="shared" si="20"/>
        <v>402.01899437034569</v>
      </c>
      <c r="P16" s="136">
        <f t="shared" si="20"/>
        <v>381.91804465182838</v>
      </c>
      <c r="Q16" s="136">
        <f t="shared" si="20"/>
        <v>361.81709493331107</v>
      </c>
      <c r="R16" s="136">
        <f t="shared" si="20"/>
        <v>342.42250664653443</v>
      </c>
      <c r="S16" s="136">
        <f t="shared" si="20"/>
        <v>322.65863419455502</v>
      </c>
      <c r="T16" s="136">
        <f t="shared" si="20"/>
        <v>302.68763139527931</v>
      </c>
      <c r="U16" s="136">
        <f t="shared" si="20"/>
        <v>282.89085806984946</v>
      </c>
      <c r="V16" s="136">
        <f t="shared" si="20"/>
        <v>263.44240686753102</v>
      </c>
      <c r="W16" s="136">
        <f t="shared" si="20"/>
        <v>244.57281840161698</v>
      </c>
      <c r="X16" s="136">
        <f t="shared" si="20"/>
        <v>224.48291105282533</v>
      </c>
      <c r="Y16" s="136">
        <f t="shared" si="20"/>
        <v>204.36557781890912</v>
      </c>
      <c r="Z16" s="136">
        <f t="shared" si="20"/>
        <v>185.54612759384932</v>
      </c>
      <c r="AA16" s="136">
        <f t="shared" si="20"/>
        <v>165.22009532905517</v>
      </c>
      <c r="AB16" s="136">
        <f t="shared" si="20"/>
        <v>144.85874426426636</v>
      </c>
      <c r="AC16" s="136">
        <f t="shared" si="20"/>
        <v>124.45484207532218</v>
      </c>
      <c r="AD16" s="136">
        <f t="shared" si="20"/>
        <v>104.04945165483545</v>
      </c>
      <c r="AE16" s="136">
        <f t="shared" si="20"/>
        <v>84.095185099386953</v>
      </c>
      <c r="AF16" s="136">
        <f t="shared" si="20"/>
        <v>64.111743711350726</v>
      </c>
      <c r="AG16" s="136">
        <f t="shared" si="20"/>
        <v>43.031366608756272</v>
      </c>
      <c r="AH16" s="136">
        <f t="shared" si="20"/>
        <v>21.840329244443502</v>
      </c>
      <c r="AI16" s="136">
        <f>SUM(AI13:AI15)</f>
        <v>0</v>
      </c>
      <c r="AJ16" s="136">
        <f t="shared" ref="AJ16:AU16" si="21">SUM(AJ13:AJ15)</f>
        <v>0</v>
      </c>
      <c r="AK16" s="136">
        <f t="shared" si="21"/>
        <v>0</v>
      </c>
      <c r="AL16" s="136">
        <f t="shared" si="21"/>
        <v>0</v>
      </c>
      <c r="AM16" s="136">
        <f t="shared" si="21"/>
        <v>0</v>
      </c>
      <c r="AN16" s="136">
        <f t="shared" si="21"/>
        <v>0</v>
      </c>
      <c r="AO16" s="136">
        <f t="shared" si="21"/>
        <v>0</v>
      </c>
      <c r="AP16" s="136">
        <f t="shared" si="21"/>
        <v>0</v>
      </c>
      <c r="AQ16" s="136">
        <f t="shared" si="21"/>
        <v>0</v>
      </c>
      <c r="AR16" s="136">
        <f t="shared" si="21"/>
        <v>0</v>
      </c>
      <c r="AS16" s="136">
        <f t="shared" si="21"/>
        <v>0</v>
      </c>
      <c r="AT16" s="136">
        <f t="shared" si="21"/>
        <v>0</v>
      </c>
      <c r="AU16" s="136">
        <f t="shared" si="21"/>
        <v>0</v>
      </c>
      <c r="AV16" s="136">
        <f t="shared" ref="AV16:AW16" si="22">SUM(AV13:AV15)</f>
        <v>0</v>
      </c>
      <c r="AW16" s="136">
        <f t="shared" si="22"/>
        <v>0</v>
      </c>
      <c r="AX16" s="136">
        <f t="shared" ref="AX16" si="23">SUM(AX13:AX15)</f>
        <v>0</v>
      </c>
    </row>
    <row r="17" spans="1:50" ht="15" customHeight="1">
      <c r="A17"/>
      <c r="B17" s="1"/>
      <c r="C17" s="1"/>
      <c r="D17" s="1"/>
      <c r="E17" s="1"/>
      <c r="F17" s="1"/>
      <c r="G17" s="1"/>
      <c r="H17" s="1"/>
      <c r="I17" s="55"/>
      <c r="J17" s="55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</row>
    <row r="18" spans="1:50" ht="15" customHeight="1">
      <c r="A18"/>
      <c r="B18" s="1"/>
      <c r="C18" s="1"/>
      <c r="D18" s="1"/>
      <c r="E18" s="1" t="s">
        <v>366</v>
      </c>
      <c r="F18" s="1"/>
      <c r="G18" s="1" t="str">
        <f>Inputs!$I$6</f>
        <v>£m 2024 prices</v>
      </c>
      <c r="H18" s="1"/>
      <c r="I18" s="55"/>
      <c r="J18" s="55"/>
      <c r="K18" s="143">
        <f t="shared" ref="K18:AI18" si="24">AVERAGE(K13, K16)</f>
        <v>492.47326810367355</v>
      </c>
      <c r="L18" s="143">
        <f t="shared" si="24"/>
        <v>472.37231838515623</v>
      </c>
      <c r="M18" s="143">
        <f t="shared" si="24"/>
        <v>452.27136866663898</v>
      </c>
      <c r="N18" s="143">
        <f t="shared" si="24"/>
        <v>432.17041894812166</v>
      </c>
      <c r="O18" s="143">
        <f t="shared" si="24"/>
        <v>412.06946922960435</v>
      </c>
      <c r="P18" s="143">
        <f t="shared" si="24"/>
        <v>391.96851951108704</v>
      </c>
      <c r="Q18" s="143">
        <f t="shared" si="24"/>
        <v>371.86756979256972</v>
      </c>
      <c r="R18" s="143">
        <f t="shared" si="24"/>
        <v>352.11980078992275</v>
      </c>
      <c r="S18" s="143">
        <f t="shared" si="24"/>
        <v>332.54057042054473</v>
      </c>
      <c r="T18" s="143">
        <f t="shared" si="24"/>
        <v>312.67313279491714</v>
      </c>
      <c r="U18" s="143">
        <f t="shared" si="24"/>
        <v>292.78924473256438</v>
      </c>
      <c r="V18" s="143">
        <f t="shared" si="24"/>
        <v>273.16663246869024</v>
      </c>
      <c r="W18" s="143">
        <f t="shared" si="24"/>
        <v>254.007612634574</v>
      </c>
      <c r="X18" s="143">
        <f t="shared" si="24"/>
        <v>234.52786472722116</v>
      </c>
      <c r="Y18" s="143">
        <f t="shared" si="24"/>
        <v>214.42424443586722</v>
      </c>
      <c r="Z18" s="143">
        <f t="shared" si="24"/>
        <v>194.95585270637923</v>
      </c>
      <c r="AA18" s="143">
        <f t="shared" si="24"/>
        <v>175.38311146145224</v>
      </c>
      <c r="AB18" s="143">
        <f t="shared" si="24"/>
        <v>155.03941979666075</v>
      </c>
      <c r="AC18" s="143">
        <f t="shared" si="24"/>
        <v>134.65679316979427</v>
      </c>
      <c r="AD18" s="143">
        <f t="shared" si="24"/>
        <v>114.25214686507881</v>
      </c>
      <c r="AE18" s="143">
        <f t="shared" si="24"/>
        <v>94.072318377111202</v>
      </c>
      <c r="AF18" s="143">
        <f t="shared" si="24"/>
        <v>74.10346440536884</v>
      </c>
      <c r="AG18" s="143">
        <f t="shared" si="24"/>
        <v>53.571555160053499</v>
      </c>
      <c r="AH18" s="143">
        <f t="shared" si="24"/>
        <v>32.435847926599891</v>
      </c>
      <c r="AI18" s="143">
        <f t="shared" si="24"/>
        <v>10.920164622221751</v>
      </c>
      <c r="AJ18" s="143">
        <f t="shared" ref="AJ18:AU18" si="25">AVERAGE(AJ13, AJ16)</f>
        <v>0</v>
      </c>
      <c r="AK18" s="143">
        <f t="shared" si="25"/>
        <v>0</v>
      </c>
      <c r="AL18" s="143">
        <f t="shared" si="25"/>
        <v>0</v>
      </c>
      <c r="AM18" s="143">
        <f t="shared" si="25"/>
        <v>0</v>
      </c>
      <c r="AN18" s="143">
        <f t="shared" si="25"/>
        <v>0</v>
      </c>
      <c r="AO18" s="143">
        <f t="shared" si="25"/>
        <v>0</v>
      </c>
      <c r="AP18" s="143">
        <f t="shared" si="25"/>
        <v>0</v>
      </c>
      <c r="AQ18" s="143">
        <f t="shared" si="25"/>
        <v>0</v>
      </c>
      <c r="AR18" s="143">
        <f t="shared" si="25"/>
        <v>0</v>
      </c>
      <c r="AS18" s="143">
        <f t="shared" si="25"/>
        <v>0</v>
      </c>
      <c r="AT18" s="143">
        <f t="shared" si="25"/>
        <v>0</v>
      </c>
      <c r="AU18" s="143">
        <f t="shared" si="25"/>
        <v>0</v>
      </c>
      <c r="AV18" s="143">
        <f t="shared" ref="AV18:AW18" si="26">AVERAGE(AV13, AV16)</f>
        <v>0</v>
      </c>
      <c r="AW18" s="143">
        <f t="shared" si="26"/>
        <v>0</v>
      </c>
      <c r="AX18" s="143">
        <f t="shared" ref="AX18" si="27">AVERAGE(AX13, AX16)</f>
        <v>0</v>
      </c>
    </row>
    <row r="19" spans="1:50" ht="15" customHeight="1">
      <c r="B19" s="1"/>
      <c r="C19" s="1"/>
      <c r="D19" s="1"/>
      <c r="E19" s="1"/>
      <c r="F19" s="1"/>
      <c r="G19" s="1"/>
      <c r="H19" s="1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</row>
    <row r="20" spans="1:50" ht="15" customHeight="1">
      <c r="B20" s="12" t="s">
        <v>367</v>
      </c>
      <c r="C20" s="50"/>
      <c r="D20" s="50"/>
      <c r="E20" s="50"/>
      <c r="F20" s="51"/>
      <c r="G20" s="51"/>
      <c r="H20" s="51"/>
      <c r="I20" s="133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</row>
    <row r="21" spans="1:50" ht="15" customHeight="1">
      <c r="B21" s="1"/>
      <c r="C21" s="1"/>
      <c r="D21" s="1"/>
      <c r="E21" s="1"/>
      <c r="F21" s="1"/>
      <c r="G21" s="1"/>
      <c r="H21" s="1"/>
      <c r="I21" s="55"/>
      <c r="J21" s="80"/>
      <c r="K21" s="80"/>
      <c r="L21" s="80"/>
      <c r="M21" s="80"/>
      <c r="N21" s="80"/>
      <c r="O21" s="80"/>
      <c r="P21" s="80"/>
      <c r="Q21" s="80"/>
      <c r="R21" s="80"/>
      <c r="S21" s="1"/>
      <c r="T21" s="1"/>
      <c r="U21" s="1"/>
      <c r="V21" s="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</row>
    <row r="22" spans="1:50" ht="15" customHeight="1">
      <c r="B22" s="1"/>
      <c r="C22" s="1"/>
      <c r="D22" s="1"/>
      <c r="E22" s="80" t="s">
        <v>368</v>
      </c>
      <c r="F22" s="1"/>
      <c r="G22" s="80" t="s">
        <v>155</v>
      </c>
      <c r="H22" s="1"/>
      <c r="I22" s="157">
        <f>Inputs!I142</f>
        <v>25</v>
      </c>
      <c r="J22" s="80"/>
      <c r="K22" s="80"/>
      <c r="L22" s="80"/>
      <c r="M22" s="80"/>
      <c r="N22" s="80"/>
      <c r="O22" s="80"/>
      <c r="P22" s="80"/>
      <c r="Q22" s="80"/>
      <c r="R22" s="80"/>
      <c r="S22" s="158"/>
      <c r="T22" s="158"/>
      <c r="U22" s="158"/>
      <c r="V22" s="158"/>
      <c r="W22" s="158"/>
      <c r="X22" s="158"/>
      <c r="Y22" s="158"/>
      <c r="Z22" s="158"/>
      <c r="AA22" s="158"/>
      <c r="AB22" s="158"/>
      <c r="AC22" s="158"/>
      <c r="AD22" s="158"/>
      <c r="AE22" s="158"/>
      <c r="AF22" s="158"/>
      <c r="AG22" s="158"/>
      <c r="AH22" s="158"/>
      <c r="AI22" s="158"/>
      <c r="AJ22" s="158"/>
      <c r="AK22" s="158"/>
      <c r="AL22" s="158"/>
      <c r="AM22" s="158"/>
      <c r="AN22" s="158"/>
      <c r="AO22" s="158"/>
      <c r="AP22" s="158"/>
      <c r="AQ22" s="158"/>
      <c r="AR22" s="158"/>
      <c r="AS22" s="158"/>
      <c r="AT22" s="158"/>
      <c r="AU22" s="158"/>
      <c r="AV22" s="158"/>
      <c r="AW22" s="158"/>
      <c r="AX22" s="158"/>
    </row>
    <row r="23" spans="1:50" ht="15" customHeight="1">
      <c r="A23"/>
      <c r="B23" s="1"/>
      <c r="C23" s="1"/>
      <c r="D23" s="1"/>
      <c r="E23" s="1" t="s">
        <v>369</v>
      </c>
      <c r="F23" s="1"/>
      <c r="G23" s="80" t="s">
        <v>155</v>
      </c>
      <c r="H23" s="1"/>
      <c r="I23" s="55"/>
      <c r="J23" s="80"/>
      <c r="K23" s="194">
        <f>I22</f>
        <v>25</v>
      </c>
      <c r="L23" s="158">
        <f>MAX(+K23-1,0)</f>
        <v>24</v>
      </c>
      <c r="M23" s="158">
        <f t="shared" ref="M23:AX23" si="28">MAX(+L23-1,0)</f>
        <v>23</v>
      </c>
      <c r="N23" s="158">
        <f t="shared" si="28"/>
        <v>22</v>
      </c>
      <c r="O23" s="158">
        <f t="shared" si="28"/>
        <v>21</v>
      </c>
      <c r="P23" s="158">
        <f t="shared" si="28"/>
        <v>20</v>
      </c>
      <c r="Q23" s="158">
        <f t="shared" si="28"/>
        <v>19</v>
      </c>
      <c r="R23" s="158">
        <f t="shared" si="28"/>
        <v>18</v>
      </c>
      <c r="S23" s="158">
        <f t="shared" si="28"/>
        <v>17</v>
      </c>
      <c r="T23" s="158">
        <f t="shared" si="28"/>
        <v>16</v>
      </c>
      <c r="U23" s="158">
        <f t="shared" si="28"/>
        <v>15</v>
      </c>
      <c r="V23" s="158">
        <f t="shared" si="28"/>
        <v>14</v>
      </c>
      <c r="W23" s="158">
        <f t="shared" si="28"/>
        <v>13</v>
      </c>
      <c r="X23" s="158">
        <f t="shared" si="28"/>
        <v>12</v>
      </c>
      <c r="Y23" s="158">
        <f t="shared" si="28"/>
        <v>11</v>
      </c>
      <c r="Z23" s="158">
        <f t="shared" si="28"/>
        <v>10</v>
      </c>
      <c r="AA23" s="158">
        <f t="shared" si="28"/>
        <v>9</v>
      </c>
      <c r="AB23" s="158">
        <f t="shared" si="28"/>
        <v>8</v>
      </c>
      <c r="AC23" s="158">
        <f t="shared" si="28"/>
        <v>7</v>
      </c>
      <c r="AD23" s="158">
        <f t="shared" si="28"/>
        <v>6</v>
      </c>
      <c r="AE23" s="158">
        <f t="shared" si="28"/>
        <v>5</v>
      </c>
      <c r="AF23" s="158">
        <f t="shared" si="28"/>
        <v>4</v>
      </c>
      <c r="AG23" s="158">
        <f t="shared" si="28"/>
        <v>3</v>
      </c>
      <c r="AH23" s="158">
        <f t="shared" si="28"/>
        <v>2</v>
      </c>
      <c r="AI23" s="158">
        <f t="shared" si="28"/>
        <v>1</v>
      </c>
      <c r="AJ23" s="158">
        <f t="shared" si="28"/>
        <v>0</v>
      </c>
      <c r="AK23" s="158">
        <f t="shared" si="28"/>
        <v>0</v>
      </c>
      <c r="AL23" s="158">
        <f t="shared" si="28"/>
        <v>0</v>
      </c>
      <c r="AM23" s="158">
        <f t="shared" si="28"/>
        <v>0</v>
      </c>
      <c r="AN23" s="158">
        <f t="shared" si="28"/>
        <v>0</v>
      </c>
      <c r="AO23" s="158">
        <f t="shared" si="28"/>
        <v>0</v>
      </c>
      <c r="AP23" s="158">
        <f t="shared" si="28"/>
        <v>0</v>
      </c>
      <c r="AQ23" s="158">
        <f t="shared" si="28"/>
        <v>0</v>
      </c>
      <c r="AR23" s="158">
        <f t="shared" si="28"/>
        <v>0</v>
      </c>
      <c r="AS23" s="158">
        <f t="shared" si="28"/>
        <v>0</v>
      </c>
      <c r="AT23" s="158">
        <f t="shared" si="28"/>
        <v>0</v>
      </c>
      <c r="AU23" s="158">
        <f t="shared" si="28"/>
        <v>0</v>
      </c>
      <c r="AV23" s="158">
        <f t="shared" si="28"/>
        <v>0</v>
      </c>
      <c r="AW23" s="158">
        <f t="shared" si="28"/>
        <v>0</v>
      </c>
      <c r="AX23" s="158">
        <f t="shared" si="28"/>
        <v>0</v>
      </c>
    </row>
    <row r="24" spans="1:50" ht="15" customHeight="1">
      <c r="A24"/>
      <c r="B24" s="1"/>
      <c r="C24" s="1"/>
      <c r="D24" s="1"/>
      <c r="E24" s="1" t="s">
        <v>370</v>
      </c>
      <c r="F24" s="1"/>
      <c r="G24" s="1" t="s">
        <v>225</v>
      </c>
      <c r="H24" s="1"/>
      <c r="I24" s="159"/>
      <c r="J24" s="80"/>
      <c r="K24" s="158" t="b">
        <f t="shared" ref="K24:AI24" si="29">K23 &gt; 0</f>
        <v>1</v>
      </c>
      <c r="L24" s="158" t="b">
        <f t="shared" si="29"/>
        <v>1</v>
      </c>
      <c r="M24" s="158" t="b">
        <f t="shared" si="29"/>
        <v>1</v>
      </c>
      <c r="N24" s="158" t="b">
        <f t="shared" si="29"/>
        <v>1</v>
      </c>
      <c r="O24" s="158" t="b">
        <f t="shared" si="29"/>
        <v>1</v>
      </c>
      <c r="P24" s="158" t="b">
        <f t="shared" si="29"/>
        <v>1</v>
      </c>
      <c r="Q24" s="158" t="b">
        <f t="shared" si="29"/>
        <v>1</v>
      </c>
      <c r="R24" s="158" t="b">
        <f t="shared" si="29"/>
        <v>1</v>
      </c>
      <c r="S24" s="158" t="b">
        <f t="shared" si="29"/>
        <v>1</v>
      </c>
      <c r="T24" s="158" t="b">
        <f t="shared" si="29"/>
        <v>1</v>
      </c>
      <c r="U24" s="158" t="b">
        <f t="shared" si="29"/>
        <v>1</v>
      </c>
      <c r="V24" s="158" t="b">
        <f t="shared" si="29"/>
        <v>1</v>
      </c>
      <c r="W24" s="158" t="b">
        <f t="shared" si="29"/>
        <v>1</v>
      </c>
      <c r="X24" s="158" t="b">
        <f t="shared" si="29"/>
        <v>1</v>
      </c>
      <c r="Y24" s="158" t="b">
        <f t="shared" si="29"/>
        <v>1</v>
      </c>
      <c r="Z24" s="158" t="b">
        <f t="shared" si="29"/>
        <v>1</v>
      </c>
      <c r="AA24" s="158" t="b">
        <f t="shared" si="29"/>
        <v>1</v>
      </c>
      <c r="AB24" s="158" t="b">
        <f t="shared" si="29"/>
        <v>1</v>
      </c>
      <c r="AC24" s="158" t="b">
        <f t="shared" si="29"/>
        <v>1</v>
      </c>
      <c r="AD24" s="158" t="b">
        <f t="shared" si="29"/>
        <v>1</v>
      </c>
      <c r="AE24" s="158" t="b">
        <f t="shared" si="29"/>
        <v>1</v>
      </c>
      <c r="AF24" s="158" t="b">
        <f t="shared" si="29"/>
        <v>1</v>
      </c>
      <c r="AG24" s="158" t="b">
        <f t="shared" si="29"/>
        <v>1</v>
      </c>
      <c r="AH24" s="158" t="b">
        <f t="shared" si="29"/>
        <v>1</v>
      </c>
      <c r="AI24" s="158" t="b">
        <f t="shared" si="29"/>
        <v>1</v>
      </c>
      <c r="AJ24" s="158" t="b">
        <f t="shared" ref="AJ24:AU24" si="30">AJ23 &gt; 0</f>
        <v>0</v>
      </c>
      <c r="AK24" s="158" t="b">
        <f t="shared" si="30"/>
        <v>0</v>
      </c>
      <c r="AL24" s="158" t="b">
        <f t="shared" si="30"/>
        <v>0</v>
      </c>
      <c r="AM24" s="158" t="b">
        <f t="shared" si="30"/>
        <v>0</v>
      </c>
      <c r="AN24" s="158" t="b">
        <f t="shared" si="30"/>
        <v>0</v>
      </c>
      <c r="AO24" s="158" t="b">
        <f t="shared" si="30"/>
        <v>0</v>
      </c>
      <c r="AP24" s="158" t="b">
        <f t="shared" si="30"/>
        <v>0</v>
      </c>
      <c r="AQ24" s="158" t="b">
        <f t="shared" si="30"/>
        <v>0</v>
      </c>
      <c r="AR24" s="158" t="b">
        <f t="shared" si="30"/>
        <v>0</v>
      </c>
      <c r="AS24" s="158" t="b">
        <f t="shared" si="30"/>
        <v>0</v>
      </c>
      <c r="AT24" s="158" t="b">
        <f t="shared" si="30"/>
        <v>0</v>
      </c>
      <c r="AU24" s="158" t="b">
        <f t="shared" si="30"/>
        <v>0</v>
      </c>
      <c r="AV24" s="158" t="b">
        <f t="shared" ref="AV24:AW24" si="31">AV23 &gt; 0</f>
        <v>0</v>
      </c>
      <c r="AW24" s="158" t="b">
        <f t="shared" si="31"/>
        <v>0</v>
      </c>
      <c r="AX24" s="158" t="b">
        <f t="shared" ref="AX24" si="32">AX23 &gt; 0</f>
        <v>0</v>
      </c>
    </row>
    <row r="25" spans="1:50" ht="15" customHeight="1">
      <c r="B25" s="1"/>
      <c r="C25" s="1"/>
      <c r="D25" s="1"/>
      <c r="E25" s="1"/>
      <c r="F25" s="1"/>
      <c r="G25" s="80"/>
      <c r="H25" s="1"/>
      <c r="I25" s="55"/>
      <c r="J25" s="80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  <c r="AA25" s="158"/>
      <c r="AB25" s="158"/>
      <c r="AC25" s="158"/>
      <c r="AD25" s="158"/>
      <c r="AE25" s="158"/>
      <c r="AF25" s="158"/>
      <c r="AG25" s="158"/>
      <c r="AH25" s="158"/>
      <c r="AI25" s="158"/>
      <c r="AJ25" s="158"/>
      <c r="AK25" s="158"/>
      <c r="AL25" s="158"/>
      <c r="AM25" s="158"/>
      <c r="AN25" s="158"/>
      <c r="AO25" s="158"/>
      <c r="AP25" s="158"/>
      <c r="AQ25" s="158"/>
      <c r="AR25" s="158"/>
      <c r="AS25" s="158"/>
      <c r="AT25" s="158"/>
      <c r="AU25" s="158"/>
      <c r="AV25" s="158"/>
      <c r="AW25" s="158"/>
      <c r="AX25" s="158"/>
    </row>
    <row r="26" spans="1:50" ht="15" customHeight="1">
      <c r="A26"/>
      <c r="B26" s="1"/>
      <c r="C26" s="1"/>
      <c r="D26" s="1"/>
      <c r="E26" s="1" t="s">
        <v>371</v>
      </c>
      <c r="F26" s="1"/>
      <c r="G26" s="1" t="str">
        <f>Inputs!$I$6</f>
        <v>£m 2024 prices</v>
      </c>
      <c r="H26" s="1"/>
      <c r="I26" s="55"/>
      <c r="J26" s="80"/>
      <c r="K26" s="160">
        <f>IF(K24, IF(K23=1,SUM(K13:K14),K13 / K23), 0)</f>
        <v>20.100949718517288</v>
      </c>
      <c r="L26" s="160">
        <f t="shared" ref="L26:AI26" si="33">IF(L24, IF(L23=1,SUM(L13:L14),L13 / L23), 0)</f>
        <v>20.100949718517288</v>
      </c>
      <c r="M26" s="160">
        <f t="shared" si="33"/>
        <v>20.100949718517285</v>
      </c>
      <c r="N26" s="160">
        <f t="shared" si="33"/>
        <v>20.100949718517288</v>
      </c>
      <c r="O26" s="160">
        <f t="shared" si="33"/>
        <v>20.100949718517285</v>
      </c>
      <c r="P26" s="160">
        <f t="shared" si="33"/>
        <v>20.100949718517285</v>
      </c>
      <c r="Q26" s="160">
        <f t="shared" si="33"/>
        <v>20.100949718517285</v>
      </c>
      <c r="R26" s="160">
        <f t="shared" si="33"/>
        <v>20.100949718517281</v>
      </c>
      <c r="S26" s="160">
        <f t="shared" si="33"/>
        <v>20.142500390972614</v>
      </c>
      <c r="T26" s="160">
        <f t="shared" si="33"/>
        <v>20.166164637159689</v>
      </c>
      <c r="U26" s="160">
        <f t="shared" si="33"/>
        <v>20.179175426351954</v>
      </c>
      <c r="V26" s="160">
        <f t="shared" si="33"/>
        <v>20.206489862132106</v>
      </c>
      <c r="W26" s="160">
        <f t="shared" si="33"/>
        <v>20.264800528271618</v>
      </c>
      <c r="X26" s="160">
        <f t="shared" si="33"/>
        <v>20.381068200134749</v>
      </c>
      <c r="Y26" s="160">
        <f t="shared" si="33"/>
        <v>20.407537368438668</v>
      </c>
      <c r="Z26" s="160">
        <f t="shared" si="33"/>
        <v>20.436557781890912</v>
      </c>
      <c r="AA26" s="160">
        <f t="shared" si="33"/>
        <v>20.616236399316591</v>
      </c>
      <c r="AB26" s="160">
        <f t="shared" si="33"/>
        <v>20.652511916131896</v>
      </c>
      <c r="AC26" s="160">
        <f t="shared" si="33"/>
        <v>20.694106323466624</v>
      </c>
      <c r="AD26" s="160">
        <f t="shared" si="33"/>
        <v>20.742473679220364</v>
      </c>
      <c r="AE26" s="160">
        <f t="shared" si="33"/>
        <v>20.80989033096709</v>
      </c>
      <c r="AF26" s="160">
        <f t="shared" si="33"/>
        <v>21.023796274846738</v>
      </c>
      <c r="AG26" s="160">
        <f t="shared" si="33"/>
        <v>21.370581237116909</v>
      </c>
      <c r="AH26" s="160">
        <f t="shared" si="33"/>
        <v>21.515683304378136</v>
      </c>
      <c r="AI26" s="160">
        <f t="shared" si="33"/>
        <v>22.85094114490521</v>
      </c>
      <c r="AJ26" s="160">
        <f t="shared" ref="AJ26:AU26" si="34">IF(AJ24, IF(AJ23=1,SUM(AJ13:AJ14),AJ13 / AJ23), 0)</f>
        <v>0</v>
      </c>
      <c r="AK26" s="160">
        <f t="shared" si="34"/>
        <v>0</v>
      </c>
      <c r="AL26" s="160">
        <f t="shared" si="34"/>
        <v>0</v>
      </c>
      <c r="AM26" s="160">
        <f t="shared" si="34"/>
        <v>0</v>
      </c>
      <c r="AN26" s="160">
        <f t="shared" si="34"/>
        <v>0</v>
      </c>
      <c r="AO26" s="160">
        <f t="shared" si="34"/>
        <v>0</v>
      </c>
      <c r="AP26" s="160">
        <f t="shared" si="34"/>
        <v>0</v>
      </c>
      <c r="AQ26" s="160">
        <f t="shared" si="34"/>
        <v>0</v>
      </c>
      <c r="AR26" s="160">
        <f t="shared" si="34"/>
        <v>0</v>
      </c>
      <c r="AS26" s="160">
        <f t="shared" si="34"/>
        <v>0</v>
      </c>
      <c r="AT26" s="160">
        <f t="shared" si="34"/>
        <v>0</v>
      </c>
      <c r="AU26" s="160">
        <f t="shared" si="34"/>
        <v>0</v>
      </c>
      <c r="AV26" s="160">
        <f t="shared" ref="AV26:AW26" si="35">IF(AV24, IF(AV23=1,SUM(AV13:AV14),AV13 / AV23), 0)</f>
        <v>0</v>
      </c>
      <c r="AW26" s="160">
        <f t="shared" si="35"/>
        <v>0</v>
      </c>
      <c r="AX26" s="160">
        <f t="shared" ref="AX26" si="36">IF(AX24, IF(AX23=1,SUM(AX13:AX14),AX13 / AX23), 0)</f>
        <v>0</v>
      </c>
    </row>
    <row r="27" spans="1:50" ht="15" customHeight="1">
      <c r="B27" s="1"/>
      <c r="C27" s="1"/>
      <c r="D27" s="1"/>
      <c r="E27" s="1"/>
      <c r="F27" s="1"/>
      <c r="G27" s="1"/>
      <c r="H27" s="1"/>
      <c r="I27" s="55"/>
      <c r="J27" s="80"/>
      <c r="K27" s="80"/>
      <c r="L27" s="80"/>
      <c r="M27" s="80"/>
      <c r="N27" s="80"/>
      <c r="O27" s="80"/>
      <c r="P27" s="80"/>
      <c r="Q27" s="80"/>
      <c r="R27" s="80"/>
      <c r="S27" s="1"/>
      <c r="T27" s="1"/>
      <c r="U27" s="1"/>
      <c r="V27" s="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/>
    </row>
    <row r="28" spans="1:50" ht="15" customHeight="1">
      <c r="B28" s="1"/>
      <c r="C28" s="1"/>
      <c r="D28" s="1"/>
      <c r="E28" s="1" t="s">
        <v>372</v>
      </c>
      <c r="F28" s="1"/>
      <c r="G28" s="1" t="s">
        <v>221</v>
      </c>
      <c r="H28" s="1"/>
      <c r="I28" s="102" t="str">
        <f>IF(ABS(SUM(Pre_Op_RAV!K20:AX23,Finance!K43:AX46,Finance!K48:AX48,K14:AX14)-SUM(K26:AX26)+K12)&lt;0.00000001,"TRUE","FALSE")</f>
        <v>TRUE</v>
      </c>
      <c r="J28" s="80"/>
      <c r="K28" s="1"/>
      <c r="L28" s="80"/>
      <c r="M28" s="80"/>
      <c r="N28" s="80"/>
      <c r="O28" s="80"/>
      <c r="P28" s="80"/>
      <c r="Q28" s="80"/>
      <c r="R28" s="80"/>
      <c r="S28" s="1"/>
      <c r="T28" s="81"/>
      <c r="U28" s="81"/>
      <c r="V28" s="81"/>
      <c r="W28" s="81"/>
      <c r="X28" s="81"/>
      <c r="Y28" s="81"/>
      <c r="Z28" s="81"/>
      <c r="AA28" s="16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</row>
    <row r="29" spans="1:50" ht="15" customHeight="1">
      <c r="B29" s="1"/>
      <c r="C29" s="1"/>
      <c r="D29" s="1"/>
      <c r="E29" s="1"/>
      <c r="F29" s="1"/>
      <c r="G29" s="1"/>
      <c r="H29" s="1"/>
      <c r="I29" s="1"/>
      <c r="J29" s="80"/>
      <c r="K29" s="1"/>
      <c r="L29" s="80"/>
      <c r="M29" s="80"/>
      <c r="N29" s="80"/>
      <c r="O29" s="80"/>
      <c r="P29" s="80"/>
      <c r="Q29" s="80"/>
      <c r="R29" s="80"/>
      <c r="S29" s="1"/>
      <c r="T29" s="81"/>
      <c r="U29" s="81"/>
      <c r="V29" s="81"/>
      <c r="W29" s="81"/>
      <c r="X29" s="81"/>
      <c r="Y29" s="81"/>
      <c r="Z29" s="81"/>
      <c r="AA29" s="16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</row>
    <row r="30" spans="1:50" ht="15" customHeight="1">
      <c r="B30" s="12" t="s">
        <v>373</v>
      </c>
      <c r="C30" s="50"/>
      <c r="D30" s="50"/>
      <c r="E30" s="50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</row>
    <row r="31" spans="1:50" ht="15" customHeight="1">
      <c r="B31" s="93"/>
      <c r="E31" s="150"/>
      <c r="H31" s="162"/>
      <c r="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</row>
    <row r="32" spans="1:50" ht="15" customHeight="1">
      <c r="B32" s="1"/>
      <c r="C32" s="1"/>
      <c r="D32" s="1"/>
      <c r="E32" s="77" t="s">
        <v>136</v>
      </c>
      <c r="F32" s="1"/>
      <c r="G32" s="77" t="str">
        <f>Inputs!G44</f>
        <v>real annual %</v>
      </c>
      <c r="I32" s="141">
        <f>Inputs!I44</f>
        <v>7.3099999999999998E-2</v>
      </c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</row>
    <row r="33" spans="1:50" ht="15" customHeight="1">
      <c r="B33" s="1"/>
      <c r="C33" s="1"/>
      <c r="D33" s="1"/>
      <c r="E33" s="77" t="s">
        <v>138</v>
      </c>
      <c r="F33" s="1"/>
      <c r="G33" s="77" t="str">
        <f>Inputs!G45</f>
        <v>real annual %</v>
      </c>
      <c r="I33" s="141">
        <f>Inputs!I45</f>
        <v>4.4699999999999997E-2</v>
      </c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  <c r="AA33" s="140"/>
      <c r="AB33" s="140"/>
      <c r="AC33" s="140"/>
      <c r="AD33" s="140"/>
      <c r="AE33" s="140"/>
      <c r="AF33" s="140"/>
      <c r="AG33" s="140"/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</row>
    <row r="34" spans="1:50" ht="15" customHeight="1">
      <c r="B34" s="1"/>
      <c r="C34" s="1"/>
      <c r="D34" s="1"/>
      <c r="E34" s="1"/>
      <c r="F34" s="1"/>
      <c r="G34" s="1"/>
      <c r="H34" s="1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1"/>
      <c r="T34" s="1"/>
      <c r="U34" s="1"/>
      <c r="V34" s="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</row>
    <row r="35" spans="1:50" ht="15" customHeight="1">
      <c r="A35"/>
      <c r="B35" s="93"/>
      <c r="E35" s="150" t="s">
        <v>363</v>
      </c>
      <c r="G35" s="1" t="str">
        <f>Inputs!$I$6</f>
        <v>£m 2024 prices</v>
      </c>
      <c r="H35" s="162"/>
      <c r="I35" s="11"/>
      <c r="K35" s="1">
        <f t="shared" ref="K35:AI35" si="37">K13</f>
        <v>502.5237429629322</v>
      </c>
      <c r="L35" s="1">
        <f t="shared" si="37"/>
        <v>482.42279324441489</v>
      </c>
      <c r="M35" s="1">
        <f t="shared" si="37"/>
        <v>462.32184352589758</v>
      </c>
      <c r="N35" s="1">
        <f t="shared" si="37"/>
        <v>442.22089380738032</v>
      </c>
      <c r="O35" s="1">
        <f t="shared" si="37"/>
        <v>422.11994408886301</v>
      </c>
      <c r="P35" s="1">
        <f t="shared" si="37"/>
        <v>402.01899437034569</v>
      </c>
      <c r="Q35" s="1">
        <f t="shared" si="37"/>
        <v>381.91804465182838</v>
      </c>
      <c r="R35" s="1">
        <f t="shared" si="37"/>
        <v>361.81709493331107</v>
      </c>
      <c r="S35" s="1">
        <f t="shared" si="37"/>
        <v>342.42250664653443</v>
      </c>
      <c r="T35" s="1">
        <f t="shared" si="37"/>
        <v>322.65863419455502</v>
      </c>
      <c r="U35" s="1">
        <f t="shared" si="37"/>
        <v>302.68763139527931</v>
      </c>
      <c r="V35" s="1">
        <f t="shared" si="37"/>
        <v>282.89085806984946</v>
      </c>
      <c r="W35" s="1">
        <f t="shared" si="37"/>
        <v>263.44240686753102</v>
      </c>
      <c r="X35" s="1">
        <f t="shared" si="37"/>
        <v>244.57281840161698</v>
      </c>
      <c r="Y35" s="1">
        <f t="shared" si="37"/>
        <v>224.48291105282533</v>
      </c>
      <c r="Z35" s="1">
        <f t="shared" si="37"/>
        <v>204.36557781890912</v>
      </c>
      <c r="AA35" s="1">
        <f t="shared" si="37"/>
        <v>185.54612759384932</v>
      </c>
      <c r="AB35" s="1">
        <f t="shared" si="37"/>
        <v>165.22009532905517</v>
      </c>
      <c r="AC35" s="1">
        <f t="shared" si="37"/>
        <v>144.85874426426636</v>
      </c>
      <c r="AD35" s="1">
        <f t="shared" si="37"/>
        <v>124.45484207532218</v>
      </c>
      <c r="AE35" s="1">
        <f t="shared" si="37"/>
        <v>104.04945165483545</v>
      </c>
      <c r="AF35" s="1">
        <f t="shared" si="37"/>
        <v>84.095185099386953</v>
      </c>
      <c r="AG35" s="1">
        <f t="shared" si="37"/>
        <v>64.111743711350726</v>
      </c>
      <c r="AH35" s="1">
        <f t="shared" si="37"/>
        <v>43.031366608756272</v>
      </c>
      <c r="AI35" s="1">
        <f t="shared" si="37"/>
        <v>21.840329244443502</v>
      </c>
      <c r="AJ35" s="1">
        <f t="shared" ref="AJ35:AU35" si="38">AJ13</f>
        <v>0</v>
      </c>
      <c r="AK35" s="1">
        <f t="shared" si="38"/>
        <v>0</v>
      </c>
      <c r="AL35" s="1">
        <f t="shared" si="38"/>
        <v>0</v>
      </c>
      <c r="AM35" s="1">
        <f t="shared" si="38"/>
        <v>0</v>
      </c>
      <c r="AN35" s="1">
        <f t="shared" si="38"/>
        <v>0</v>
      </c>
      <c r="AO35" s="1">
        <f t="shared" si="38"/>
        <v>0</v>
      </c>
      <c r="AP35" s="1">
        <f t="shared" si="38"/>
        <v>0</v>
      </c>
      <c r="AQ35" s="1">
        <f t="shared" si="38"/>
        <v>0</v>
      </c>
      <c r="AR35" s="1">
        <f t="shared" si="38"/>
        <v>0</v>
      </c>
      <c r="AS35" s="1">
        <f t="shared" si="38"/>
        <v>0</v>
      </c>
      <c r="AT35" s="1">
        <f t="shared" si="38"/>
        <v>0</v>
      </c>
      <c r="AU35" s="1">
        <f t="shared" si="38"/>
        <v>0</v>
      </c>
      <c r="AV35" s="1">
        <f t="shared" ref="AV35:AW35" si="39">AV13</f>
        <v>0</v>
      </c>
      <c r="AW35" s="1">
        <f t="shared" si="39"/>
        <v>0</v>
      </c>
      <c r="AX35" s="1">
        <f t="shared" ref="AX35" si="40">AX13</f>
        <v>0</v>
      </c>
    </row>
    <row r="36" spans="1:50" ht="15" customHeight="1">
      <c r="A36"/>
      <c r="B36" s="93"/>
      <c r="E36" s="150" t="s">
        <v>365</v>
      </c>
      <c r="G36" s="1" t="str">
        <f>Inputs!$I$6</f>
        <v>£m 2024 prices</v>
      </c>
      <c r="H36" s="162"/>
      <c r="I36" s="11"/>
      <c r="K36" s="1">
        <f t="shared" ref="K36:AI36" si="41">K16</f>
        <v>482.42279324441489</v>
      </c>
      <c r="L36" s="1">
        <f t="shared" si="41"/>
        <v>462.32184352589758</v>
      </c>
      <c r="M36" s="1">
        <f t="shared" si="41"/>
        <v>442.22089380738032</v>
      </c>
      <c r="N36" s="1">
        <f t="shared" si="41"/>
        <v>422.11994408886301</v>
      </c>
      <c r="O36" s="1">
        <f t="shared" si="41"/>
        <v>402.01899437034569</v>
      </c>
      <c r="P36" s="1">
        <f t="shared" si="41"/>
        <v>381.91804465182838</v>
      </c>
      <c r="Q36" s="1">
        <f t="shared" si="41"/>
        <v>361.81709493331107</v>
      </c>
      <c r="R36" s="1">
        <f t="shared" si="41"/>
        <v>342.42250664653443</v>
      </c>
      <c r="S36" s="1">
        <f t="shared" si="41"/>
        <v>322.65863419455502</v>
      </c>
      <c r="T36" s="1">
        <f t="shared" si="41"/>
        <v>302.68763139527931</v>
      </c>
      <c r="U36" s="1">
        <f t="shared" si="41"/>
        <v>282.89085806984946</v>
      </c>
      <c r="V36" s="1">
        <f t="shared" si="41"/>
        <v>263.44240686753102</v>
      </c>
      <c r="W36" s="1">
        <f t="shared" si="41"/>
        <v>244.57281840161698</v>
      </c>
      <c r="X36" s="1">
        <f t="shared" si="41"/>
        <v>224.48291105282533</v>
      </c>
      <c r="Y36" s="1">
        <f t="shared" si="41"/>
        <v>204.36557781890912</v>
      </c>
      <c r="Z36" s="1">
        <f t="shared" si="41"/>
        <v>185.54612759384932</v>
      </c>
      <c r="AA36" s="1">
        <f t="shared" si="41"/>
        <v>165.22009532905517</v>
      </c>
      <c r="AB36" s="1">
        <f t="shared" si="41"/>
        <v>144.85874426426636</v>
      </c>
      <c r="AC36" s="1">
        <f t="shared" si="41"/>
        <v>124.45484207532218</v>
      </c>
      <c r="AD36" s="1">
        <f t="shared" si="41"/>
        <v>104.04945165483545</v>
      </c>
      <c r="AE36" s="1">
        <f t="shared" si="41"/>
        <v>84.095185099386953</v>
      </c>
      <c r="AF36" s="1">
        <f t="shared" si="41"/>
        <v>64.111743711350726</v>
      </c>
      <c r="AG36" s="1">
        <f t="shared" si="41"/>
        <v>43.031366608756272</v>
      </c>
      <c r="AH36" s="1">
        <f t="shared" si="41"/>
        <v>21.840329244443502</v>
      </c>
      <c r="AI36" s="1">
        <f t="shared" si="41"/>
        <v>0</v>
      </c>
      <c r="AJ36" s="1">
        <f t="shared" ref="AJ36:AU36" si="42">AJ16</f>
        <v>0</v>
      </c>
      <c r="AK36" s="1">
        <f t="shared" si="42"/>
        <v>0</v>
      </c>
      <c r="AL36" s="1">
        <f t="shared" si="42"/>
        <v>0</v>
      </c>
      <c r="AM36" s="1">
        <f t="shared" si="42"/>
        <v>0</v>
      </c>
      <c r="AN36" s="1">
        <f t="shared" si="42"/>
        <v>0</v>
      </c>
      <c r="AO36" s="1">
        <f t="shared" si="42"/>
        <v>0</v>
      </c>
      <c r="AP36" s="1">
        <f t="shared" si="42"/>
        <v>0</v>
      </c>
      <c r="AQ36" s="1">
        <f t="shared" si="42"/>
        <v>0</v>
      </c>
      <c r="AR36" s="1">
        <f t="shared" si="42"/>
        <v>0</v>
      </c>
      <c r="AS36" s="1">
        <f t="shared" si="42"/>
        <v>0</v>
      </c>
      <c r="AT36" s="1">
        <f t="shared" si="42"/>
        <v>0</v>
      </c>
      <c r="AU36" s="1">
        <f t="shared" si="42"/>
        <v>0</v>
      </c>
      <c r="AV36" s="1">
        <f t="shared" ref="AV36:AW36" si="43">AV16</f>
        <v>0</v>
      </c>
      <c r="AW36" s="1">
        <f t="shared" si="43"/>
        <v>0</v>
      </c>
      <c r="AX36" s="1">
        <f t="shared" ref="AX36" si="44">AX16</f>
        <v>0</v>
      </c>
    </row>
    <row r="37" spans="1:50" ht="15" customHeight="1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</row>
    <row r="38" spans="1:50" ht="15" customHeight="1">
      <c r="B38" s="1"/>
      <c r="C38" s="1"/>
      <c r="D38" s="1"/>
      <c r="E38" s="150" t="s">
        <v>374</v>
      </c>
      <c r="G38" s="1" t="str">
        <f>Inputs!$I$6</f>
        <v>£m 2024 prices</v>
      </c>
      <c r="H38" s="162"/>
      <c r="I38" s="77"/>
      <c r="K38" s="1">
        <f>AVERAGE(K$35,K$36/(1+$I32))</f>
        <v>476.0418515599373</v>
      </c>
      <c r="L38" s="1">
        <f t="shared" ref="L38:AX39" si="45">AVERAGE(L$35,L$36/(1+$I32))</f>
        <v>456.625544197409</v>
      </c>
      <c r="M38" s="1">
        <f t="shared" si="45"/>
        <v>437.2092368348807</v>
      </c>
      <c r="N38" s="1">
        <f t="shared" si="45"/>
        <v>417.79292947235245</v>
      </c>
      <c r="O38" s="1">
        <f t="shared" si="45"/>
        <v>398.37662210982415</v>
      </c>
      <c r="P38" s="1">
        <f t="shared" si="45"/>
        <v>378.96031474729585</v>
      </c>
      <c r="Q38" s="1">
        <f t="shared" si="45"/>
        <v>359.54400738476755</v>
      </c>
      <c r="R38" s="1">
        <f t="shared" si="45"/>
        <v>340.45682192688037</v>
      </c>
      <c r="S38" s="1">
        <f t="shared" si="45"/>
        <v>321.55075299457235</v>
      </c>
      <c r="T38" s="1">
        <f t="shared" si="45"/>
        <v>302.36353170695008</v>
      </c>
      <c r="U38" s="1">
        <f t="shared" si="45"/>
        <v>283.1539256919782</v>
      </c>
      <c r="V38" s="1">
        <f t="shared" si="45"/>
        <v>264.19373155450864</v>
      </c>
      <c r="W38" s="1">
        <f t="shared" si="45"/>
        <v>245.67741366655696</v>
      </c>
      <c r="X38" s="1">
        <f t="shared" si="45"/>
        <v>226.88193200987817</v>
      </c>
      <c r="Y38" s="1">
        <f t="shared" si="45"/>
        <v>207.46351210031497</v>
      </c>
      <c r="Z38" s="1">
        <f t="shared" si="45"/>
        <v>188.63611459850932</v>
      </c>
      <c r="AA38" s="1">
        <f t="shared" si="45"/>
        <v>169.75568206598399</v>
      </c>
      <c r="AB38" s="1">
        <f t="shared" si="45"/>
        <v>150.10550207896537</v>
      </c>
      <c r="AC38" s="1">
        <f t="shared" si="45"/>
        <v>130.41783642964609</v>
      </c>
      <c r="AD38" s="1">
        <f t="shared" si="45"/>
        <v>110.70820179194095</v>
      </c>
      <c r="AE38" s="1">
        <f t="shared" si="45"/>
        <v>91.20801960217635</v>
      </c>
      <c r="AF38" s="1">
        <f t="shared" si="45"/>
        <v>71.919805629253034</v>
      </c>
      <c r="AG38" s="1">
        <f t="shared" si="45"/>
        <v>52.105898231947975</v>
      </c>
      <c r="AH38" s="1">
        <f t="shared" si="45"/>
        <v>31.691961957086878</v>
      </c>
      <c r="AI38" s="1">
        <f t="shared" si="45"/>
        <v>10.920164622221751</v>
      </c>
      <c r="AJ38" s="1">
        <f t="shared" si="45"/>
        <v>0</v>
      </c>
      <c r="AK38" s="1">
        <f t="shared" si="45"/>
        <v>0</v>
      </c>
      <c r="AL38" s="1">
        <f t="shared" si="45"/>
        <v>0</v>
      </c>
      <c r="AM38" s="1">
        <f t="shared" si="45"/>
        <v>0</v>
      </c>
      <c r="AN38" s="1">
        <f t="shared" si="45"/>
        <v>0</v>
      </c>
      <c r="AO38" s="1">
        <f t="shared" si="45"/>
        <v>0</v>
      </c>
      <c r="AP38" s="1">
        <f t="shared" si="45"/>
        <v>0</v>
      </c>
      <c r="AQ38" s="1">
        <f t="shared" si="45"/>
        <v>0</v>
      </c>
      <c r="AR38" s="1">
        <f t="shared" si="45"/>
        <v>0</v>
      </c>
      <c r="AS38" s="1">
        <f t="shared" si="45"/>
        <v>0</v>
      </c>
      <c r="AT38" s="1">
        <f t="shared" si="45"/>
        <v>0</v>
      </c>
      <c r="AU38" s="1">
        <f t="shared" si="45"/>
        <v>0</v>
      </c>
      <c r="AV38" s="1">
        <f t="shared" si="45"/>
        <v>0</v>
      </c>
      <c r="AW38" s="1">
        <f t="shared" si="45"/>
        <v>0</v>
      </c>
      <c r="AX38" s="1">
        <f t="shared" si="45"/>
        <v>0</v>
      </c>
    </row>
    <row r="39" spans="1:50" ht="15" customHeight="1">
      <c r="B39" s="1"/>
      <c r="C39" s="1"/>
      <c r="D39" s="1"/>
      <c r="E39" s="150" t="s">
        <v>375</v>
      </c>
      <c r="G39" s="1" t="str">
        <f>Inputs!$I$6</f>
        <v>£m 2024 prices</v>
      </c>
      <c r="H39" s="162"/>
      <c r="I39" s="77"/>
      <c r="K39" s="1">
        <f>AVERAGE(K$35,K$36/(1+$I33))</f>
        <v>482.15245884837282</v>
      </c>
      <c r="L39" s="1">
        <f t="shared" si="45"/>
        <v>462.48154284882639</v>
      </c>
      <c r="M39" s="1">
        <f t="shared" si="45"/>
        <v>442.81062684927997</v>
      </c>
      <c r="N39" s="1">
        <f t="shared" si="45"/>
        <v>423.13971084973355</v>
      </c>
      <c r="O39" s="1">
        <f t="shared" si="45"/>
        <v>403.46879485018712</v>
      </c>
      <c r="P39" s="1">
        <f t="shared" si="45"/>
        <v>383.79787885064064</v>
      </c>
      <c r="Q39" s="1">
        <f t="shared" si="45"/>
        <v>364.12696285109416</v>
      </c>
      <c r="R39" s="1">
        <f t="shared" si="45"/>
        <v>344.79411588176725</v>
      </c>
      <c r="S39" s="1">
        <f t="shared" si="45"/>
        <v>325.63770790092349</v>
      </c>
      <c r="T39" s="1">
        <f t="shared" si="45"/>
        <v>306.19752394866032</v>
      </c>
      <c r="U39" s="1">
        <f t="shared" si="45"/>
        <v>286.73716214630883</v>
      </c>
      <c r="V39" s="1">
        <f t="shared" si="45"/>
        <v>267.53062424289402</v>
      </c>
      <c r="W39" s="1">
        <f t="shared" si="45"/>
        <v>248.77529475262116</v>
      </c>
      <c r="X39" s="1">
        <f t="shared" si="45"/>
        <v>229.72534432707695</v>
      </c>
      <c r="Y39" s="1">
        <f t="shared" si="45"/>
        <v>210.05210825873252</v>
      </c>
      <c r="Z39" s="1">
        <f t="shared" si="45"/>
        <v>190.98633423052729</v>
      </c>
      <c r="AA39" s="1">
        <f t="shared" si="45"/>
        <v>171.84844205338834</v>
      </c>
      <c r="AB39" s="1">
        <f t="shared" si="45"/>
        <v>151.94035505625072</v>
      </c>
      <c r="AC39" s="1">
        <f t="shared" si="45"/>
        <v>131.99424342308856</v>
      </c>
      <c r="AD39" s="1">
        <f t="shared" si="45"/>
        <v>112.02614395085888</v>
      </c>
      <c r="AE39" s="1">
        <f t="shared" si="45"/>
        <v>92.273211086050324</v>
      </c>
      <c r="AF39" s="1">
        <f t="shared" si="45"/>
        <v>72.731876895127925</v>
      </c>
      <c r="AG39" s="1">
        <f t="shared" si="45"/>
        <v>52.65095494591958</v>
      </c>
      <c r="AH39" s="1">
        <f t="shared" si="45"/>
        <v>31.968602441184636</v>
      </c>
      <c r="AI39" s="1">
        <f t="shared" si="45"/>
        <v>10.920164622221751</v>
      </c>
      <c r="AJ39" s="1">
        <f t="shared" si="45"/>
        <v>0</v>
      </c>
      <c r="AK39" s="1">
        <f t="shared" si="45"/>
        <v>0</v>
      </c>
      <c r="AL39" s="1">
        <f t="shared" si="45"/>
        <v>0</v>
      </c>
      <c r="AM39" s="1">
        <f t="shared" si="45"/>
        <v>0</v>
      </c>
      <c r="AN39" s="1">
        <f t="shared" si="45"/>
        <v>0</v>
      </c>
      <c r="AO39" s="1">
        <f t="shared" si="45"/>
        <v>0</v>
      </c>
      <c r="AP39" s="1">
        <f t="shared" si="45"/>
        <v>0</v>
      </c>
      <c r="AQ39" s="1">
        <f t="shared" si="45"/>
        <v>0</v>
      </c>
      <c r="AR39" s="1">
        <f t="shared" si="45"/>
        <v>0</v>
      </c>
      <c r="AS39" s="1">
        <f t="shared" si="45"/>
        <v>0</v>
      </c>
      <c r="AT39" s="1">
        <f t="shared" si="45"/>
        <v>0</v>
      </c>
      <c r="AU39" s="1">
        <f t="shared" si="45"/>
        <v>0</v>
      </c>
      <c r="AV39" s="1">
        <f t="shared" si="45"/>
        <v>0</v>
      </c>
      <c r="AW39" s="1">
        <f t="shared" si="45"/>
        <v>0</v>
      </c>
      <c r="AX39" s="1">
        <f t="shared" si="45"/>
        <v>0</v>
      </c>
    </row>
    <row r="40" spans="1:50" ht="15" customHeight="1">
      <c r="B40" s="1"/>
      <c r="C40" s="1"/>
      <c r="D40" s="1"/>
      <c r="E40" s="150"/>
      <c r="H40" s="162"/>
      <c r="I40" s="77"/>
      <c r="M40" s="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</row>
    <row r="41" spans="1:50" ht="15" customHeight="1">
      <c r="B41" s="1"/>
      <c r="C41" s="1"/>
      <c r="D41" s="1"/>
      <c r="E41" s="77" t="s">
        <v>376</v>
      </c>
      <c r="F41" s="1"/>
      <c r="G41" s="1" t="str">
        <f>Inputs!$I$6</f>
        <v>£m 2024 prices</v>
      </c>
      <c r="H41" s="1"/>
      <c r="I41" s="80"/>
      <c r="J41" s="80"/>
      <c r="K41" s="17">
        <f t="shared" ref="K41:L41" si="46">K38 * $I32</f>
        <v>34.798659349031418</v>
      </c>
      <c r="L41" s="17">
        <f t="shared" si="46"/>
        <v>33.379327280830594</v>
      </c>
      <c r="M41" s="17">
        <f t="shared" ref="M41:AI41" si="47">M38 * $I32</f>
        <v>31.959995212629778</v>
      </c>
      <c r="N41" s="17">
        <f t="shared" si="47"/>
        <v>30.540663144428965</v>
      </c>
      <c r="O41" s="17">
        <f t="shared" si="47"/>
        <v>29.121331076228145</v>
      </c>
      <c r="P41" s="17">
        <f t="shared" si="47"/>
        <v>27.701999008027325</v>
      </c>
      <c r="Q41" s="17">
        <f t="shared" si="47"/>
        <v>26.282666939826509</v>
      </c>
      <c r="R41" s="17">
        <f t="shared" si="47"/>
        <v>24.887393682854952</v>
      </c>
      <c r="S41" s="17">
        <f t="shared" si="47"/>
        <v>23.505360043903238</v>
      </c>
      <c r="T41" s="17">
        <f t="shared" si="47"/>
        <v>22.102774167778051</v>
      </c>
      <c r="U41" s="17">
        <f t="shared" si="47"/>
        <v>20.698551968083606</v>
      </c>
      <c r="V41" s="17">
        <f t="shared" si="47"/>
        <v>19.312561776634581</v>
      </c>
      <c r="W41" s="17">
        <f t="shared" si="47"/>
        <v>17.959018939025313</v>
      </c>
      <c r="X41" s="17">
        <f t="shared" si="47"/>
        <v>16.585069229922095</v>
      </c>
      <c r="Y41" s="17">
        <f t="shared" si="47"/>
        <v>15.165582734533023</v>
      </c>
      <c r="Z41" s="17">
        <f t="shared" si="47"/>
        <v>13.789299977151032</v>
      </c>
      <c r="AA41" s="17">
        <f t="shared" si="47"/>
        <v>12.409140359023429</v>
      </c>
      <c r="AB41" s="17">
        <f t="shared" si="47"/>
        <v>10.972712201972369</v>
      </c>
      <c r="AC41" s="17">
        <f t="shared" si="47"/>
        <v>9.5335438430071289</v>
      </c>
      <c r="AD41" s="17">
        <f t="shared" si="47"/>
        <v>8.0927695509908837</v>
      </c>
      <c r="AE41" s="17">
        <f t="shared" si="47"/>
        <v>6.6673062329190911</v>
      </c>
      <c r="AF41" s="17">
        <f t="shared" si="47"/>
        <v>5.2573377914983963</v>
      </c>
      <c r="AG41" s="17">
        <f t="shared" si="47"/>
        <v>3.8089411607553969</v>
      </c>
      <c r="AH41" s="17">
        <f t="shared" si="47"/>
        <v>2.3166824190630506</v>
      </c>
      <c r="AI41" s="17">
        <f t="shared" si="47"/>
        <v>0.79826403388441003</v>
      </c>
      <c r="AJ41" s="17">
        <f t="shared" ref="AJ41:AU41" si="48">AJ38 * $I32</f>
        <v>0</v>
      </c>
      <c r="AK41" s="17">
        <f t="shared" si="48"/>
        <v>0</v>
      </c>
      <c r="AL41" s="17">
        <f t="shared" si="48"/>
        <v>0</v>
      </c>
      <c r="AM41" s="17">
        <f t="shared" si="48"/>
        <v>0</v>
      </c>
      <c r="AN41" s="17">
        <f t="shared" si="48"/>
        <v>0</v>
      </c>
      <c r="AO41" s="17">
        <f t="shared" si="48"/>
        <v>0</v>
      </c>
      <c r="AP41" s="17">
        <f t="shared" si="48"/>
        <v>0</v>
      </c>
      <c r="AQ41" s="17">
        <f t="shared" si="48"/>
        <v>0</v>
      </c>
      <c r="AR41" s="17">
        <f t="shared" si="48"/>
        <v>0</v>
      </c>
      <c r="AS41" s="17">
        <f t="shared" si="48"/>
        <v>0</v>
      </c>
      <c r="AT41" s="17">
        <f t="shared" si="48"/>
        <v>0</v>
      </c>
      <c r="AU41" s="17">
        <f t="shared" si="48"/>
        <v>0</v>
      </c>
      <c r="AV41" s="17">
        <f t="shared" ref="AV41:AW41" si="49">AV38 * $I32</f>
        <v>0</v>
      </c>
      <c r="AW41" s="17">
        <f t="shared" si="49"/>
        <v>0</v>
      </c>
      <c r="AX41" s="17">
        <f t="shared" ref="AX41" si="50">AX38 * $I32</f>
        <v>0</v>
      </c>
    </row>
    <row r="42" spans="1:50" ht="15" customHeight="1">
      <c r="A42"/>
      <c r="B42" s="1"/>
      <c r="C42" s="1"/>
      <c r="D42" s="1"/>
      <c r="E42" s="77" t="s">
        <v>377</v>
      </c>
      <c r="F42" s="1"/>
      <c r="G42" s="1" t="str">
        <f>Inputs!$I$6</f>
        <v>£m 2024 prices</v>
      </c>
      <c r="H42" s="1"/>
      <c r="I42" s="80"/>
      <c r="J42" s="80"/>
      <c r="K42" s="17">
        <f t="shared" ref="K42:AI42" si="51">K39 * $I33</f>
        <v>21.552214910522263</v>
      </c>
      <c r="L42" s="17">
        <f t="shared" si="51"/>
        <v>20.672924965342538</v>
      </c>
      <c r="M42" s="17">
        <f t="shared" si="51"/>
        <v>19.793635020162814</v>
      </c>
      <c r="N42" s="17">
        <f t="shared" si="51"/>
        <v>18.914345074983089</v>
      </c>
      <c r="O42" s="17">
        <f t="shared" si="51"/>
        <v>18.035055129803364</v>
      </c>
      <c r="P42" s="17">
        <f t="shared" si="51"/>
        <v>17.155765184623636</v>
      </c>
      <c r="Q42" s="17">
        <f t="shared" si="51"/>
        <v>16.276475239443908</v>
      </c>
      <c r="R42" s="17">
        <f t="shared" si="51"/>
        <v>15.412296979914995</v>
      </c>
      <c r="S42" s="17">
        <f t="shared" si="51"/>
        <v>14.556005543171279</v>
      </c>
      <c r="T42" s="17">
        <f t="shared" si="51"/>
        <v>13.687029320505115</v>
      </c>
      <c r="U42" s="17">
        <f t="shared" si="51"/>
        <v>12.817151147940004</v>
      </c>
      <c r="V42" s="17">
        <f t="shared" si="51"/>
        <v>11.958618903657362</v>
      </c>
      <c r="W42" s="17">
        <f t="shared" si="51"/>
        <v>11.120255675442165</v>
      </c>
      <c r="X42" s="17">
        <f t="shared" si="51"/>
        <v>10.268722891420339</v>
      </c>
      <c r="Y42" s="17">
        <f t="shared" si="51"/>
        <v>9.3893292391653436</v>
      </c>
      <c r="Z42" s="17">
        <f t="shared" si="51"/>
        <v>8.5370891401045697</v>
      </c>
      <c r="AA42" s="17">
        <f t="shared" si="51"/>
        <v>7.6816253597864579</v>
      </c>
      <c r="AB42" s="17">
        <f t="shared" si="51"/>
        <v>6.7917338710144071</v>
      </c>
      <c r="AC42" s="17">
        <f t="shared" si="51"/>
        <v>5.9001426810120581</v>
      </c>
      <c r="AD42" s="17">
        <f t="shared" si="51"/>
        <v>5.0075686346033912</v>
      </c>
      <c r="AE42" s="17">
        <f t="shared" si="51"/>
        <v>4.1246125355464489</v>
      </c>
      <c r="AF42" s="17">
        <f t="shared" si="51"/>
        <v>3.2511148972122181</v>
      </c>
      <c r="AG42" s="17">
        <f t="shared" si="51"/>
        <v>2.3534976860826049</v>
      </c>
      <c r="AH42" s="17">
        <f t="shared" si="51"/>
        <v>1.4289965291209532</v>
      </c>
      <c r="AI42" s="17">
        <f t="shared" si="51"/>
        <v>0.48813135861331225</v>
      </c>
      <c r="AJ42" s="17">
        <f t="shared" ref="AJ42:AU42" si="52">AJ39 * $I33</f>
        <v>0</v>
      </c>
      <c r="AK42" s="17">
        <f t="shared" si="52"/>
        <v>0</v>
      </c>
      <c r="AL42" s="17">
        <f t="shared" si="52"/>
        <v>0</v>
      </c>
      <c r="AM42" s="17">
        <f t="shared" si="52"/>
        <v>0</v>
      </c>
      <c r="AN42" s="17">
        <f t="shared" si="52"/>
        <v>0</v>
      </c>
      <c r="AO42" s="17">
        <f t="shared" si="52"/>
        <v>0</v>
      </c>
      <c r="AP42" s="17">
        <f t="shared" si="52"/>
        <v>0</v>
      </c>
      <c r="AQ42" s="17">
        <f t="shared" si="52"/>
        <v>0</v>
      </c>
      <c r="AR42" s="17">
        <f t="shared" si="52"/>
        <v>0</v>
      </c>
      <c r="AS42" s="17">
        <f t="shared" si="52"/>
        <v>0</v>
      </c>
      <c r="AT42" s="17">
        <f t="shared" si="52"/>
        <v>0</v>
      </c>
      <c r="AU42" s="17">
        <f t="shared" si="52"/>
        <v>0</v>
      </c>
      <c r="AV42" s="17">
        <f t="shared" ref="AV42:AW42" si="53">AV39 * $I33</f>
        <v>0</v>
      </c>
      <c r="AW42" s="17">
        <f t="shared" si="53"/>
        <v>0</v>
      </c>
      <c r="AX42" s="17">
        <f t="shared" ref="AX42" si="54">AX39 * $I33</f>
        <v>0</v>
      </c>
    </row>
    <row r="43" spans="1:50" ht="15" customHeight="1">
      <c r="B43" s="1"/>
      <c r="C43" s="1"/>
      <c r="D43" s="1"/>
      <c r="E43" s="1"/>
      <c r="F43" s="1"/>
      <c r="G43" s="1"/>
      <c r="H43" s="1"/>
      <c r="I43" s="55"/>
      <c r="J43" s="80"/>
      <c r="K43" s="80"/>
      <c r="L43" s="80"/>
      <c r="M43" s="80"/>
      <c r="N43" s="80"/>
      <c r="O43" s="80"/>
      <c r="P43" s="80"/>
      <c r="Q43" s="80"/>
      <c r="R43" s="80"/>
      <c r="S43" s="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</row>
    <row r="44" spans="1:50" ht="15" customHeight="1">
      <c r="B44" s="12" t="s">
        <v>49</v>
      </c>
      <c r="C44" s="50"/>
      <c r="D44" s="50"/>
      <c r="E44" s="50"/>
      <c r="F44" s="51"/>
      <c r="G44" s="51"/>
      <c r="H44" s="51"/>
      <c r="I44" s="133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</row>
    <row r="45" spans="1:50" ht="15" customHeight="1"/>
    <row r="46" spans="1:50" ht="15" hidden="1" customHeight="1"/>
    <row r="47" spans="1:50" ht="15" hidden="1" customHeight="1"/>
    <row r="48" spans="1:50" ht="15" hidden="1" customHeight="1"/>
    <row r="49" ht="15" hidden="1" customHeight="1"/>
    <row r="50" ht="15" hidden="1" customHeight="1"/>
    <row r="51" ht="15" hidden="1" customHeight="1"/>
    <row r="52" ht="15" hidden="1" customHeight="1"/>
    <row r="53" ht="15" hidden="1" customHeight="1"/>
    <row r="54" ht="15" hidden="1" customHeight="1"/>
    <row r="55" ht="15" hidden="1" customHeight="1"/>
    <row r="56" ht="15" hidden="1" customHeight="1"/>
    <row r="57" ht="15" hidden="1" customHeight="1"/>
    <row r="58" ht="15" hidden="1" customHeight="1"/>
    <row r="59" ht="15" hidden="1" customHeight="1"/>
    <row r="60" ht="15" hidden="1" customHeight="1"/>
  </sheetData>
  <phoneticPr fontId="65" type="noConversion"/>
  <conditionalFormatting sqref="K24:AX24">
    <cfRule type="cellIs" dxfId="10" priority="3" stopIfTrue="1" operator="equal">
      <formula>FALSE()</formula>
    </cfRule>
  </conditionalFormatting>
  <conditionalFormatting sqref="S22:AX22">
    <cfRule type="cellIs" dxfId="9" priority="2" stopIfTrue="1" operator="equal">
      <formula>FALSE()</formula>
    </cfRule>
  </conditionalFormatting>
  <pageMargins left="0.23622047244094502" right="0.23622047244094502" top="0.74803149606299213" bottom="0.74803149606299213" header="0.31496062992126012" footer="0.31496062992126012"/>
  <pageSetup paperSize="0" fitToHeight="0" orientation="landscape" horizontalDpi="0" verticalDpi="0" copie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CC0DA"/>
    <pageSetUpPr fitToPage="1"/>
  </sheetPr>
  <dimension ref="A1:AX67"/>
  <sheetViews>
    <sheetView zoomScaleNormal="100" workbookViewId="0">
      <selection activeCell="K17" sqref="K17"/>
    </sheetView>
  </sheetViews>
  <sheetFormatPr defaultColWidth="9.140625" defaultRowHeight="0" customHeight="1" zeroHeight="1"/>
  <cols>
    <col min="1" max="3" width="2.5703125" style="93" customWidth="1"/>
    <col min="4" max="4" width="2.5703125" style="11" customWidth="1"/>
    <col min="5" max="5" width="61" style="11" customWidth="1"/>
    <col min="6" max="6" width="1.5703125" style="11" customWidth="1"/>
    <col min="7" max="7" width="15.5703125" style="11" customWidth="1"/>
    <col min="8" max="8" width="10.7109375" style="11" bestFit="1" customWidth="1"/>
    <col min="9" max="9" width="10.5703125" style="11" customWidth="1"/>
    <col min="10" max="10" width="1.5703125" style="11" customWidth="1"/>
    <col min="11" max="35" width="10.5703125" style="11" customWidth="1"/>
    <col min="36" max="49" width="10.5703125" customWidth="1"/>
    <col min="50" max="50" width="9.140625" customWidth="1"/>
  </cols>
  <sheetData>
    <row r="1" spans="1:50" ht="15" customHeight="1">
      <c r="A1" s="45" t="s">
        <v>32</v>
      </c>
      <c r="B1" s="46"/>
      <c r="C1" s="46"/>
      <c r="D1" s="46"/>
      <c r="E1" s="46"/>
      <c r="F1" s="46"/>
      <c r="G1" s="46"/>
      <c r="H1" s="46" t="s">
        <v>64</v>
      </c>
      <c r="I1" s="46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</row>
    <row r="2" spans="1:50" ht="15" customHeight="1">
      <c r="A2" s="46"/>
      <c r="B2" s="46"/>
      <c r="C2" s="46"/>
      <c r="D2" s="46"/>
      <c r="E2" s="48" t="s">
        <v>65</v>
      </c>
      <c r="F2" s="48"/>
      <c r="G2" s="48" t="s">
        <v>66</v>
      </c>
      <c r="H2" s="48" t="s">
        <v>67</v>
      </c>
      <c r="I2" s="49" t="s">
        <v>68</v>
      </c>
      <c r="J2" s="46"/>
      <c r="K2" s="48" t="s">
        <v>69</v>
      </c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</row>
    <row r="3" spans="1:50" ht="15" customHeight="1">
      <c r="A3" s="46"/>
      <c r="B3" s="46"/>
      <c r="C3" s="46"/>
      <c r="D3" s="46"/>
      <c r="E3" s="46" t="s">
        <v>358</v>
      </c>
      <c r="F3" s="48"/>
      <c r="G3" s="48"/>
      <c r="H3" s="48"/>
      <c r="I3" s="49"/>
      <c r="J3" s="46"/>
      <c r="K3" s="76" t="s">
        <v>91</v>
      </c>
      <c r="L3" s="76" t="s">
        <v>92</v>
      </c>
      <c r="M3" s="76" t="s">
        <v>93</v>
      </c>
      <c r="N3" s="76" t="s">
        <v>94</v>
      </c>
      <c r="O3" s="76" t="s">
        <v>95</v>
      </c>
      <c r="P3" s="76" t="s">
        <v>96</v>
      </c>
      <c r="Q3" s="76" t="s">
        <v>97</v>
      </c>
      <c r="R3" s="76" t="s">
        <v>98</v>
      </c>
      <c r="S3" s="76" t="s">
        <v>99</v>
      </c>
      <c r="T3" s="76" t="s">
        <v>100</v>
      </c>
      <c r="U3" s="76" t="s">
        <v>101</v>
      </c>
      <c r="V3" s="76" t="s">
        <v>102</v>
      </c>
      <c r="W3" s="76" t="s">
        <v>103</v>
      </c>
      <c r="X3" s="76" t="s">
        <v>104</v>
      </c>
      <c r="Y3" s="76" t="s">
        <v>105</v>
      </c>
      <c r="Z3" s="76" t="s">
        <v>106</v>
      </c>
      <c r="AA3" s="76" t="s">
        <v>107</v>
      </c>
      <c r="AB3" s="76" t="s">
        <v>108</v>
      </c>
      <c r="AC3" s="76" t="s">
        <v>109</v>
      </c>
      <c r="AD3" s="76" t="s">
        <v>110</v>
      </c>
      <c r="AE3" s="76" t="s">
        <v>111</v>
      </c>
      <c r="AF3" s="76" t="s">
        <v>112</v>
      </c>
      <c r="AG3" s="76" t="s">
        <v>113</v>
      </c>
      <c r="AH3" s="76" t="s">
        <v>114</v>
      </c>
      <c r="AI3" s="76" t="s">
        <v>115</v>
      </c>
      <c r="AJ3" s="76" t="s">
        <v>116</v>
      </c>
      <c r="AK3" s="76" t="s">
        <v>117</v>
      </c>
      <c r="AL3" s="76" t="s">
        <v>118</v>
      </c>
      <c r="AM3" s="76" t="s">
        <v>119</v>
      </c>
      <c r="AN3" s="76" t="s">
        <v>120</v>
      </c>
      <c r="AO3" s="76" t="s">
        <v>121</v>
      </c>
      <c r="AP3" s="76" t="s">
        <v>122</v>
      </c>
      <c r="AQ3" s="76" t="s">
        <v>123</v>
      </c>
      <c r="AR3" s="76" t="s">
        <v>124</v>
      </c>
      <c r="AS3" s="76" t="s">
        <v>125</v>
      </c>
      <c r="AT3" s="76" t="s">
        <v>126</v>
      </c>
      <c r="AU3" s="76" t="s">
        <v>127</v>
      </c>
      <c r="AV3" s="76" t="s">
        <v>128</v>
      </c>
      <c r="AW3" s="76" t="s">
        <v>129</v>
      </c>
      <c r="AX3" s="76" t="s">
        <v>130</v>
      </c>
    </row>
    <row r="4" spans="1:50" ht="15" customHeight="1">
      <c r="A4" s="46"/>
      <c r="B4" s="46"/>
      <c r="C4" s="46"/>
      <c r="D4" s="46"/>
      <c r="E4" s="58" t="s">
        <v>168</v>
      </c>
      <c r="F4" s="48"/>
      <c r="G4" s="48"/>
      <c r="H4" s="48"/>
      <c r="I4" s="48"/>
      <c r="J4" s="46"/>
      <c r="K4" s="163">
        <v>1</v>
      </c>
      <c r="L4" s="163">
        <f t="shared" ref="L4:AI4" si="0">+K4+1</f>
        <v>2</v>
      </c>
      <c r="M4" s="163">
        <f t="shared" si="0"/>
        <v>3</v>
      </c>
      <c r="N4" s="163">
        <f t="shared" si="0"/>
        <v>4</v>
      </c>
      <c r="O4" s="163">
        <f t="shared" si="0"/>
        <v>5</v>
      </c>
      <c r="P4" s="163">
        <f t="shared" si="0"/>
        <v>6</v>
      </c>
      <c r="Q4" s="163">
        <f t="shared" si="0"/>
        <v>7</v>
      </c>
      <c r="R4" s="163">
        <f t="shared" si="0"/>
        <v>8</v>
      </c>
      <c r="S4" s="163">
        <f t="shared" si="0"/>
        <v>9</v>
      </c>
      <c r="T4" s="163">
        <f t="shared" si="0"/>
        <v>10</v>
      </c>
      <c r="U4" s="163">
        <f t="shared" si="0"/>
        <v>11</v>
      </c>
      <c r="V4" s="163">
        <f t="shared" si="0"/>
        <v>12</v>
      </c>
      <c r="W4" s="163">
        <f t="shared" si="0"/>
        <v>13</v>
      </c>
      <c r="X4" s="163">
        <f t="shared" si="0"/>
        <v>14</v>
      </c>
      <c r="Y4" s="163">
        <f t="shared" si="0"/>
        <v>15</v>
      </c>
      <c r="Z4" s="163">
        <f t="shared" si="0"/>
        <v>16</v>
      </c>
      <c r="AA4" s="163">
        <f t="shared" si="0"/>
        <v>17</v>
      </c>
      <c r="AB4" s="163">
        <f t="shared" si="0"/>
        <v>18</v>
      </c>
      <c r="AC4" s="163">
        <f t="shared" si="0"/>
        <v>19</v>
      </c>
      <c r="AD4" s="163">
        <f t="shared" si="0"/>
        <v>20</v>
      </c>
      <c r="AE4" s="163">
        <f t="shared" si="0"/>
        <v>21</v>
      </c>
      <c r="AF4" s="163">
        <f t="shared" si="0"/>
        <v>22</v>
      </c>
      <c r="AG4" s="163">
        <f t="shared" si="0"/>
        <v>23</v>
      </c>
      <c r="AH4" s="163">
        <f t="shared" si="0"/>
        <v>24</v>
      </c>
      <c r="AI4" s="163">
        <f t="shared" si="0"/>
        <v>25</v>
      </c>
      <c r="AJ4" s="163">
        <f t="shared" ref="AJ4" si="1">+AI4+1</f>
        <v>26</v>
      </c>
      <c r="AK4" s="163">
        <f t="shared" ref="AK4" si="2">+AJ4+1</f>
        <v>27</v>
      </c>
      <c r="AL4" s="163">
        <f t="shared" ref="AL4" si="3">+AK4+1</f>
        <v>28</v>
      </c>
      <c r="AM4" s="163">
        <f t="shared" ref="AM4" si="4">+AL4+1</f>
        <v>29</v>
      </c>
      <c r="AN4" s="163">
        <f t="shared" ref="AN4" si="5">+AM4+1</f>
        <v>30</v>
      </c>
      <c r="AO4" s="163">
        <f t="shared" ref="AO4" si="6">+AN4+1</f>
        <v>31</v>
      </c>
      <c r="AP4" s="163">
        <f t="shared" ref="AP4" si="7">+AO4+1</f>
        <v>32</v>
      </c>
      <c r="AQ4" s="163">
        <f t="shared" ref="AQ4" si="8">+AP4+1</f>
        <v>33</v>
      </c>
      <c r="AR4" s="163">
        <f t="shared" ref="AR4" si="9">+AQ4+1</f>
        <v>34</v>
      </c>
      <c r="AS4" s="163">
        <f t="shared" ref="AS4" si="10">+AR4+1</f>
        <v>35</v>
      </c>
      <c r="AT4" s="163">
        <f t="shared" ref="AT4" si="11">+AS4+1</f>
        <v>36</v>
      </c>
      <c r="AU4" s="163">
        <f t="shared" ref="AU4" si="12">+AT4+1</f>
        <v>37</v>
      </c>
      <c r="AV4" s="163">
        <f t="shared" ref="AV4" si="13">+AU4+1</f>
        <v>38</v>
      </c>
      <c r="AW4" s="163">
        <f t="shared" ref="AW4:AX4" si="14">+AV4+1</f>
        <v>39</v>
      </c>
      <c r="AX4" s="163">
        <f t="shared" si="14"/>
        <v>40</v>
      </c>
    </row>
    <row r="5" spans="1:50" ht="15" customHeight="1"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/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140"/>
      <c r="AV5" s="140"/>
      <c r="AW5" s="140"/>
      <c r="AX5" s="140"/>
    </row>
    <row r="6" spans="1:50" ht="15" customHeight="1">
      <c r="A6" t="s">
        <v>378</v>
      </c>
      <c r="B6" s="12" t="s">
        <v>379</v>
      </c>
      <c r="C6" s="50"/>
      <c r="D6" s="50"/>
      <c r="E6" s="50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</row>
    <row r="7" spans="1:50" ht="15" customHeight="1">
      <c r="A7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</row>
    <row r="8" spans="1:50" ht="15" customHeight="1">
      <c r="B8" s="1"/>
      <c r="C8" s="56" t="s">
        <v>380</v>
      </c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</row>
    <row r="9" spans="1:50" ht="15" customHeight="1">
      <c r="A9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</row>
    <row r="10" spans="1:50" ht="15" customHeight="1">
      <c r="A10"/>
      <c r="E10" s="1" t="s">
        <v>133</v>
      </c>
      <c r="G10" s="1" t="str">
        <f>Inputs!$I$6</f>
        <v>£m 2024 prices</v>
      </c>
      <c r="I10" s="140"/>
      <c r="J10" s="140"/>
      <c r="K10" s="16">
        <f>Inputs!K37</f>
        <v>8</v>
      </c>
      <c r="L10" s="16">
        <f>Inputs!L37</f>
        <v>8</v>
      </c>
      <c r="M10" s="16">
        <f>Inputs!M37</f>
        <v>8</v>
      </c>
      <c r="N10" s="16">
        <f>Inputs!N37</f>
        <v>8</v>
      </c>
      <c r="O10" s="16">
        <f>Inputs!O37</f>
        <v>8</v>
      </c>
      <c r="P10" s="16">
        <f>Inputs!P37</f>
        <v>8</v>
      </c>
      <c r="Q10" s="16">
        <f>Inputs!Q37</f>
        <v>8</v>
      </c>
      <c r="R10" s="16">
        <f>Inputs!R37</f>
        <v>8</v>
      </c>
      <c r="S10" s="16">
        <f>Inputs!S37</f>
        <v>8</v>
      </c>
      <c r="T10" s="16">
        <f>Inputs!T37</f>
        <v>8</v>
      </c>
      <c r="U10" s="16">
        <f>Inputs!U37</f>
        <v>8</v>
      </c>
      <c r="V10" s="16">
        <f>Inputs!V37</f>
        <v>8</v>
      </c>
      <c r="W10" s="16">
        <f>Inputs!W37</f>
        <v>8</v>
      </c>
      <c r="X10" s="16">
        <f>Inputs!X37</f>
        <v>8</v>
      </c>
      <c r="Y10" s="16">
        <f>Inputs!Y37</f>
        <v>8</v>
      </c>
      <c r="Z10" s="16">
        <f>Inputs!Z37</f>
        <v>8</v>
      </c>
      <c r="AA10" s="16">
        <f>Inputs!AA37</f>
        <v>8</v>
      </c>
      <c r="AB10" s="16">
        <f>Inputs!AB37</f>
        <v>8</v>
      </c>
      <c r="AC10" s="16">
        <f>Inputs!AC37</f>
        <v>8</v>
      </c>
      <c r="AD10" s="16">
        <f>Inputs!AD37</f>
        <v>8</v>
      </c>
      <c r="AE10" s="16">
        <f>Inputs!AE37</f>
        <v>8</v>
      </c>
      <c r="AF10" s="16">
        <f>Inputs!AF37</f>
        <v>8</v>
      </c>
      <c r="AG10" s="16">
        <f>Inputs!AG37</f>
        <v>8</v>
      </c>
      <c r="AH10" s="16">
        <f>Inputs!AH37</f>
        <v>8</v>
      </c>
      <c r="AI10" s="16">
        <f>Inputs!AI37</f>
        <v>8</v>
      </c>
      <c r="AJ10" s="16">
        <f>Inputs!AJ37</f>
        <v>0</v>
      </c>
      <c r="AK10" s="16">
        <f>Inputs!AK37</f>
        <v>0</v>
      </c>
      <c r="AL10" s="16">
        <f>Inputs!AL37</f>
        <v>0</v>
      </c>
      <c r="AM10" s="16">
        <f>Inputs!AM37</f>
        <v>0</v>
      </c>
      <c r="AN10" s="16">
        <f>Inputs!AN37</f>
        <v>0</v>
      </c>
      <c r="AO10" s="16">
        <f>Inputs!AO37</f>
        <v>0</v>
      </c>
      <c r="AP10" s="16">
        <f>Inputs!AP37</f>
        <v>0</v>
      </c>
      <c r="AQ10" s="16">
        <f>Inputs!AQ37</f>
        <v>0</v>
      </c>
      <c r="AR10" s="16">
        <f>Inputs!AR37</f>
        <v>0</v>
      </c>
      <c r="AS10" s="16">
        <f>Inputs!AS37</f>
        <v>0</v>
      </c>
      <c r="AT10" s="16">
        <f>Inputs!AT37</f>
        <v>0</v>
      </c>
      <c r="AU10" s="16">
        <f>Inputs!AU37</f>
        <v>0</v>
      </c>
      <c r="AV10" s="16">
        <f>Inputs!AV37</f>
        <v>0</v>
      </c>
      <c r="AW10" s="16">
        <f>Inputs!AW37</f>
        <v>0</v>
      </c>
      <c r="AX10" s="16">
        <f>Inputs!AX37</f>
        <v>0</v>
      </c>
    </row>
    <row r="11" spans="1:50" ht="15" customHeight="1">
      <c r="A11"/>
      <c r="E11" s="1" t="s">
        <v>381</v>
      </c>
      <c r="G11" s="1" t="str">
        <f>Inputs!$I$6</f>
        <v>£m 2024 prices</v>
      </c>
      <c r="I11" s="140"/>
      <c r="J11" s="140"/>
      <c r="K11" s="16">
        <f>Inputs!K38</f>
        <v>0</v>
      </c>
      <c r="L11" s="16">
        <f>Inputs!L38</f>
        <v>0</v>
      </c>
      <c r="M11" s="16">
        <f>Inputs!M38</f>
        <v>0</v>
      </c>
      <c r="N11" s="16">
        <f>Inputs!N38</f>
        <v>0</v>
      </c>
      <c r="O11" s="16">
        <f>Inputs!O38</f>
        <v>0</v>
      </c>
      <c r="P11" s="16">
        <f>Inputs!P38</f>
        <v>0</v>
      </c>
      <c r="Q11" s="16">
        <f>Inputs!Q38</f>
        <v>0</v>
      </c>
      <c r="R11" s="16">
        <f>Inputs!R38</f>
        <v>0</v>
      </c>
      <c r="S11" s="16">
        <f>Inputs!S38</f>
        <v>0</v>
      </c>
      <c r="T11" s="16">
        <f>Inputs!T38</f>
        <v>0</v>
      </c>
      <c r="U11" s="16">
        <f>Inputs!U38</f>
        <v>0</v>
      </c>
      <c r="V11" s="16">
        <f>Inputs!V38</f>
        <v>0</v>
      </c>
      <c r="W11" s="16">
        <f>Inputs!W38</f>
        <v>0</v>
      </c>
      <c r="X11" s="16">
        <f>Inputs!X38</f>
        <v>0</v>
      </c>
      <c r="Y11" s="16">
        <f>Inputs!Y38</f>
        <v>0</v>
      </c>
      <c r="Z11" s="16">
        <f>Inputs!Z38</f>
        <v>0</v>
      </c>
      <c r="AA11" s="16">
        <f>Inputs!AA38</f>
        <v>0</v>
      </c>
      <c r="AB11" s="16">
        <f>Inputs!AB38</f>
        <v>0</v>
      </c>
      <c r="AC11" s="16">
        <f>Inputs!AC38</f>
        <v>0</v>
      </c>
      <c r="AD11" s="16">
        <f>Inputs!AD38</f>
        <v>0</v>
      </c>
      <c r="AE11" s="16">
        <f>Inputs!AE38</f>
        <v>0</v>
      </c>
      <c r="AF11" s="16">
        <f>Inputs!AF38</f>
        <v>0</v>
      </c>
      <c r="AG11" s="16">
        <f>Inputs!AG38</f>
        <v>0</v>
      </c>
      <c r="AH11" s="16">
        <f>Inputs!AH38</f>
        <v>0</v>
      </c>
      <c r="AI11" s="16">
        <f>Inputs!AI38</f>
        <v>0</v>
      </c>
      <c r="AJ11" s="16">
        <f>Inputs!AJ38</f>
        <v>0</v>
      </c>
      <c r="AK11" s="16">
        <f>Inputs!AK38</f>
        <v>0</v>
      </c>
      <c r="AL11" s="16">
        <f>Inputs!AL38</f>
        <v>0</v>
      </c>
      <c r="AM11" s="16">
        <f>Inputs!AM38</f>
        <v>0</v>
      </c>
      <c r="AN11" s="16">
        <f>Inputs!AN38</f>
        <v>0</v>
      </c>
      <c r="AO11" s="16">
        <f>Inputs!AO38</f>
        <v>0</v>
      </c>
      <c r="AP11" s="16">
        <f>Inputs!AP38</f>
        <v>0</v>
      </c>
      <c r="AQ11" s="16">
        <f>Inputs!AQ38</f>
        <v>0</v>
      </c>
      <c r="AR11" s="16">
        <f>Inputs!AR38</f>
        <v>0</v>
      </c>
      <c r="AS11" s="16">
        <f>Inputs!AS38</f>
        <v>0</v>
      </c>
      <c r="AT11" s="16">
        <f>Inputs!AT38</f>
        <v>0</v>
      </c>
      <c r="AU11" s="16">
        <f>Inputs!AU38</f>
        <v>0</v>
      </c>
      <c r="AV11" s="16">
        <f>Inputs!AV38</f>
        <v>0</v>
      </c>
      <c r="AW11" s="16">
        <f>Inputs!AW38</f>
        <v>0</v>
      </c>
      <c r="AX11" s="16">
        <f>Inputs!AX38</f>
        <v>0</v>
      </c>
    </row>
    <row r="12" spans="1:50" ht="15" customHeight="1">
      <c r="A12"/>
      <c r="E12" s="1" t="s">
        <v>132</v>
      </c>
      <c r="G12" s="1" t="str">
        <f>Inputs!$I$6</f>
        <v>£m 2024 prices</v>
      </c>
      <c r="I12" s="140"/>
      <c r="J12" s="140"/>
      <c r="K12" s="16">
        <f>Inputs!K36</f>
        <v>0</v>
      </c>
      <c r="L12" s="16">
        <f>Inputs!L36</f>
        <v>0</v>
      </c>
      <c r="M12" s="16">
        <f>Inputs!M36</f>
        <v>0</v>
      </c>
      <c r="N12" s="16">
        <f>Inputs!N36</f>
        <v>0</v>
      </c>
      <c r="O12" s="16">
        <f>Inputs!O36</f>
        <v>0</v>
      </c>
      <c r="P12" s="16">
        <f>Inputs!P36</f>
        <v>0</v>
      </c>
      <c r="Q12" s="16">
        <f>Inputs!Q36</f>
        <v>0</v>
      </c>
      <c r="R12" s="16">
        <f>Inputs!R36</f>
        <v>0</v>
      </c>
      <c r="S12" s="16">
        <f>Inputs!S36</f>
        <v>0</v>
      </c>
      <c r="T12" s="16">
        <f>Inputs!T36</f>
        <v>0</v>
      </c>
      <c r="U12" s="16">
        <f>Inputs!U36</f>
        <v>0</v>
      </c>
      <c r="V12" s="16">
        <f>Inputs!V36</f>
        <v>0</v>
      </c>
      <c r="W12" s="16">
        <f>Inputs!W36</f>
        <v>0</v>
      </c>
      <c r="X12" s="16">
        <f>Inputs!X36</f>
        <v>0</v>
      </c>
      <c r="Y12" s="16">
        <f>Inputs!Y36</f>
        <v>0</v>
      </c>
      <c r="Z12" s="16">
        <f>Inputs!Z36</f>
        <v>0</v>
      </c>
      <c r="AA12" s="16">
        <f>Inputs!AA36</f>
        <v>0</v>
      </c>
      <c r="AB12" s="16">
        <f>Inputs!AB36</f>
        <v>0</v>
      </c>
      <c r="AC12" s="16">
        <f>Inputs!AC36</f>
        <v>0</v>
      </c>
      <c r="AD12" s="16">
        <f>Inputs!AD36</f>
        <v>0</v>
      </c>
      <c r="AE12" s="16">
        <f>Inputs!AE36</f>
        <v>0</v>
      </c>
      <c r="AF12" s="16">
        <f>Inputs!AF36</f>
        <v>0</v>
      </c>
      <c r="AG12" s="16">
        <f>Inputs!AG36</f>
        <v>0</v>
      </c>
      <c r="AH12" s="16">
        <f>Inputs!AH36</f>
        <v>0</v>
      </c>
      <c r="AI12" s="16">
        <f>Inputs!AI36</f>
        <v>69.337011026225994</v>
      </c>
      <c r="AJ12" s="16">
        <f>Inputs!AJ36</f>
        <v>0</v>
      </c>
      <c r="AK12" s="16">
        <f>Inputs!AK36</f>
        <v>0</v>
      </c>
      <c r="AL12" s="16">
        <f>Inputs!AL36</f>
        <v>0</v>
      </c>
      <c r="AM12" s="16">
        <f>Inputs!AM36</f>
        <v>0</v>
      </c>
      <c r="AN12" s="16">
        <f>Inputs!AN36</f>
        <v>0</v>
      </c>
      <c r="AO12" s="16">
        <f>Inputs!AO36</f>
        <v>0</v>
      </c>
      <c r="AP12" s="16">
        <f>Inputs!AP36</f>
        <v>0</v>
      </c>
      <c r="AQ12" s="16">
        <f>Inputs!AQ36</f>
        <v>0</v>
      </c>
      <c r="AR12" s="16">
        <f>Inputs!AR36</f>
        <v>0</v>
      </c>
      <c r="AS12" s="16">
        <f>Inputs!AS36</f>
        <v>0</v>
      </c>
      <c r="AT12" s="16">
        <f>Inputs!AT36</f>
        <v>0</v>
      </c>
      <c r="AU12" s="16">
        <f>Inputs!AU36</f>
        <v>0</v>
      </c>
      <c r="AV12" s="16">
        <f>Inputs!AV36</f>
        <v>0</v>
      </c>
      <c r="AW12" s="16">
        <f>Inputs!AW36</f>
        <v>0</v>
      </c>
      <c r="AX12" s="16">
        <f>Inputs!AX36</f>
        <v>0</v>
      </c>
    </row>
    <row r="13" spans="1:50" ht="15" customHeight="1">
      <c r="A13"/>
      <c r="E13" s="1" t="s">
        <v>371</v>
      </c>
      <c r="G13" s="1" t="str">
        <f>Inputs!$I$6</f>
        <v>£m 2024 prices</v>
      </c>
      <c r="I13" s="140"/>
      <c r="J13" s="140"/>
      <c r="K13" s="16">
        <f>Op_Rav!K26</f>
        <v>20.100949718517288</v>
      </c>
      <c r="L13" s="16">
        <f>Op_Rav!L26</f>
        <v>20.100949718517288</v>
      </c>
      <c r="M13" s="16">
        <f>Op_Rav!M26</f>
        <v>20.100949718517285</v>
      </c>
      <c r="N13" s="16">
        <f>Op_Rav!N26</f>
        <v>20.100949718517288</v>
      </c>
      <c r="O13" s="16">
        <f>Op_Rav!O26</f>
        <v>20.100949718517285</v>
      </c>
      <c r="P13" s="16">
        <f>Op_Rav!P26</f>
        <v>20.100949718517285</v>
      </c>
      <c r="Q13" s="16">
        <f>Op_Rav!Q26</f>
        <v>20.100949718517285</v>
      </c>
      <c r="R13" s="16">
        <f>Op_Rav!R26</f>
        <v>20.100949718517281</v>
      </c>
      <c r="S13" s="16">
        <f>Op_Rav!S26</f>
        <v>20.142500390972614</v>
      </c>
      <c r="T13" s="16">
        <f>Op_Rav!T26</f>
        <v>20.166164637159689</v>
      </c>
      <c r="U13" s="16">
        <f>Op_Rav!U26</f>
        <v>20.179175426351954</v>
      </c>
      <c r="V13" s="16">
        <f>Op_Rav!V26</f>
        <v>20.206489862132106</v>
      </c>
      <c r="W13" s="16">
        <f>Op_Rav!W26</f>
        <v>20.264800528271618</v>
      </c>
      <c r="X13" s="16">
        <f>Op_Rav!X26</f>
        <v>20.381068200134749</v>
      </c>
      <c r="Y13" s="16">
        <f>Op_Rav!Y26</f>
        <v>20.407537368438668</v>
      </c>
      <c r="Z13" s="16">
        <f>Op_Rav!Z26</f>
        <v>20.436557781890912</v>
      </c>
      <c r="AA13" s="16">
        <f>Op_Rav!AA26</f>
        <v>20.616236399316591</v>
      </c>
      <c r="AB13" s="16">
        <f>Op_Rav!AB26</f>
        <v>20.652511916131896</v>
      </c>
      <c r="AC13" s="16">
        <f>Op_Rav!AC26</f>
        <v>20.694106323466624</v>
      </c>
      <c r="AD13" s="16">
        <f>Op_Rav!AD26</f>
        <v>20.742473679220364</v>
      </c>
      <c r="AE13" s="16">
        <f>Op_Rav!AE26</f>
        <v>20.80989033096709</v>
      </c>
      <c r="AF13" s="16">
        <f>Op_Rav!AF26</f>
        <v>21.023796274846738</v>
      </c>
      <c r="AG13" s="16">
        <f>Op_Rav!AG26</f>
        <v>21.370581237116909</v>
      </c>
      <c r="AH13" s="16">
        <f>Op_Rav!AH26</f>
        <v>21.515683304378136</v>
      </c>
      <c r="AI13" s="16">
        <f>Op_Rav!AI26</f>
        <v>22.85094114490521</v>
      </c>
      <c r="AJ13" s="16">
        <f>Op_Rav!AJ26</f>
        <v>0</v>
      </c>
      <c r="AK13" s="16">
        <f>Op_Rav!AK26</f>
        <v>0</v>
      </c>
      <c r="AL13" s="16">
        <f>Op_Rav!AL26</f>
        <v>0</v>
      </c>
      <c r="AM13" s="16">
        <f>Op_Rav!AM26</f>
        <v>0</v>
      </c>
      <c r="AN13" s="16">
        <f>Op_Rav!AN26</f>
        <v>0</v>
      </c>
      <c r="AO13" s="16">
        <f>Op_Rav!AO26</f>
        <v>0</v>
      </c>
      <c r="AP13" s="16">
        <f>Op_Rav!AP26</f>
        <v>0</v>
      </c>
      <c r="AQ13" s="16">
        <f>Op_Rav!AQ26</f>
        <v>0</v>
      </c>
      <c r="AR13" s="16">
        <f>Op_Rav!AR26</f>
        <v>0</v>
      </c>
      <c r="AS13" s="16">
        <f>Op_Rav!AS26</f>
        <v>0</v>
      </c>
      <c r="AT13" s="16">
        <f>Op_Rav!AT26</f>
        <v>0</v>
      </c>
      <c r="AU13" s="16">
        <f>Op_Rav!AU26</f>
        <v>0</v>
      </c>
      <c r="AV13" s="16">
        <f>Op_Rav!AV26</f>
        <v>0</v>
      </c>
      <c r="AW13" s="16">
        <f>Op_Rav!AW26</f>
        <v>0</v>
      </c>
      <c r="AX13" s="16">
        <f>Op_Rav!AX26</f>
        <v>0</v>
      </c>
    </row>
    <row r="14" spans="1:50" ht="15" customHeight="1">
      <c r="A14"/>
      <c r="E14" s="1" t="s">
        <v>376</v>
      </c>
      <c r="G14" s="1" t="str">
        <f>Inputs!$I$6</f>
        <v>£m 2024 prices</v>
      </c>
      <c r="I14" s="1"/>
      <c r="K14" s="16">
        <f>Op_Rav!K41</f>
        <v>34.798659349031418</v>
      </c>
      <c r="L14" s="16">
        <f>Op_Rav!L41</f>
        <v>33.379327280830594</v>
      </c>
      <c r="M14" s="16">
        <f>Op_Rav!M41</f>
        <v>31.959995212629778</v>
      </c>
      <c r="N14" s="16">
        <f>Op_Rav!N41</f>
        <v>30.540663144428965</v>
      </c>
      <c r="O14" s="16">
        <f>Op_Rav!O41</f>
        <v>29.121331076228145</v>
      </c>
      <c r="P14" s="16">
        <f>Op_Rav!P41</f>
        <v>27.701999008027325</v>
      </c>
      <c r="Q14" s="16">
        <f>Op_Rav!Q41</f>
        <v>26.282666939826509</v>
      </c>
      <c r="R14" s="16">
        <f>Op_Rav!R41</f>
        <v>24.887393682854952</v>
      </c>
      <c r="S14" s="16">
        <f>Op_Rav!S41</f>
        <v>23.505360043903238</v>
      </c>
      <c r="T14" s="16">
        <f>Op_Rav!T41</f>
        <v>22.102774167778051</v>
      </c>
      <c r="U14" s="16">
        <f>Op_Rav!U41</f>
        <v>20.698551968083606</v>
      </c>
      <c r="V14" s="16">
        <f>Op_Rav!V41</f>
        <v>19.312561776634581</v>
      </c>
      <c r="W14" s="16">
        <f>Op_Rav!W41</f>
        <v>17.959018939025313</v>
      </c>
      <c r="X14" s="16">
        <f>Op_Rav!X41</f>
        <v>16.585069229922095</v>
      </c>
      <c r="Y14" s="16">
        <f>Op_Rav!Y41</f>
        <v>15.165582734533023</v>
      </c>
      <c r="Z14" s="16">
        <f>Op_Rav!Z41</f>
        <v>13.789299977151032</v>
      </c>
      <c r="AA14" s="16">
        <f>Op_Rav!AA41</f>
        <v>12.409140359023429</v>
      </c>
      <c r="AB14" s="16">
        <f>Op_Rav!AB41</f>
        <v>10.972712201972369</v>
      </c>
      <c r="AC14" s="16">
        <f>Op_Rav!AC41</f>
        <v>9.5335438430071289</v>
      </c>
      <c r="AD14" s="16">
        <f>Op_Rav!AD41</f>
        <v>8.0927695509908837</v>
      </c>
      <c r="AE14" s="16">
        <f>Op_Rav!AE41</f>
        <v>6.6673062329190911</v>
      </c>
      <c r="AF14" s="16">
        <f>Op_Rav!AF41</f>
        <v>5.2573377914983963</v>
      </c>
      <c r="AG14" s="16">
        <f>Op_Rav!AG41</f>
        <v>3.8089411607553969</v>
      </c>
      <c r="AH14" s="16">
        <f>Op_Rav!AH41</f>
        <v>2.3166824190630506</v>
      </c>
      <c r="AI14" s="16">
        <f>Op_Rav!AI41</f>
        <v>0.79826403388441003</v>
      </c>
      <c r="AJ14" s="16">
        <f>Op_Rav!AJ41</f>
        <v>0</v>
      </c>
      <c r="AK14" s="16">
        <f>Op_Rav!AK41</f>
        <v>0</v>
      </c>
      <c r="AL14" s="16">
        <f>Op_Rav!AL41</f>
        <v>0</v>
      </c>
      <c r="AM14" s="16">
        <f>Op_Rav!AM41</f>
        <v>0</v>
      </c>
      <c r="AN14" s="16">
        <f>Op_Rav!AN41</f>
        <v>0</v>
      </c>
      <c r="AO14" s="16">
        <f>Op_Rav!AO41</f>
        <v>0</v>
      </c>
      <c r="AP14" s="16">
        <f>Op_Rav!AP41</f>
        <v>0</v>
      </c>
      <c r="AQ14" s="16">
        <f>Op_Rav!AQ41</f>
        <v>0</v>
      </c>
      <c r="AR14" s="16">
        <f>Op_Rav!AR41</f>
        <v>0</v>
      </c>
      <c r="AS14" s="16">
        <f>Op_Rav!AS41</f>
        <v>0</v>
      </c>
      <c r="AT14" s="16">
        <f>Op_Rav!AT41</f>
        <v>0</v>
      </c>
      <c r="AU14" s="16">
        <f>Op_Rav!AU41</f>
        <v>0</v>
      </c>
      <c r="AV14" s="16">
        <f>Op_Rav!AV41</f>
        <v>0</v>
      </c>
      <c r="AW14" s="16">
        <f>Op_Rav!AW41</f>
        <v>0</v>
      </c>
      <c r="AX14" s="16">
        <f>Op_Rav!AX41</f>
        <v>0</v>
      </c>
    </row>
    <row r="15" spans="1:50" ht="15" customHeight="1">
      <c r="A15"/>
      <c r="C15" s="11"/>
      <c r="E15" s="11" t="s">
        <v>379</v>
      </c>
      <c r="G15" s="1" t="str">
        <f>Inputs!$I$6</f>
        <v>£m 2024 prices</v>
      </c>
      <c r="I15" s="1"/>
      <c r="K15" s="136">
        <f t="shared" ref="K15:AI15" si="15">SUM(K10:K14)</f>
        <v>62.89960906754871</v>
      </c>
      <c r="L15" s="136">
        <f t="shared" si="15"/>
        <v>61.480276999347879</v>
      </c>
      <c r="M15" s="136">
        <f t="shared" si="15"/>
        <v>60.060944931147063</v>
      </c>
      <c r="N15" s="136">
        <f t="shared" si="15"/>
        <v>58.641612862946253</v>
      </c>
      <c r="O15" s="136">
        <f t="shared" si="15"/>
        <v>57.22228079474543</v>
      </c>
      <c r="P15" s="136">
        <f t="shared" si="15"/>
        <v>55.802948726544614</v>
      </c>
      <c r="Q15" s="136">
        <f t="shared" si="15"/>
        <v>54.383616658343797</v>
      </c>
      <c r="R15" s="136">
        <f t="shared" si="15"/>
        <v>52.988343401372234</v>
      </c>
      <c r="S15" s="136">
        <f t="shared" si="15"/>
        <v>51.647860434875852</v>
      </c>
      <c r="T15" s="136">
        <f t="shared" si="15"/>
        <v>50.26893880493774</v>
      </c>
      <c r="U15" s="136">
        <f t="shared" si="15"/>
        <v>48.87772739443556</v>
      </c>
      <c r="V15" s="136">
        <f t="shared" si="15"/>
        <v>47.519051638766683</v>
      </c>
      <c r="W15" s="136">
        <f t="shared" si="15"/>
        <v>46.223819467296934</v>
      </c>
      <c r="X15" s="136">
        <f t="shared" si="15"/>
        <v>44.966137430056847</v>
      </c>
      <c r="Y15" s="136">
        <f t="shared" si="15"/>
        <v>43.573120102971693</v>
      </c>
      <c r="Z15" s="136">
        <f t="shared" si="15"/>
        <v>42.225857759041943</v>
      </c>
      <c r="AA15" s="136">
        <f t="shared" si="15"/>
        <v>41.025376758340016</v>
      </c>
      <c r="AB15" s="136">
        <f t="shared" si="15"/>
        <v>39.625224118104263</v>
      </c>
      <c r="AC15" s="136">
        <f t="shared" si="15"/>
        <v>38.227650166473751</v>
      </c>
      <c r="AD15" s="136">
        <f t="shared" si="15"/>
        <v>36.835243230211248</v>
      </c>
      <c r="AE15" s="136">
        <f t="shared" si="15"/>
        <v>35.477196563886181</v>
      </c>
      <c r="AF15" s="136">
        <f t="shared" si="15"/>
        <v>34.281134066345132</v>
      </c>
      <c r="AG15" s="136">
        <f t="shared" si="15"/>
        <v>33.179522397872304</v>
      </c>
      <c r="AH15" s="136">
        <f t="shared" si="15"/>
        <v>31.832365723441185</v>
      </c>
      <c r="AI15" s="136">
        <f t="shared" si="15"/>
        <v>100.98621620501561</v>
      </c>
      <c r="AJ15" s="136">
        <f t="shared" ref="AJ15:AU15" si="16">SUM(AJ10:AJ14)</f>
        <v>0</v>
      </c>
      <c r="AK15" s="136">
        <f t="shared" si="16"/>
        <v>0</v>
      </c>
      <c r="AL15" s="136">
        <f t="shared" si="16"/>
        <v>0</v>
      </c>
      <c r="AM15" s="136">
        <f t="shared" si="16"/>
        <v>0</v>
      </c>
      <c r="AN15" s="136">
        <f t="shared" si="16"/>
        <v>0</v>
      </c>
      <c r="AO15" s="136">
        <f t="shared" si="16"/>
        <v>0</v>
      </c>
      <c r="AP15" s="136">
        <f t="shared" si="16"/>
        <v>0</v>
      </c>
      <c r="AQ15" s="136">
        <f t="shared" si="16"/>
        <v>0</v>
      </c>
      <c r="AR15" s="136">
        <f t="shared" si="16"/>
        <v>0</v>
      </c>
      <c r="AS15" s="136">
        <f t="shared" si="16"/>
        <v>0</v>
      </c>
      <c r="AT15" s="136">
        <f t="shared" si="16"/>
        <v>0</v>
      </c>
      <c r="AU15" s="136">
        <f t="shared" si="16"/>
        <v>0</v>
      </c>
      <c r="AV15" s="136">
        <f t="shared" ref="AV15:AW15" si="17">SUM(AV10:AV14)</f>
        <v>0</v>
      </c>
      <c r="AW15" s="136">
        <f t="shared" si="17"/>
        <v>0</v>
      </c>
      <c r="AX15" s="136">
        <f t="shared" ref="AX15" si="18">SUM(AX10:AX14)</f>
        <v>0</v>
      </c>
    </row>
    <row r="16" spans="1:50" ht="15" customHeight="1">
      <c r="A16"/>
      <c r="C16" s="11"/>
      <c r="G16" s="1"/>
      <c r="I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</row>
    <row r="17" spans="1:50" ht="15" customHeight="1">
      <c r="B17" s="1"/>
      <c r="C17" s="56" t="s">
        <v>382</v>
      </c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</row>
    <row r="18" spans="1:50" ht="15" customHeight="1">
      <c r="A18"/>
      <c r="C18" s="11"/>
      <c r="G18" s="1"/>
      <c r="I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</row>
    <row r="19" spans="1:50" ht="15" customHeight="1">
      <c r="A19"/>
      <c r="C19" s="11"/>
      <c r="E19" s="11" t="s">
        <v>383</v>
      </c>
      <c r="G19" s="1" t="s">
        <v>142</v>
      </c>
      <c r="I19" s="141">
        <f>Inputs!I53</f>
        <v>0.5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</row>
    <row r="20" spans="1:50" ht="15" customHeight="1">
      <c r="A20"/>
      <c r="C20" s="11"/>
      <c r="E20" s="1" t="s">
        <v>153</v>
      </c>
      <c r="G20" s="1" t="s">
        <v>142</v>
      </c>
      <c r="I20" s="141">
        <f>Inputs!I64</f>
        <v>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</row>
    <row r="21" spans="1:50" ht="15" customHeight="1">
      <c r="A21"/>
      <c r="C21" s="11"/>
      <c r="E21" s="1" t="s">
        <v>384</v>
      </c>
      <c r="F21" s="1"/>
      <c r="G21" s="1" t="str">
        <f>Inputs!$I$6</f>
        <v>£m 2024 prices</v>
      </c>
      <c r="I21" s="1"/>
      <c r="K21" s="1">
        <f>IF(Inputs!$I$129="Yes",SUM(K13:K14)*$I$19*$I$20, "N/A")</f>
        <v>27.449804533774355</v>
      </c>
      <c r="L21" s="1">
        <f>IF(Inputs!$I$129="Yes",SUM(L13:L14)*$I$19*$I$20, "N/A")</f>
        <v>26.74013849967394</v>
      </c>
      <c r="M21" s="1">
        <f>IF(Inputs!$I$129="Yes",SUM(M13:M14)*$I$19*$I$20, "N/A")</f>
        <v>26.030472465573531</v>
      </c>
      <c r="N21" s="1">
        <f>IF(Inputs!$I$129="Yes",SUM(N13:N14)*$I$19*$I$20, "N/A")</f>
        <v>25.320806431473127</v>
      </c>
      <c r="O21" s="1">
        <f>IF(Inputs!$I$129="Yes",SUM(O13:O14)*$I$19*$I$20, "N/A")</f>
        <v>24.611140397372715</v>
      </c>
      <c r="P21" s="1">
        <f>IF(Inputs!$I$129="Yes",SUM(P13:P14)*$I$19*$I$20, "N/A")</f>
        <v>23.901474363272307</v>
      </c>
      <c r="Q21" s="1">
        <f>IF(Inputs!$I$129="Yes",SUM(Q13:Q14)*$I$19*$I$20, "N/A")</f>
        <v>23.191808329171899</v>
      </c>
      <c r="R21" s="1">
        <f>IF(Inputs!$I$129="Yes",SUM(R13:R14)*$I$19*$I$20, "N/A")</f>
        <v>22.494171700686117</v>
      </c>
      <c r="S21" s="1">
        <f>IF(Inputs!$I$129="Yes",SUM(S13:S14)*$I$19*$I$20, "N/A")</f>
        <v>21.823930217437926</v>
      </c>
      <c r="T21" s="1">
        <f>IF(Inputs!$I$129="Yes",SUM(T13:T14)*$I$19*$I$20, "N/A")</f>
        <v>21.13446940246887</v>
      </c>
      <c r="U21" s="1">
        <f>IF(Inputs!$I$129="Yes",SUM(U13:U14)*$I$19*$I$20, "N/A")</f>
        <v>20.43886369721778</v>
      </c>
      <c r="V21" s="1">
        <f>IF(Inputs!$I$129="Yes",SUM(V13:V14)*$I$19*$I$20, "N/A")</f>
        <v>19.759525819383342</v>
      </c>
      <c r="W21" s="1">
        <f>IF(Inputs!$I$129="Yes",SUM(W13:W14)*$I$19*$I$20, "N/A")</f>
        <v>19.111909733648467</v>
      </c>
      <c r="X21" s="1">
        <f>IF(Inputs!$I$129="Yes",SUM(X13:X14)*$I$19*$I$20, "N/A")</f>
        <v>18.483068715028423</v>
      </c>
      <c r="Y21" s="1">
        <f>IF(Inputs!$I$129="Yes",SUM(Y13:Y14)*$I$19*$I$20, "N/A")</f>
        <v>17.786560051485846</v>
      </c>
      <c r="Z21" s="1">
        <f>IF(Inputs!$I$129="Yes",SUM(Z13:Z14)*$I$19*$I$20, "N/A")</f>
        <v>17.112928879520972</v>
      </c>
      <c r="AA21" s="1">
        <f>IF(Inputs!$I$129="Yes",SUM(AA13:AA14)*$I$19*$I$20, "N/A")</f>
        <v>16.512688379170008</v>
      </c>
      <c r="AB21" s="1">
        <f>IF(Inputs!$I$129="Yes",SUM(AB13:AB14)*$I$19*$I$20, "N/A")</f>
        <v>15.812612059052132</v>
      </c>
      <c r="AC21" s="1">
        <f>IF(Inputs!$I$129="Yes",SUM(AC13:AC14)*$I$19*$I$20, "N/A")</f>
        <v>15.113825083236875</v>
      </c>
      <c r="AD21" s="1">
        <f>IF(Inputs!$I$129="Yes",SUM(AD13:AD14)*$I$19*$I$20, "N/A")</f>
        <v>14.417621615105624</v>
      </c>
      <c r="AE21" s="1">
        <f>IF(Inputs!$I$129="Yes",SUM(AE13:AE14)*$I$19*$I$20, "N/A")</f>
        <v>13.738598281943091</v>
      </c>
      <c r="AF21" s="1">
        <f>IF(Inputs!$I$129="Yes",SUM(AF13:AF14)*$I$19*$I$20, "N/A")</f>
        <v>13.140567033172568</v>
      </c>
      <c r="AG21" s="1">
        <f>IF(Inputs!$I$129="Yes",SUM(AG13:AG14)*$I$19*$I$20, "N/A")</f>
        <v>12.589761198936152</v>
      </c>
      <c r="AH21" s="1">
        <f>IF(Inputs!$I$129="Yes",SUM(AH13:AH14)*$I$19*$I$20, "N/A")</f>
        <v>11.916182861720593</v>
      </c>
      <c r="AI21" s="1">
        <f>IF(Inputs!$I$129="Yes",SUM(AI13:AI14)*$I$19*$I$20, "N/A")</f>
        <v>11.824602589394811</v>
      </c>
      <c r="AJ21" s="1">
        <f>IF(Inputs!$I$129="Yes",SUM(AJ13:AJ14)*$I$19*$I$20, "N/A")</f>
        <v>0</v>
      </c>
      <c r="AK21" s="1">
        <f>IF(Inputs!$I$129="Yes",SUM(AK13:AK14)*$I$19*$I$20, "N/A")</f>
        <v>0</v>
      </c>
      <c r="AL21" s="1">
        <f>IF(Inputs!$I$129="Yes",SUM(AL13:AL14)*$I$19*$I$20, "N/A")</f>
        <v>0</v>
      </c>
      <c r="AM21" s="1">
        <f>IF(Inputs!$I$129="Yes",SUM(AM13:AM14)*$I$19*$I$20, "N/A")</f>
        <v>0</v>
      </c>
      <c r="AN21" s="1">
        <f>IF(Inputs!$I$129="Yes",SUM(AN13:AN14)*$I$19*$I$20, "N/A")</f>
        <v>0</v>
      </c>
      <c r="AO21" s="1">
        <f>IF(Inputs!$I$129="Yes",SUM(AO13:AO14)*$I$19*$I$20, "N/A")</f>
        <v>0</v>
      </c>
      <c r="AP21" s="1">
        <f>IF(Inputs!$I$129="Yes",SUM(AP13:AP14)*$I$19*$I$20, "N/A")</f>
        <v>0</v>
      </c>
      <c r="AQ21" s="1">
        <f>IF(Inputs!$I$129="Yes",SUM(AQ13:AQ14)*$I$19*$I$20, "N/A")</f>
        <v>0</v>
      </c>
      <c r="AR21" s="1">
        <f>IF(Inputs!$I$129="Yes",SUM(AR13:AR14)*$I$19*$I$20, "N/A")</f>
        <v>0</v>
      </c>
      <c r="AS21" s="1">
        <f>IF(Inputs!$I$129="Yes",SUM(AS13:AS14)*$I$19*$I$20, "N/A")</f>
        <v>0</v>
      </c>
      <c r="AT21" s="1">
        <f>IF(Inputs!$I$129="Yes",SUM(AT13:AT14)*$I$19*$I$20, "N/A")</f>
        <v>0</v>
      </c>
      <c r="AU21" s="1">
        <f>IF(Inputs!$I$129="Yes",SUM(AU13:AU14)*$I$19*$I$20, "N/A")</f>
        <v>0</v>
      </c>
      <c r="AV21" s="1">
        <f>IF(Inputs!$I$129="Yes",SUM(AV13:AV14)*$I$19*$I$20, "N/A")</f>
        <v>0</v>
      </c>
      <c r="AW21" s="1">
        <f>IF(Inputs!$I$129="Yes",SUM(AW13:AW14)*$I$19*$I$20, "N/A")</f>
        <v>0</v>
      </c>
      <c r="AX21" s="1">
        <f>IF(Inputs!$I$129="Yes",SUM(AX13:AX14)*$I$19*$I$20, "N/A")</f>
        <v>0</v>
      </c>
    </row>
    <row r="22" spans="1:50" ht="15" customHeight="1">
      <c r="A22"/>
      <c r="C22" s="11"/>
      <c r="E22" s="1"/>
      <c r="F22" s="1"/>
      <c r="G22" s="1"/>
      <c r="I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</row>
    <row r="23" spans="1:50" ht="15" customHeight="1">
      <c r="B23" s="1"/>
      <c r="C23" s="56" t="s">
        <v>385</v>
      </c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</row>
    <row r="24" spans="1:50" ht="15" customHeight="1">
      <c r="A24"/>
      <c r="C24" s="11"/>
      <c r="G24" s="1"/>
      <c r="I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</row>
    <row r="25" spans="1:50" ht="15" customHeight="1">
      <c r="A25"/>
      <c r="C25" s="11"/>
      <c r="E25" s="11" t="s">
        <v>386</v>
      </c>
      <c r="G25" s="1" t="str">
        <f>Inputs!$I$6</f>
        <v>£m 2024 prices</v>
      </c>
      <c r="I25" s="1"/>
      <c r="K25" s="1">
        <f>IF(Inputs!$I$129="Yes",K15-K21,K15)</f>
        <v>35.449804533774355</v>
      </c>
      <c r="L25" s="1">
        <f>IF(Inputs!$I$129="Yes",L15-L21,L15)</f>
        <v>34.74013849967394</v>
      </c>
      <c r="M25" s="1">
        <f>IF(Inputs!$I$129="Yes",M15-M21,M15)</f>
        <v>34.030472465573531</v>
      </c>
      <c r="N25" s="1">
        <f>IF(Inputs!$I$129="Yes",N15-N21,N15)</f>
        <v>33.32080643147313</v>
      </c>
      <c r="O25" s="1">
        <f>IF(Inputs!$I$129="Yes",O15-O21,O15)</f>
        <v>32.611140397372715</v>
      </c>
      <c r="P25" s="1">
        <f>IF(Inputs!$I$129="Yes",P15-P21,P15)</f>
        <v>31.901474363272307</v>
      </c>
      <c r="Q25" s="1">
        <f>IF(Inputs!$I$129="Yes",Q15-Q21,Q15)</f>
        <v>31.191808329171899</v>
      </c>
      <c r="R25" s="1">
        <f>IF(Inputs!$I$129="Yes",R15-R21,R15)</f>
        <v>30.494171700686117</v>
      </c>
      <c r="S25" s="1">
        <f>IF(Inputs!$I$129="Yes",S15-S21,S15)</f>
        <v>29.823930217437926</v>
      </c>
      <c r="T25" s="1">
        <f>IF(Inputs!$I$129="Yes",T15-T21,T15)</f>
        <v>29.13446940246887</v>
      </c>
      <c r="U25" s="1">
        <f>IF(Inputs!$I$129="Yes",U15-U21,U15)</f>
        <v>28.43886369721778</v>
      </c>
      <c r="V25" s="1">
        <f>IF(Inputs!$I$129="Yes",V15-V21,V15)</f>
        <v>27.759525819383342</v>
      </c>
      <c r="W25" s="1">
        <f>IF(Inputs!$I$129="Yes",W15-W21,W15)</f>
        <v>27.111909733648467</v>
      </c>
      <c r="X25" s="1">
        <f>IF(Inputs!$I$129="Yes",X15-X21,X15)</f>
        <v>26.483068715028423</v>
      </c>
      <c r="Y25" s="1">
        <f>IF(Inputs!$I$129="Yes",Y15-Y21,Y15)</f>
        <v>25.786560051485846</v>
      </c>
      <c r="Z25" s="1">
        <f>IF(Inputs!$I$129="Yes",Z15-Z21,Z15)</f>
        <v>25.112928879520972</v>
      </c>
      <c r="AA25" s="1">
        <f>IF(Inputs!$I$129="Yes",AA15-AA21,AA15)</f>
        <v>24.512688379170008</v>
      </c>
      <c r="AB25" s="1">
        <f>IF(Inputs!$I$129="Yes",AB15-AB21,AB15)</f>
        <v>23.812612059052132</v>
      </c>
      <c r="AC25" s="1">
        <f>IF(Inputs!$I$129="Yes",AC15-AC21,AC15)</f>
        <v>23.113825083236875</v>
      </c>
      <c r="AD25" s="1">
        <f>IF(Inputs!$I$129="Yes",AD15-AD21,AD15)</f>
        <v>22.417621615105624</v>
      </c>
      <c r="AE25" s="1">
        <f>IF(Inputs!$I$129="Yes",AE15-AE21,AE15)</f>
        <v>21.738598281943091</v>
      </c>
      <c r="AF25" s="1">
        <f>IF(Inputs!$I$129="Yes",AF15-AF21,AF15)</f>
        <v>21.140567033172566</v>
      </c>
      <c r="AG25" s="1">
        <f>IF(Inputs!$I$129="Yes",AG15-AG21,AG15)</f>
        <v>20.589761198936152</v>
      </c>
      <c r="AH25" s="1">
        <f>IF(Inputs!$I$129="Yes",AH15-AH21,AH15)</f>
        <v>19.916182861720593</v>
      </c>
      <c r="AI25" s="1">
        <f>IF(Inputs!$I$129="Yes",AI15-AI21,AI15)</f>
        <v>89.161613615620794</v>
      </c>
      <c r="AJ25" s="1">
        <f>IF(Inputs!$I$129="Yes",AJ15-AJ21,AJ15)</f>
        <v>0</v>
      </c>
      <c r="AK25" s="1">
        <f>IF(Inputs!$I$129="Yes",AK15-AK21,AK15)</f>
        <v>0</v>
      </c>
      <c r="AL25" s="1">
        <f>IF(Inputs!$I$129="Yes",AL15-AL21,AL15)</f>
        <v>0</v>
      </c>
      <c r="AM25" s="1">
        <f>IF(Inputs!$I$129="Yes",AM15-AM21,AM15)</f>
        <v>0</v>
      </c>
      <c r="AN25" s="1">
        <f>IF(Inputs!$I$129="Yes",AN15-AN21,AN15)</f>
        <v>0</v>
      </c>
      <c r="AO25" s="1">
        <f>IF(Inputs!$I$129="Yes",AO15-AO21,AO15)</f>
        <v>0</v>
      </c>
      <c r="AP25" s="1">
        <f>IF(Inputs!$I$129="Yes",AP15-AP21,AP15)</f>
        <v>0</v>
      </c>
      <c r="AQ25" s="1">
        <f>IF(Inputs!$I$129="Yes",AQ15-AQ21,AQ15)</f>
        <v>0</v>
      </c>
      <c r="AR25" s="1">
        <f>IF(Inputs!$I$129="Yes",AR15-AR21,AR15)</f>
        <v>0</v>
      </c>
      <c r="AS25" s="1">
        <f>IF(Inputs!$I$129="Yes",AS15-AS21,AS15)</f>
        <v>0</v>
      </c>
      <c r="AT25" s="1">
        <f>IF(Inputs!$I$129="Yes",AT15-AT21,AT15)</f>
        <v>0</v>
      </c>
      <c r="AU25" s="1">
        <f>IF(Inputs!$I$129="Yes",AU15-AU21,AU15)</f>
        <v>0</v>
      </c>
      <c r="AV25" s="1">
        <f>IF(Inputs!$I$129="Yes",AV15-AV21,AV15)</f>
        <v>0</v>
      </c>
      <c r="AW25" s="1">
        <f>IF(Inputs!$I$129="Yes",AW15-AW21,AW15)</f>
        <v>0</v>
      </c>
      <c r="AX25" s="1">
        <f>IF(Inputs!$I$129="Yes",AX15-AX21,AX15)</f>
        <v>0</v>
      </c>
    </row>
    <row r="26" spans="1:50" ht="15" customHeight="1">
      <c r="A26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</row>
    <row r="27" spans="1:50" ht="15" customHeight="1">
      <c r="A27"/>
      <c r="B27" s="12" t="s">
        <v>387</v>
      </c>
      <c r="C27" s="50"/>
      <c r="D27" s="50"/>
      <c r="E27" s="50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</row>
    <row r="28" spans="1:50" ht="15" customHeight="1">
      <c r="A28"/>
      <c r="B28" s="1"/>
      <c r="C28" s="1"/>
      <c r="D28" s="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</row>
    <row r="29" spans="1:50" ht="15" customHeight="1">
      <c r="B29" s="1"/>
      <c r="C29" s="56" t="s">
        <v>388</v>
      </c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</row>
    <row r="30" spans="1:50" ht="15" customHeight="1">
      <c r="B30" s="1"/>
      <c r="C30" s="1"/>
      <c r="D30" s="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</row>
    <row r="31" spans="1:50" ht="15" customHeight="1">
      <c r="E31" s="77" t="s">
        <v>136</v>
      </c>
      <c r="G31" s="77" t="str">
        <f>Inputs!G44</f>
        <v>real annual %</v>
      </c>
      <c r="I31" s="141">
        <f>Inputs!I44</f>
        <v>7.3099999999999998E-2</v>
      </c>
      <c r="AE31" s="164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</row>
    <row r="32" spans="1:50" ht="15" customHeight="1">
      <c r="B32" s="1"/>
      <c r="C32" s="1"/>
      <c r="D32" s="1"/>
      <c r="E32" s="77" t="s">
        <v>368</v>
      </c>
      <c r="G32" s="77" t="str">
        <f>Inputs!G142</f>
        <v>full years</v>
      </c>
      <c r="I32" s="165">
        <f>Inputs!I142</f>
        <v>25</v>
      </c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</row>
    <row r="33" spans="1:50" ht="15" customHeight="1">
      <c r="B33" s="1"/>
      <c r="C33" s="1"/>
      <c r="D33" s="1"/>
      <c r="E33" s="11" t="s">
        <v>389</v>
      </c>
      <c r="G33" s="11" t="s">
        <v>249</v>
      </c>
      <c r="I33" s="64">
        <f>I31 / (1 - (1 + I31)^(-I32))</f>
        <v>8.8220436579675723E-2</v>
      </c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  <c r="AA33" s="140"/>
      <c r="AB33" s="140"/>
      <c r="AC33" s="140"/>
      <c r="AD33" s="140"/>
      <c r="AE33" s="140"/>
      <c r="AF33" s="140"/>
      <c r="AG33" s="140"/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</row>
    <row r="34" spans="1:50" ht="15" customHeight="1">
      <c r="E34" s="77"/>
      <c r="G34" s="77"/>
      <c r="I34" s="77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</row>
    <row r="35" spans="1:50" ht="15" customHeight="1">
      <c r="A35"/>
      <c r="B35" s="1"/>
      <c r="C35" s="1"/>
      <c r="D35" s="1"/>
      <c r="E35" s="1" t="s">
        <v>390</v>
      </c>
      <c r="F35" s="1"/>
      <c r="G35" s="1" t="s">
        <v>225</v>
      </c>
      <c r="H35" s="1"/>
      <c r="I35" s="159"/>
      <c r="J35" s="80"/>
      <c r="K35" s="158" t="b">
        <f>AND(K4 &gt; 0, K4&lt;= $I32)</f>
        <v>1</v>
      </c>
      <c r="L35" s="158" t="b">
        <f t="shared" ref="L35:AX35" si="19">AND(L4 &gt; 0, L4&lt;= $I32)</f>
        <v>1</v>
      </c>
      <c r="M35" s="158" t="b">
        <f t="shared" si="19"/>
        <v>1</v>
      </c>
      <c r="N35" s="158" t="b">
        <f t="shared" si="19"/>
        <v>1</v>
      </c>
      <c r="O35" s="158" t="b">
        <f t="shared" si="19"/>
        <v>1</v>
      </c>
      <c r="P35" s="158" t="b">
        <f t="shared" si="19"/>
        <v>1</v>
      </c>
      <c r="Q35" s="158" t="b">
        <f t="shared" si="19"/>
        <v>1</v>
      </c>
      <c r="R35" s="158" t="b">
        <f t="shared" si="19"/>
        <v>1</v>
      </c>
      <c r="S35" s="158" t="b">
        <f t="shared" si="19"/>
        <v>1</v>
      </c>
      <c r="T35" s="158" t="b">
        <f t="shared" si="19"/>
        <v>1</v>
      </c>
      <c r="U35" s="158" t="b">
        <f t="shared" si="19"/>
        <v>1</v>
      </c>
      <c r="V35" s="158" t="b">
        <f t="shared" si="19"/>
        <v>1</v>
      </c>
      <c r="W35" s="158" t="b">
        <f t="shared" si="19"/>
        <v>1</v>
      </c>
      <c r="X35" s="158" t="b">
        <f t="shared" si="19"/>
        <v>1</v>
      </c>
      <c r="Y35" s="158" t="b">
        <f t="shared" si="19"/>
        <v>1</v>
      </c>
      <c r="Z35" s="158" t="b">
        <f t="shared" si="19"/>
        <v>1</v>
      </c>
      <c r="AA35" s="158" t="b">
        <f t="shared" si="19"/>
        <v>1</v>
      </c>
      <c r="AB35" s="158" t="b">
        <f t="shared" si="19"/>
        <v>1</v>
      </c>
      <c r="AC35" s="158" t="b">
        <f t="shared" si="19"/>
        <v>1</v>
      </c>
      <c r="AD35" s="158" t="b">
        <f t="shared" si="19"/>
        <v>1</v>
      </c>
      <c r="AE35" s="158" t="b">
        <f t="shared" si="19"/>
        <v>1</v>
      </c>
      <c r="AF35" s="158" t="b">
        <f t="shared" si="19"/>
        <v>1</v>
      </c>
      <c r="AG35" s="158" t="b">
        <f t="shared" si="19"/>
        <v>1</v>
      </c>
      <c r="AH35" s="158" t="b">
        <f t="shared" si="19"/>
        <v>1</v>
      </c>
      <c r="AI35" s="158" t="b">
        <f t="shared" si="19"/>
        <v>1</v>
      </c>
      <c r="AJ35" s="158" t="b">
        <f t="shared" si="19"/>
        <v>0</v>
      </c>
      <c r="AK35" s="158" t="b">
        <f t="shared" si="19"/>
        <v>0</v>
      </c>
      <c r="AL35" s="158" t="b">
        <f t="shared" si="19"/>
        <v>0</v>
      </c>
      <c r="AM35" s="158" t="b">
        <f t="shared" si="19"/>
        <v>0</v>
      </c>
      <c r="AN35" s="158" t="b">
        <f t="shared" si="19"/>
        <v>0</v>
      </c>
      <c r="AO35" s="158" t="b">
        <f t="shared" si="19"/>
        <v>0</v>
      </c>
      <c r="AP35" s="158" t="b">
        <f t="shared" si="19"/>
        <v>0</v>
      </c>
      <c r="AQ35" s="158" t="b">
        <f t="shared" si="19"/>
        <v>0</v>
      </c>
      <c r="AR35" s="158" t="b">
        <f t="shared" si="19"/>
        <v>0</v>
      </c>
      <c r="AS35" s="158" t="b">
        <f t="shared" si="19"/>
        <v>0</v>
      </c>
      <c r="AT35" s="158" t="b">
        <f t="shared" si="19"/>
        <v>0</v>
      </c>
      <c r="AU35" s="158" t="b">
        <f t="shared" si="19"/>
        <v>0</v>
      </c>
      <c r="AV35" s="158" t="b">
        <f t="shared" si="19"/>
        <v>0</v>
      </c>
      <c r="AW35" s="158" t="b">
        <f t="shared" si="19"/>
        <v>0</v>
      </c>
      <c r="AX35" s="158" t="b">
        <f t="shared" si="19"/>
        <v>0</v>
      </c>
    </row>
    <row r="36" spans="1:50" ht="15" customHeight="1">
      <c r="A36"/>
      <c r="B36" s="1"/>
      <c r="C36" s="1"/>
      <c r="D36" s="1"/>
      <c r="E36" s="11" t="s">
        <v>391</v>
      </c>
      <c r="G36" s="11" t="s">
        <v>249</v>
      </c>
      <c r="I36" s="140"/>
      <c r="J36" s="140"/>
      <c r="K36" s="166">
        <f>(1 + $I31) ^ - K4</f>
        <v>0.9318796011555307</v>
      </c>
      <c r="L36" s="166">
        <f t="shared" ref="L36:AX36" si="20">(1 + $I31) ^ - L4</f>
        <v>0.86839959104979114</v>
      </c>
      <c r="M36" s="166">
        <f t="shared" si="20"/>
        <v>0.80924386455110542</v>
      </c>
      <c r="N36" s="166">
        <f t="shared" si="20"/>
        <v>0.75411784973544438</v>
      </c>
      <c r="O36" s="166">
        <f t="shared" si="20"/>
        <v>0.70274704103573249</v>
      </c>
      <c r="P36" s="166">
        <f t="shared" si="20"/>
        <v>0.65487563231360768</v>
      </c>
      <c r="Q36" s="166">
        <f t="shared" si="20"/>
        <v>0.61026524304688079</v>
      </c>
      <c r="R36" s="166">
        <f t="shared" si="20"/>
        <v>0.56869373128961032</v>
      </c>
      <c r="S36" s="166">
        <f t="shared" si="20"/>
        <v>0.52995408749381268</v>
      </c>
      <c r="T36" s="166">
        <f t="shared" si="20"/>
        <v>0.49385340368447739</v>
      </c>
      <c r="U36" s="166">
        <f t="shared" si="20"/>
        <v>0.46021191285479218</v>
      </c>
      <c r="V36" s="166">
        <f t="shared" si="20"/>
        <v>0.42886209379814755</v>
      </c>
      <c r="W36" s="166">
        <f t="shared" si="20"/>
        <v>0.39964783691934358</v>
      </c>
      <c r="X36" s="166">
        <f t="shared" si="20"/>
        <v>0.37242366687106848</v>
      </c>
      <c r="Y36" s="166">
        <f t="shared" si="20"/>
        <v>0.34705401814469156</v>
      </c>
      <c r="Z36" s="166">
        <f t="shared" si="20"/>
        <v>0.32341256000809948</v>
      </c>
      <c r="AA36" s="166">
        <f t="shared" si="20"/>
        <v>0.30138156742903693</v>
      </c>
      <c r="AB36" s="166">
        <f t="shared" si="20"/>
        <v>0.28085133485139963</v>
      </c>
      <c r="AC36" s="166">
        <f t="shared" si="20"/>
        <v>0.26171962990532072</v>
      </c>
      <c r="AD36" s="166">
        <f t="shared" si="20"/>
        <v>0.24389118433074339</v>
      </c>
      <c r="AE36" s="166">
        <f t="shared" si="20"/>
        <v>0.22727721957948319</v>
      </c>
      <c r="AF36" s="166">
        <f t="shared" si="20"/>
        <v>0.21179500473346674</v>
      </c>
      <c r="AG36" s="166">
        <f t="shared" si="20"/>
        <v>0.19736744453775676</v>
      </c>
      <c r="AH36" s="166">
        <f t="shared" si="20"/>
        <v>0.1839226954969311</v>
      </c>
      <c r="AI36" s="166">
        <f t="shared" si="20"/>
        <v>0.17139380812313029</v>
      </c>
      <c r="AJ36" s="166">
        <f t="shared" si="20"/>
        <v>0.15971839355431022</v>
      </c>
      <c r="AK36" s="166">
        <f t="shared" si="20"/>
        <v>0.14883831288259272</v>
      </c>
      <c r="AL36" s="166">
        <f t="shared" si="20"/>
        <v>0.13869938764569259</v>
      </c>
      <c r="AM36" s="166">
        <f t="shared" si="20"/>
        <v>0.12925113003978436</v>
      </c>
      <c r="AN36" s="166">
        <f t="shared" si="20"/>
        <v>0.12044649151037587</v>
      </c>
      <c r="AO36" s="166">
        <f t="shared" si="20"/>
        <v>0.11224162846927212</v>
      </c>
      <c r="AP36" s="166">
        <f t="shared" si="20"/>
        <v>0.10459568397099255</v>
      </c>
      <c r="AQ36" s="166">
        <f t="shared" si="20"/>
        <v>9.7470584261478477E-2</v>
      </c>
      <c r="AR36" s="166">
        <f t="shared" si="20"/>
        <v>9.0830849185983123E-2</v>
      </c>
      <c r="AS36" s="166">
        <f t="shared" si="20"/>
        <v>8.4643415512052109E-2</v>
      </c>
      <c r="AT36" s="166">
        <f t="shared" si="20"/>
        <v>7.8877472287813E-2</v>
      </c>
      <c r="AU36" s="166">
        <f t="shared" si="20"/>
        <v>7.3504307415723599E-2</v>
      </c>
      <c r="AV36" s="166">
        <f t="shared" si="20"/>
        <v>6.8497164677778027E-2</v>
      </c>
      <c r="AW36" s="166">
        <f t="shared" si="20"/>
        <v>6.3831110500212507E-2</v>
      </c>
      <c r="AX36" s="166">
        <f t="shared" si="20"/>
        <v>5.9482909794252636E-2</v>
      </c>
    </row>
    <row r="37" spans="1:50" ht="15" customHeight="1">
      <c r="B37" s="1"/>
      <c r="C37" s="1"/>
      <c r="D37" s="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</row>
    <row r="38" spans="1:50" ht="15" customHeight="1">
      <c r="B38" s="1"/>
      <c r="C38" s="56" t="s">
        <v>392</v>
      </c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</row>
    <row r="39" spans="1:50" ht="15" customHeight="1">
      <c r="B39" s="1"/>
      <c r="C39" s="1"/>
      <c r="D39" s="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</row>
    <row r="40" spans="1:50" ht="15" customHeight="1">
      <c r="B40" s="1"/>
      <c r="C40" s="1"/>
      <c r="D40" s="1"/>
      <c r="E40" s="1" t="s">
        <v>393</v>
      </c>
      <c r="G40" s="1" t="str">
        <f>Inputs!$I$6</f>
        <v>£m 2024 prices</v>
      </c>
      <c r="K40" s="1">
        <f>IF(Inputs!$I$129="Yes",K21*K36, "N/A")</f>
        <v>25.579912900730925</v>
      </c>
      <c r="L40" s="1">
        <f>IF(Inputs!$I$129="Yes",L21*L36, "N/A")</f>
        <v>23.221125337731625</v>
      </c>
      <c r="M40" s="1">
        <f>IF(Inputs!$I$129="Yes",M21*M36, "N/A")</f>
        <v>21.065000134131864</v>
      </c>
      <c r="N40" s="1">
        <f>IF(Inputs!$I$129="Yes",N21*N36, "N/A")</f>
        <v>19.094872099669924</v>
      </c>
      <c r="O40" s="1">
        <f>IF(Inputs!$I$129="Yes",O21*O36, "N/A")</f>
        <v>17.295406090768658</v>
      </c>
      <c r="P40" s="1">
        <f>IF(Inputs!$I$129="Yes",P21*P36, "N/A")</f>
        <v>15.652493136875435</v>
      </c>
      <c r="Q40" s="1">
        <f>IF(Inputs!$I$129="Yes",Q21*Q36, "N/A")</f>
        <v>14.153154546698763</v>
      </c>
      <c r="R40" s="1">
        <f>IF(Inputs!$I$129="Yes",R21*R36, "N/A")</f>
        <v>12.792294436732346</v>
      </c>
      <c r="S40" s="1">
        <f>IF(Inputs!$I$129="Yes",S21*S36, "N/A")</f>
        <v>11.565681023910962</v>
      </c>
      <c r="T40" s="1">
        <f>IF(Inputs!$I$129="Yes",T21*T36, "N/A")</f>
        <v>10.437329649474695</v>
      </c>
      <c r="U40" s="1">
        <f>IF(Inputs!$I$129="Yes",U21*U36, "N/A")</f>
        <v>9.4062085586749653</v>
      </c>
      <c r="V40" s="1">
        <f>IF(Inputs!$I$129="Yes",V21*V36, "N/A")</f>
        <v>8.4741116153592966</v>
      </c>
      <c r="W40" s="1">
        <f>IF(Inputs!$I$129="Yes",W21*W36, "N/A")</f>
        <v>7.6380333844503578</v>
      </c>
      <c r="X40" s="1">
        <f>IF(Inputs!$I$129="Yes",X21*X36, "N/A")</f>
        <v>6.8835322258808134</v>
      </c>
      <c r="Y40" s="1">
        <f>IF(Inputs!$I$129="Yes",Y21*Y36, "N/A")</f>
        <v>6.1728971348400146</v>
      </c>
      <c r="Z40" s="1">
        <f>IF(Inputs!$I$129="Yes",Z21*Z36, "N/A")</f>
        <v>5.534536138162415</v>
      </c>
      <c r="AA40" s="1">
        <f>IF(Inputs!$I$129="Yes",AA21*AA36, "N/A")</f>
        <v>4.9766199061815</v>
      </c>
      <c r="AB40" s="1">
        <f>IF(Inputs!$I$129="Yes",AB21*AB36, "N/A")</f>
        <v>4.4409932042721296</v>
      </c>
      <c r="AC40" s="1">
        <f>IF(Inputs!$I$129="Yes",AC21*AC36, "N/A")</f>
        <v>3.9555847072385082</v>
      </c>
      <c r="AD40" s="1">
        <f>IF(Inputs!$I$129="Yes",AD21*AD36, "N/A")</f>
        <v>3.5163308109406359</v>
      </c>
      <c r="AE40" s="1">
        <f>IF(Inputs!$I$129="Yes",AE21*AE36, "N/A")</f>
        <v>3.1224704184394905</v>
      </c>
      <c r="AF40" s="1">
        <f>IF(Inputs!$I$129="Yes",AF21*AF36, "N/A")</f>
        <v>2.7831064569912209</v>
      </c>
      <c r="AG40" s="1">
        <f>IF(Inputs!$I$129="Yes",AG21*AG36, "N/A")</f>
        <v>2.4848089951746331</v>
      </c>
      <c r="AH40" s="1">
        <f>IF(Inputs!$I$129="Yes",AH21*AH36, "N/A")</f>
        <v>2.1916564719619855</v>
      </c>
      <c r="AI40" s="1">
        <f>IF(Inputs!$I$129="Yes",AI21*AI36, "N/A")</f>
        <v>2.0266636673390037</v>
      </c>
      <c r="AJ40" s="1">
        <f>IF(Inputs!$I$129="Yes",AJ21*AJ36, "N/A")</f>
        <v>0</v>
      </c>
      <c r="AK40" s="1">
        <f>IF(Inputs!$I$129="Yes",AK21*AK36, "N/A")</f>
        <v>0</v>
      </c>
      <c r="AL40" s="1">
        <f>IF(Inputs!$I$129="Yes",AL21*AL36, "N/A")</f>
        <v>0</v>
      </c>
      <c r="AM40" s="1">
        <f>IF(Inputs!$I$129="Yes",AM21*AM36, "N/A")</f>
        <v>0</v>
      </c>
      <c r="AN40" s="1">
        <f>IF(Inputs!$I$129="Yes",AN21*AN36, "N/A")</f>
        <v>0</v>
      </c>
      <c r="AO40" s="1">
        <f>IF(Inputs!$I$129="Yes",AO21*AO36, "N/A")</f>
        <v>0</v>
      </c>
      <c r="AP40" s="1">
        <f>IF(Inputs!$I$129="Yes",AP21*AP36, "N/A")</f>
        <v>0</v>
      </c>
      <c r="AQ40" s="1">
        <f>IF(Inputs!$I$129="Yes",AQ21*AQ36, "N/A")</f>
        <v>0</v>
      </c>
      <c r="AR40" s="1">
        <f>IF(Inputs!$I$129="Yes",AR21*AR36, "N/A")</f>
        <v>0</v>
      </c>
      <c r="AS40" s="1">
        <f>IF(Inputs!$I$129="Yes",AS21*AS36, "N/A")</f>
        <v>0</v>
      </c>
      <c r="AT40" s="1">
        <f>IF(Inputs!$I$129="Yes",AT21*AT36, "N/A")</f>
        <v>0</v>
      </c>
      <c r="AU40" s="1">
        <f>IF(Inputs!$I$129="Yes",AU21*AU36, "N/A")</f>
        <v>0</v>
      </c>
      <c r="AV40" s="1">
        <f>IF(Inputs!$I$129="Yes",AV21*AV36, "N/A")</f>
        <v>0</v>
      </c>
      <c r="AW40" s="1">
        <f>IF(Inputs!$I$129="Yes",AW21*AW36, "N/A")</f>
        <v>0</v>
      </c>
      <c r="AX40" s="1">
        <f>IF(Inputs!$I$129="Yes",AX21*AX36, "N/A")</f>
        <v>0</v>
      </c>
    </row>
    <row r="41" spans="1:50" ht="15" customHeight="1">
      <c r="B41" s="1"/>
      <c r="C41" s="1"/>
      <c r="D41" s="1"/>
      <c r="E41" s="11" t="s">
        <v>394</v>
      </c>
      <c r="G41" s="1" t="str">
        <f>Inputs!$I$6</f>
        <v>£m 2024 prices</v>
      </c>
      <c r="I41" s="167">
        <f>IF(Inputs!$I$129="Yes",SUM(K40:AX40),"N/A")</f>
        <v>244.46482305263214</v>
      </c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</row>
    <row r="42" spans="1:50" ht="15" customHeight="1">
      <c r="B42" s="1"/>
      <c r="C42" s="1"/>
      <c r="D42" s="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</row>
    <row r="43" spans="1:50" ht="15" customHeight="1">
      <c r="B43" s="1"/>
      <c r="C43" s="1"/>
      <c r="D43" s="1"/>
      <c r="E43" s="64" t="s">
        <v>395</v>
      </c>
      <c r="G43" s="64" t="str">
        <f>G$33</f>
        <v>scalar</v>
      </c>
      <c r="I43" s="78">
        <f>I$33</f>
        <v>8.8220436579675723E-2</v>
      </c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</row>
    <row r="44" spans="1:50" ht="15" customHeight="1">
      <c r="B44" s="1"/>
      <c r="C44" s="1"/>
      <c r="D44" s="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</row>
    <row r="45" spans="1:50" ht="15" customHeight="1">
      <c r="B45" s="1"/>
      <c r="C45" s="1"/>
      <c r="D45" s="1"/>
      <c r="E45" s="11" t="s">
        <v>396</v>
      </c>
      <c r="G45" s="1" t="str">
        <f>Inputs!$I$6</f>
        <v>£m 2024 prices</v>
      </c>
      <c r="I45" s="168">
        <f>IF(Inputs!$I$129="Yes",I41*I43,"N/A")</f>
        <v>21.566793418076383</v>
      </c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</row>
    <row r="46" spans="1:50" ht="15" customHeight="1">
      <c r="B46" s="1"/>
      <c r="C46" s="1"/>
      <c r="D46" s="1"/>
      <c r="E46" s="11" t="s">
        <v>397</v>
      </c>
      <c r="G46" s="1" t="str">
        <f>Inputs!$I$6</f>
        <v>£m 2024 prices</v>
      </c>
      <c r="I46" s="78"/>
      <c r="K46" s="17">
        <f>IF(Inputs!$I$129="Yes",$I$45*K35, "N/A")</f>
        <v>21.566793418076383</v>
      </c>
      <c r="L46" s="17">
        <f>IF(Inputs!$I$129="Yes",$I$45*L35, "N/A")</f>
        <v>21.566793418076383</v>
      </c>
      <c r="M46" s="17">
        <f>IF(Inputs!$I$129="Yes",$I$45*M35, "N/A")</f>
        <v>21.566793418076383</v>
      </c>
      <c r="N46" s="17">
        <f>IF(Inputs!$I$129="Yes",$I$45*N35, "N/A")</f>
        <v>21.566793418076383</v>
      </c>
      <c r="O46" s="17">
        <f>IF(Inputs!$I$129="Yes",$I$45*O35, "N/A")</f>
        <v>21.566793418076383</v>
      </c>
      <c r="P46" s="17">
        <f>IF(Inputs!$I$129="Yes",$I$45*P35, "N/A")</f>
        <v>21.566793418076383</v>
      </c>
      <c r="Q46" s="17">
        <f>IF(Inputs!$I$129="Yes",$I$45*Q35, "N/A")</f>
        <v>21.566793418076383</v>
      </c>
      <c r="R46" s="17">
        <f>IF(Inputs!$I$129="Yes",$I$45*R35, "N/A")</f>
        <v>21.566793418076383</v>
      </c>
      <c r="S46" s="17">
        <f>IF(Inputs!$I$129="Yes",$I$45*S35, "N/A")</f>
        <v>21.566793418076383</v>
      </c>
      <c r="T46" s="17">
        <f>IF(Inputs!$I$129="Yes",$I$45*T35, "N/A")</f>
        <v>21.566793418076383</v>
      </c>
      <c r="U46" s="17">
        <f>IF(Inputs!$I$129="Yes",$I$45*U35, "N/A")</f>
        <v>21.566793418076383</v>
      </c>
      <c r="V46" s="17">
        <f>IF(Inputs!$I$129="Yes",$I$45*V35, "N/A")</f>
        <v>21.566793418076383</v>
      </c>
      <c r="W46" s="17">
        <f>IF(Inputs!$I$129="Yes",$I$45*W35, "N/A")</f>
        <v>21.566793418076383</v>
      </c>
      <c r="X46" s="17">
        <f>IF(Inputs!$I$129="Yes",$I$45*X35, "N/A")</f>
        <v>21.566793418076383</v>
      </c>
      <c r="Y46" s="17">
        <f>IF(Inputs!$I$129="Yes",$I$45*Y35, "N/A")</f>
        <v>21.566793418076383</v>
      </c>
      <c r="Z46" s="17">
        <f>IF(Inputs!$I$129="Yes",$I$45*Z35, "N/A")</f>
        <v>21.566793418076383</v>
      </c>
      <c r="AA46" s="17">
        <f>IF(Inputs!$I$129="Yes",$I$45*AA35, "N/A")</f>
        <v>21.566793418076383</v>
      </c>
      <c r="AB46" s="17">
        <f>IF(Inputs!$I$129="Yes",$I$45*AB35, "N/A")</f>
        <v>21.566793418076383</v>
      </c>
      <c r="AC46" s="17">
        <f>IF(Inputs!$I$129="Yes",$I$45*AC35, "N/A")</f>
        <v>21.566793418076383</v>
      </c>
      <c r="AD46" s="17">
        <f>IF(Inputs!$I$129="Yes",$I$45*AD35, "N/A")</f>
        <v>21.566793418076383</v>
      </c>
      <c r="AE46" s="17">
        <f>IF(Inputs!$I$129="Yes",$I$45*AE35, "N/A")</f>
        <v>21.566793418076383</v>
      </c>
      <c r="AF46" s="17">
        <f>IF(Inputs!$I$129="Yes",$I$45*AF35, "N/A")</f>
        <v>21.566793418076383</v>
      </c>
      <c r="AG46" s="17">
        <f>IF(Inputs!$I$129="Yes",$I$45*AG35, "N/A")</f>
        <v>21.566793418076383</v>
      </c>
      <c r="AH46" s="17">
        <f>IF(Inputs!$I$129="Yes",$I$45*AH35, "N/A")</f>
        <v>21.566793418076383</v>
      </c>
      <c r="AI46" s="17">
        <f>IF(Inputs!$I$129="Yes",$I$45*AI35, "N/A")</f>
        <v>21.566793418076383</v>
      </c>
      <c r="AJ46" s="17">
        <f>IF(Inputs!$I$129="Yes",$I$45*AJ35, "N/A")</f>
        <v>0</v>
      </c>
      <c r="AK46" s="17">
        <f>IF(Inputs!$I$129="Yes",$I$45*AK35, "N/A")</f>
        <v>0</v>
      </c>
      <c r="AL46" s="17">
        <f>IF(Inputs!$I$129="Yes",$I$45*AL35, "N/A")</f>
        <v>0</v>
      </c>
      <c r="AM46" s="17">
        <f>IF(Inputs!$I$129="Yes",$I$45*AM35, "N/A")</f>
        <v>0</v>
      </c>
      <c r="AN46" s="17">
        <f>IF(Inputs!$I$129="Yes",$I$45*AN35, "N/A")</f>
        <v>0</v>
      </c>
      <c r="AO46" s="17">
        <f>IF(Inputs!$I$129="Yes",$I$45*AO35, "N/A")</f>
        <v>0</v>
      </c>
      <c r="AP46" s="17">
        <f>IF(Inputs!$I$129="Yes",$I$45*AP35, "N/A")</f>
        <v>0</v>
      </c>
      <c r="AQ46" s="17">
        <f>IF(Inputs!$I$129="Yes",$I$45*AQ35, "N/A")</f>
        <v>0</v>
      </c>
      <c r="AR46" s="17">
        <f>IF(Inputs!$I$129="Yes",$I$45*AR35, "N/A")</f>
        <v>0</v>
      </c>
      <c r="AS46" s="17">
        <f>IF(Inputs!$I$129="Yes",$I$45*AS35, "N/A")</f>
        <v>0</v>
      </c>
      <c r="AT46" s="17">
        <f>IF(Inputs!$I$129="Yes",$I$45*AT35, "N/A")</f>
        <v>0</v>
      </c>
      <c r="AU46" s="17">
        <f>IF(Inputs!$I$129="Yes",$I$45*AU35, "N/A")</f>
        <v>0</v>
      </c>
      <c r="AV46" s="17">
        <f>IF(Inputs!$I$129="Yes",$I$45*AV35, "N/A")</f>
        <v>0</v>
      </c>
      <c r="AW46" s="17">
        <f>IF(Inputs!$I$129="Yes",$I$45*AW35, "N/A")</f>
        <v>0</v>
      </c>
      <c r="AX46" s="17">
        <f>IF(Inputs!$I$129="Yes",$I$45*AX35, "N/A")</f>
        <v>0</v>
      </c>
    </row>
    <row r="47" spans="1:50" ht="15" customHeight="1">
      <c r="B47" s="1"/>
      <c r="C47" s="1"/>
      <c r="D47" s="1"/>
      <c r="G47" s="1"/>
      <c r="I47" s="78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</row>
    <row r="48" spans="1:50" ht="15" customHeight="1">
      <c r="B48" s="1"/>
      <c r="C48" s="56" t="s">
        <v>398</v>
      </c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</row>
    <row r="49" spans="2:50" ht="15" customHeight="1">
      <c r="B49" s="1"/>
      <c r="C49" s="1"/>
      <c r="D49" s="1"/>
      <c r="G49" s="1"/>
      <c r="I49" s="78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</row>
    <row r="50" spans="2:50" ht="15" customHeight="1">
      <c r="B50" s="1"/>
      <c r="C50" s="1"/>
      <c r="D50" s="1"/>
      <c r="E50" s="1" t="s">
        <v>399</v>
      </c>
      <c r="G50" s="1" t="str">
        <f>Inputs!$I$6</f>
        <v>£m 2024 prices</v>
      </c>
      <c r="I50" s="78"/>
      <c r="K50" s="1">
        <f>K25*K36</f>
        <v>33.034949709975173</v>
      </c>
      <c r="L50" s="1">
        <f t="shared" ref="L50:AX50" si="21">L25*L36</f>
        <v>30.168322066129953</v>
      </c>
      <c r="M50" s="1">
        <f t="shared" si="21"/>
        <v>27.53895105054071</v>
      </c>
      <c r="N50" s="1">
        <f t="shared" si="21"/>
        <v>25.127814897553481</v>
      </c>
      <c r="O50" s="1">
        <f t="shared" si="21"/>
        <v>22.917382419054515</v>
      </c>
      <c r="P50" s="1">
        <f t="shared" si="21"/>
        <v>20.891498195384298</v>
      </c>
      <c r="Q50" s="1">
        <f t="shared" si="21"/>
        <v>19.035276491073809</v>
      </c>
      <c r="R50" s="1">
        <f t="shared" si="21"/>
        <v>17.341844287049231</v>
      </c>
      <c r="S50" s="1">
        <f t="shared" si="21"/>
        <v>15.805313723861463</v>
      </c>
      <c r="T50" s="1">
        <f t="shared" si="21"/>
        <v>14.388156878950513</v>
      </c>
      <c r="U50" s="1">
        <f t="shared" si="21"/>
        <v>13.087903861513302</v>
      </c>
      <c r="V50" s="1">
        <f t="shared" si="21"/>
        <v>11.905008365744477</v>
      </c>
      <c r="W50" s="1">
        <f t="shared" si="21"/>
        <v>10.835216079805106</v>
      </c>
      <c r="X50" s="1">
        <f t="shared" si="21"/>
        <v>9.8629215608493617</v>
      </c>
      <c r="Y50" s="1">
        <f t="shared" si="21"/>
        <v>8.9493292799975475</v>
      </c>
      <c r="Z50" s="1">
        <f t="shared" si="21"/>
        <v>8.1218366182272099</v>
      </c>
      <c r="AA50" s="1">
        <f t="shared" si="21"/>
        <v>7.3876724456137959</v>
      </c>
      <c r="AB50" s="1">
        <f t="shared" si="21"/>
        <v>6.6878038830833271</v>
      </c>
      <c r="AC50" s="1">
        <f t="shared" si="21"/>
        <v>6.0493417464810735</v>
      </c>
      <c r="AD50" s="1">
        <f t="shared" si="21"/>
        <v>5.4674602855865828</v>
      </c>
      <c r="AE50" s="1">
        <f t="shared" si="21"/>
        <v>4.9406881750753557</v>
      </c>
      <c r="AF50" s="1">
        <f t="shared" si="21"/>
        <v>4.4774664948589544</v>
      </c>
      <c r="AG50" s="1">
        <f t="shared" si="21"/>
        <v>4.0637485514766869</v>
      </c>
      <c r="AH50" s="1">
        <f t="shared" si="21"/>
        <v>3.6630380359374346</v>
      </c>
      <c r="AI50" s="1">
        <f t="shared" si="21"/>
        <v>15.281748495984392</v>
      </c>
      <c r="AJ50" s="1">
        <f t="shared" si="21"/>
        <v>0</v>
      </c>
      <c r="AK50" s="1">
        <f t="shared" si="21"/>
        <v>0</v>
      </c>
      <c r="AL50" s="1">
        <f t="shared" si="21"/>
        <v>0</v>
      </c>
      <c r="AM50" s="1">
        <f t="shared" si="21"/>
        <v>0</v>
      </c>
      <c r="AN50" s="1">
        <f t="shared" si="21"/>
        <v>0</v>
      </c>
      <c r="AO50" s="1">
        <f t="shared" si="21"/>
        <v>0</v>
      </c>
      <c r="AP50" s="1">
        <f t="shared" si="21"/>
        <v>0</v>
      </c>
      <c r="AQ50" s="1">
        <f t="shared" si="21"/>
        <v>0</v>
      </c>
      <c r="AR50" s="1">
        <f t="shared" si="21"/>
        <v>0</v>
      </c>
      <c r="AS50" s="1">
        <f t="shared" si="21"/>
        <v>0</v>
      </c>
      <c r="AT50" s="1">
        <f t="shared" si="21"/>
        <v>0</v>
      </c>
      <c r="AU50" s="1">
        <f t="shared" si="21"/>
        <v>0</v>
      </c>
      <c r="AV50" s="1">
        <f t="shared" si="21"/>
        <v>0</v>
      </c>
      <c r="AW50" s="1">
        <f t="shared" si="21"/>
        <v>0</v>
      </c>
      <c r="AX50" s="1">
        <f t="shared" si="21"/>
        <v>0</v>
      </c>
    </row>
    <row r="51" spans="2:50" ht="15" customHeight="1">
      <c r="B51" s="1"/>
      <c r="C51" s="1"/>
      <c r="D51" s="1"/>
      <c r="E51" s="11" t="s">
        <v>400</v>
      </c>
      <c r="G51" s="1" t="str">
        <f>Inputs!$I$6</f>
        <v>£m 2024 prices</v>
      </c>
      <c r="I51" s="167">
        <f>SUM(K50:AX50)</f>
        <v>347.03069359980782</v>
      </c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</row>
    <row r="52" spans="2:50" ht="15" customHeight="1">
      <c r="B52" s="1"/>
      <c r="C52" s="1"/>
      <c r="D52" s="1"/>
      <c r="I52" s="78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</row>
    <row r="53" spans="2:50" ht="15" customHeight="1">
      <c r="B53" s="1"/>
      <c r="C53" s="1"/>
      <c r="D53" s="1"/>
      <c r="E53" s="64" t="s">
        <v>401</v>
      </c>
      <c r="G53" s="64" t="str">
        <f>G$33</f>
        <v>scalar</v>
      </c>
      <c r="I53" s="78">
        <f>I$33</f>
        <v>8.8220436579675723E-2</v>
      </c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</row>
    <row r="54" spans="2:50" ht="15" customHeight="1">
      <c r="B54" s="1"/>
      <c r="C54" s="1"/>
      <c r="D54" s="1"/>
      <c r="I54" s="78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</row>
    <row r="55" spans="2:50" ht="15" customHeight="1">
      <c r="B55" s="1"/>
      <c r="C55" s="1"/>
      <c r="D55" s="1"/>
      <c r="E55" s="11" t="s">
        <v>402</v>
      </c>
      <c r="G55" s="1" t="str">
        <f>Inputs!$I$6</f>
        <v>£m 2024 prices</v>
      </c>
      <c r="I55" s="168">
        <f>I51 * I53</f>
        <v>30.615199295922725</v>
      </c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</row>
    <row r="56" spans="2:50" ht="15" customHeight="1">
      <c r="B56" s="1"/>
      <c r="C56" s="1"/>
      <c r="D56" s="1"/>
      <c r="E56" s="1" t="s">
        <v>403</v>
      </c>
      <c r="G56" s="1" t="str">
        <f>Inputs!$I$6</f>
        <v>£m 2024 prices</v>
      </c>
      <c r="I56" s="78"/>
      <c r="K56" s="17">
        <f>$I$55*K35</f>
        <v>30.615199295922725</v>
      </c>
      <c r="L56" s="17">
        <f t="shared" ref="L56:AX56" si="22">$I$55*L35</f>
        <v>30.615199295922725</v>
      </c>
      <c r="M56" s="17">
        <f t="shared" si="22"/>
        <v>30.615199295922725</v>
      </c>
      <c r="N56" s="17">
        <f t="shared" si="22"/>
        <v>30.615199295922725</v>
      </c>
      <c r="O56" s="17">
        <f t="shared" si="22"/>
        <v>30.615199295922725</v>
      </c>
      <c r="P56" s="17">
        <f t="shared" si="22"/>
        <v>30.615199295922725</v>
      </c>
      <c r="Q56" s="17">
        <f t="shared" si="22"/>
        <v>30.615199295922725</v>
      </c>
      <c r="R56" s="17">
        <f t="shared" si="22"/>
        <v>30.615199295922725</v>
      </c>
      <c r="S56" s="17">
        <f t="shared" si="22"/>
        <v>30.615199295922725</v>
      </c>
      <c r="T56" s="17">
        <f t="shared" si="22"/>
        <v>30.615199295922725</v>
      </c>
      <c r="U56" s="17">
        <f t="shared" si="22"/>
        <v>30.615199295922725</v>
      </c>
      <c r="V56" s="17">
        <f t="shared" si="22"/>
        <v>30.615199295922725</v>
      </c>
      <c r="W56" s="17">
        <f t="shared" si="22"/>
        <v>30.615199295922725</v>
      </c>
      <c r="X56" s="17">
        <f t="shared" si="22"/>
        <v>30.615199295922725</v>
      </c>
      <c r="Y56" s="17">
        <f t="shared" si="22"/>
        <v>30.615199295922725</v>
      </c>
      <c r="Z56" s="17">
        <f t="shared" si="22"/>
        <v>30.615199295922725</v>
      </c>
      <c r="AA56" s="17">
        <f t="shared" si="22"/>
        <v>30.615199295922725</v>
      </c>
      <c r="AB56" s="17">
        <f t="shared" si="22"/>
        <v>30.615199295922725</v>
      </c>
      <c r="AC56" s="17">
        <f t="shared" si="22"/>
        <v>30.615199295922725</v>
      </c>
      <c r="AD56" s="17">
        <f t="shared" si="22"/>
        <v>30.615199295922725</v>
      </c>
      <c r="AE56" s="17">
        <f t="shared" si="22"/>
        <v>30.615199295922725</v>
      </c>
      <c r="AF56" s="17">
        <f t="shared" si="22"/>
        <v>30.615199295922725</v>
      </c>
      <c r="AG56" s="17">
        <f t="shared" si="22"/>
        <v>30.615199295922725</v>
      </c>
      <c r="AH56" s="17">
        <f t="shared" si="22"/>
        <v>30.615199295922725</v>
      </c>
      <c r="AI56" s="17">
        <f t="shared" si="22"/>
        <v>30.615199295922725</v>
      </c>
      <c r="AJ56" s="17">
        <f t="shared" si="22"/>
        <v>0</v>
      </c>
      <c r="AK56" s="17">
        <f t="shared" si="22"/>
        <v>0</v>
      </c>
      <c r="AL56" s="17">
        <f t="shared" si="22"/>
        <v>0</v>
      </c>
      <c r="AM56" s="17">
        <f t="shared" si="22"/>
        <v>0</v>
      </c>
      <c r="AN56" s="17">
        <f t="shared" si="22"/>
        <v>0</v>
      </c>
      <c r="AO56" s="17">
        <f t="shared" si="22"/>
        <v>0</v>
      </c>
      <c r="AP56" s="17">
        <f t="shared" si="22"/>
        <v>0</v>
      </c>
      <c r="AQ56" s="17">
        <f t="shared" si="22"/>
        <v>0</v>
      </c>
      <c r="AR56" s="17">
        <f t="shared" si="22"/>
        <v>0</v>
      </c>
      <c r="AS56" s="17">
        <f t="shared" si="22"/>
        <v>0</v>
      </c>
      <c r="AT56" s="17">
        <f t="shared" si="22"/>
        <v>0</v>
      </c>
      <c r="AU56" s="17">
        <f t="shared" si="22"/>
        <v>0</v>
      </c>
      <c r="AV56" s="17">
        <f t="shared" si="22"/>
        <v>0</v>
      </c>
      <c r="AW56" s="17">
        <f t="shared" si="22"/>
        <v>0</v>
      </c>
      <c r="AX56" s="17">
        <f t="shared" si="22"/>
        <v>0</v>
      </c>
    </row>
    <row r="57" spans="2:50" ht="15" customHeight="1">
      <c r="B57" s="1"/>
      <c r="C57" s="1"/>
      <c r="D57" s="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</row>
    <row r="58" spans="2:50" ht="15" customHeight="1">
      <c r="B58" s="1"/>
      <c r="C58" s="56" t="s">
        <v>404</v>
      </c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</row>
    <row r="59" spans="2:50" ht="15" customHeight="1">
      <c r="B59" s="1"/>
      <c r="C59" s="1"/>
      <c r="D59" s="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</row>
    <row r="60" spans="2:50" ht="15" customHeight="1">
      <c r="B60" s="1"/>
      <c r="C60" s="1"/>
      <c r="D60" s="1"/>
      <c r="E60" s="1" t="s">
        <v>405</v>
      </c>
      <c r="G60" s="1" t="str">
        <f>Inputs!$I$6</f>
        <v>£m 2024 prices</v>
      </c>
      <c r="I60" s="168">
        <f>IF(Inputs!$I$129="Yes",I45+I55,I55)</f>
        <v>52.181992713999108</v>
      </c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</row>
    <row r="61" spans="2:50" ht="15" customHeight="1">
      <c r="B61" s="1"/>
      <c r="C61" s="1"/>
      <c r="D61" s="1"/>
      <c r="E61" s="1" t="s">
        <v>406</v>
      </c>
      <c r="G61" s="1" t="str">
        <f>Inputs!$I$6</f>
        <v>£m 2024 prices</v>
      </c>
      <c r="I61" s="140"/>
      <c r="J61" s="140"/>
      <c r="K61" s="17">
        <f>$I$60*K35</f>
        <v>52.181992713999108</v>
      </c>
      <c r="L61" s="17">
        <f t="shared" ref="L61:AX61" si="23">$I$60*L35</f>
        <v>52.181992713999108</v>
      </c>
      <c r="M61" s="17">
        <f t="shared" si="23"/>
        <v>52.181992713999108</v>
      </c>
      <c r="N61" s="17">
        <f t="shared" si="23"/>
        <v>52.181992713999108</v>
      </c>
      <c r="O61" s="17">
        <f t="shared" si="23"/>
        <v>52.181992713999108</v>
      </c>
      <c r="P61" s="17">
        <f t="shared" si="23"/>
        <v>52.181992713999108</v>
      </c>
      <c r="Q61" s="17">
        <f t="shared" si="23"/>
        <v>52.181992713999108</v>
      </c>
      <c r="R61" s="17">
        <f t="shared" si="23"/>
        <v>52.181992713999108</v>
      </c>
      <c r="S61" s="17">
        <f t="shared" si="23"/>
        <v>52.181992713999108</v>
      </c>
      <c r="T61" s="17">
        <f t="shared" si="23"/>
        <v>52.181992713999108</v>
      </c>
      <c r="U61" s="17">
        <f t="shared" si="23"/>
        <v>52.181992713999108</v>
      </c>
      <c r="V61" s="17">
        <f t="shared" si="23"/>
        <v>52.181992713999108</v>
      </c>
      <c r="W61" s="17">
        <f t="shared" si="23"/>
        <v>52.181992713999108</v>
      </c>
      <c r="X61" s="17">
        <f t="shared" si="23"/>
        <v>52.181992713999108</v>
      </c>
      <c r="Y61" s="17">
        <f t="shared" si="23"/>
        <v>52.181992713999108</v>
      </c>
      <c r="Z61" s="17">
        <f t="shared" si="23"/>
        <v>52.181992713999108</v>
      </c>
      <c r="AA61" s="17">
        <f t="shared" si="23"/>
        <v>52.181992713999108</v>
      </c>
      <c r="AB61" s="17">
        <f t="shared" si="23"/>
        <v>52.181992713999108</v>
      </c>
      <c r="AC61" s="17">
        <f t="shared" si="23"/>
        <v>52.181992713999108</v>
      </c>
      <c r="AD61" s="17">
        <f t="shared" si="23"/>
        <v>52.181992713999108</v>
      </c>
      <c r="AE61" s="17">
        <f t="shared" si="23"/>
        <v>52.181992713999108</v>
      </c>
      <c r="AF61" s="17">
        <f t="shared" si="23"/>
        <v>52.181992713999108</v>
      </c>
      <c r="AG61" s="17">
        <f t="shared" si="23"/>
        <v>52.181992713999108</v>
      </c>
      <c r="AH61" s="17">
        <f t="shared" si="23"/>
        <v>52.181992713999108</v>
      </c>
      <c r="AI61" s="17">
        <f t="shared" si="23"/>
        <v>52.181992713999108</v>
      </c>
      <c r="AJ61" s="17">
        <f t="shared" si="23"/>
        <v>0</v>
      </c>
      <c r="AK61" s="17">
        <f t="shared" si="23"/>
        <v>0</v>
      </c>
      <c r="AL61" s="17">
        <f t="shared" si="23"/>
        <v>0</v>
      </c>
      <c r="AM61" s="17">
        <f t="shared" si="23"/>
        <v>0</v>
      </c>
      <c r="AN61" s="17">
        <f t="shared" si="23"/>
        <v>0</v>
      </c>
      <c r="AO61" s="17">
        <f t="shared" si="23"/>
        <v>0</v>
      </c>
      <c r="AP61" s="17">
        <f t="shared" si="23"/>
        <v>0</v>
      </c>
      <c r="AQ61" s="17">
        <f t="shared" si="23"/>
        <v>0</v>
      </c>
      <c r="AR61" s="17">
        <f t="shared" si="23"/>
        <v>0</v>
      </c>
      <c r="AS61" s="17">
        <f t="shared" si="23"/>
        <v>0</v>
      </c>
      <c r="AT61" s="17">
        <f t="shared" si="23"/>
        <v>0</v>
      </c>
      <c r="AU61" s="17">
        <f t="shared" si="23"/>
        <v>0</v>
      </c>
      <c r="AV61" s="17">
        <f t="shared" si="23"/>
        <v>0</v>
      </c>
      <c r="AW61" s="17">
        <f t="shared" si="23"/>
        <v>0</v>
      </c>
      <c r="AX61" s="17">
        <f t="shared" si="23"/>
        <v>0</v>
      </c>
    </row>
    <row r="62" spans="2:50" ht="15" customHeight="1">
      <c r="B62" s="1"/>
      <c r="C62" s="1"/>
      <c r="D62" s="1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  <c r="AA62" s="140"/>
      <c r="AB62" s="140"/>
      <c r="AC62" s="140"/>
      <c r="AD62" s="140"/>
      <c r="AE62" s="140"/>
      <c r="AF62" s="140"/>
      <c r="AG62" s="140"/>
      <c r="AH62" s="140"/>
      <c r="AI62" s="140"/>
      <c r="AJ62" s="140"/>
      <c r="AK62" s="140"/>
      <c r="AL62" s="140"/>
      <c r="AM62" s="140"/>
      <c r="AN62" s="140"/>
      <c r="AO62" s="140"/>
      <c r="AP62" s="140"/>
      <c r="AQ62" s="140"/>
      <c r="AR62" s="140"/>
      <c r="AS62" s="140"/>
      <c r="AT62" s="140"/>
      <c r="AU62" s="140"/>
      <c r="AV62" s="140"/>
      <c r="AW62" s="140"/>
      <c r="AX62" s="140"/>
    </row>
    <row r="63" spans="2:50" ht="15" customHeight="1">
      <c r="B63" s="12" t="s">
        <v>49</v>
      </c>
      <c r="C63" s="50"/>
      <c r="D63" s="50"/>
      <c r="E63" s="50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</row>
    <row r="64" spans="2:50" ht="15" customHeight="1"/>
    <row r="65" ht="15" hidden="1" customHeight="1"/>
    <row r="66" ht="15" hidden="1" customHeight="1"/>
    <row r="67" ht="15" hidden="1" customHeight="1"/>
  </sheetData>
  <phoneticPr fontId="65" type="noConversion"/>
  <conditionalFormatting sqref="K35:AX35">
    <cfRule type="cellIs" dxfId="8" priority="4" stopIfTrue="1" operator="equal">
      <formula>FALSE()</formula>
    </cfRule>
  </conditionalFormatting>
  <pageMargins left="0.23622047244094502" right="0.23622047244094502" top="0.74803149606299213" bottom="0.74803149606299213" header="0.31496062992126012" footer="0.31496062992126012"/>
  <pageSetup paperSize="0" fitToHeight="0" orientation="landscape" horizontalDpi="0" verticalDpi="0" copie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CC0DA"/>
    <pageSetUpPr fitToPage="1"/>
  </sheetPr>
  <dimension ref="A1:BF165"/>
  <sheetViews>
    <sheetView topLeftCell="A3" zoomScale="110" zoomScaleNormal="110" workbookViewId="0">
      <selection activeCell="L48" sqref="L48"/>
    </sheetView>
  </sheetViews>
  <sheetFormatPr defaultColWidth="9.140625" defaultRowHeight="0" customHeight="1" zeroHeight="1"/>
  <cols>
    <col min="1" max="4" width="2.5703125" style="93" customWidth="1"/>
    <col min="5" max="5" width="2.5703125" style="11" customWidth="1"/>
    <col min="6" max="6" width="62.140625" style="11" customWidth="1"/>
    <col min="7" max="7" width="1.5703125" style="11" customWidth="1"/>
    <col min="8" max="8" width="15.5703125" style="11" customWidth="1"/>
    <col min="9" max="9" width="10.7109375" style="11" bestFit="1" customWidth="1"/>
    <col min="10" max="10" width="10.5703125" style="11" customWidth="1"/>
    <col min="11" max="11" width="1.5703125" style="11" customWidth="1"/>
    <col min="12" max="36" width="10.5703125" style="11" customWidth="1"/>
    <col min="37" max="50" width="10.5703125" customWidth="1"/>
    <col min="51" max="51" width="9.140625" customWidth="1"/>
    <col min="52" max="52" width="9.140625" style="195" customWidth="1"/>
    <col min="53" max="58" width="9.140625" style="195"/>
  </cols>
  <sheetData>
    <row r="1" spans="1:58" ht="15" customHeight="1">
      <c r="A1" s="45" t="s">
        <v>34</v>
      </c>
      <c r="B1" s="45"/>
      <c r="C1" s="46"/>
      <c r="D1" s="46"/>
      <c r="E1" s="46"/>
      <c r="F1" s="46"/>
      <c r="G1" s="46"/>
      <c r="H1" s="46"/>
      <c r="I1" s="46" t="s">
        <v>64</v>
      </c>
      <c r="J1" s="46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203"/>
      <c r="BA1" s="203"/>
      <c r="BB1" s="203"/>
      <c r="BC1" s="203"/>
      <c r="BD1" s="203"/>
      <c r="BE1" s="203"/>
      <c r="BF1" s="203"/>
    </row>
    <row r="2" spans="1:58" ht="15" customHeight="1">
      <c r="A2" s="46"/>
      <c r="B2" s="46"/>
      <c r="C2" s="46"/>
      <c r="D2" s="46"/>
      <c r="E2" s="46"/>
      <c r="F2" s="48" t="s">
        <v>65</v>
      </c>
      <c r="G2" s="48"/>
      <c r="H2" s="48" t="s">
        <v>66</v>
      </c>
      <c r="I2" s="48" t="s">
        <v>67</v>
      </c>
      <c r="J2" s="49" t="s">
        <v>68</v>
      </c>
      <c r="K2" s="46"/>
      <c r="L2" s="48" t="s">
        <v>69</v>
      </c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203"/>
      <c r="BA2" s="203"/>
      <c r="BB2" s="203"/>
      <c r="BC2" s="203"/>
      <c r="BD2" s="203"/>
      <c r="BE2" s="203"/>
      <c r="BF2" s="203"/>
    </row>
    <row r="3" spans="1:58" ht="15" customHeight="1">
      <c r="A3" s="46"/>
      <c r="B3" s="46"/>
      <c r="C3" s="46"/>
      <c r="D3" s="46"/>
      <c r="E3" s="46"/>
      <c r="F3" s="46" t="s">
        <v>358</v>
      </c>
      <c r="G3" s="48"/>
      <c r="H3" s="48"/>
      <c r="I3" s="48"/>
      <c r="J3" s="49"/>
      <c r="K3" s="46"/>
      <c r="L3" s="76" t="s">
        <v>91</v>
      </c>
      <c r="M3" s="76" t="s">
        <v>92</v>
      </c>
      <c r="N3" s="76" t="s">
        <v>93</v>
      </c>
      <c r="O3" s="76" t="s">
        <v>94</v>
      </c>
      <c r="P3" s="76" t="s">
        <v>95</v>
      </c>
      <c r="Q3" s="76" t="s">
        <v>96</v>
      </c>
      <c r="R3" s="76" t="s">
        <v>97</v>
      </c>
      <c r="S3" s="76" t="s">
        <v>98</v>
      </c>
      <c r="T3" s="76" t="s">
        <v>99</v>
      </c>
      <c r="U3" s="76" t="s">
        <v>100</v>
      </c>
      <c r="V3" s="76" t="s">
        <v>101</v>
      </c>
      <c r="W3" s="76" t="s">
        <v>102</v>
      </c>
      <c r="X3" s="76" t="s">
        <v>103</v>
      </c>
      <c r="Y3" s="76" t="s">
        <v>104</v>
      </c>
      <c r="Z3" s="76" t="s">
        <v>105</v>
      </c>
      <c r="AA3" s="76" t="s">
        <v>106</v>
      </c>
      <c r="AB3" s="76" t="s">
        <v>107</v>
      </c>
      <c r="AC3" s="76" t="s">
        <v>108</v>
      </c>
      <c r="AD3" s="76" t="s">
        <v>109</v>
      </c>
      <c r="AE3" s="76" t="s">
        <v>110</v>
      </c>
      <c r="AF3" s="76" t="s">
        <v>111</v>
      </c>
      <c r="AG3" s="76" t="s">
        <v>112</v>
      </c>
      <c r="AH3" s="76" t="s">
        <v>113</v>
      </c>
      <c r="AI3" s="76" t="s">
        <v>114</v>
      </c>
      <c r="AJ3" s="76" t="s">
        <v>115</v>
      </c>
      <c r="AK3" s="76" t="s">
        <v>116</v>
      </c>
      <c r="AL3" s="76" t="s">
        <v>117</v>
      </c>
      <c r="AM3" s="76" t="s">
        <v>118</v>
      </c>
      <c r="AN3" s="76" t="s">
        <v>119</v>
      </c>
      <c r="AO3" s="76" t="s">
        <v>120</v>
      </c>
      <c r="AP3" s="76" t="s">
        <v>121</v>
      </c>
      <c r="AQ3" s="76" t="s">
        <v>122</v>
      </c>
      <c r="AR3" s="76" t="s">
        <v>123</v>
      </c>
      <c r="AS3" s="76" t="s">
        <v>124</v>
      </c>
      <c r="AT3" s="76" t="s">
        <v>125</v>
      </c>
      <c r="AU3" s="76" t="s">
        <v>126</v>
      </c>
      <c r="AV3" s="76" t="s">
        <v>127</v>
      </c>
      <c r="AW3" s="76" t="s">
        <v>128</v>
      </c>
      <c r="AX3" s="76" t="s">
        <v>129</v>
      </c>
      <c r="AY3" s="76" t="s">
        <v>130</v>
      </c>
      <c r="AZ3" s="202"/>
      <c r="BA3" s="202"/>
      <c r="BB3" s="202"/>
      <c r="BC3" s="202"/>
      <c r="BD3" s="202"/>
      <c r="BE3" s="202"/>
      <c r="BF3" s="202"/>
    </row>
    <row r="4" spans="1:58" ht="15" customHeight="1">
      <c r="A4" s="46"/>
      <c r="B4" s="46"/>
      <c r="C4" s="46"/>
      <c r="D4" s="46"/>
      <c r="E4" s="46"/>
      <c r="F4" s="58" t="s">
        <v>168</v>
      </c>
      <c r="G4" s="48"/>
      <c r="H4" s="48"/>
      <c r="I4" s="48"/>
      <c r="J4" s="48"/>
      <c r="K4" s="46"/>
      <c r="L4" s="163">
        <v>1</v>
      </c>
      <c r="M4" s="163">
        <f t="shared" ref="M4:AJ4" si="0">+L4+1</f>
        <v>2</v>
      </c>
      <c r="N4" s="163">
        <f t="shared" si="0"/>
        <v>3</v>
      </c>
      <c r="O4" s="163">
        <f t="shared" si="0"/>
        <v>4</v>
      </c>
      <c r="P4" s="163">
        <f t="shared" si="0"/>
        <v>5</v>
      </c>
      <c r="Q4" s="163">
        <f t="shared" si="0"/>
        <v>6</v>
      </c>
      <c r="R4" s="163">
        <f t="shared" si="0"/>
        <v>7</v>
      </c>
      <c r="S4" s="163">
        <f t="shared" si="0"/>
        <v>8</v>
      </c>
      <c r="T4" s="163">
        <f t="shared" si="0"/>
        <v>9</v>
      </c>
      <c r="U4" s="163">
        <f t="shared" si="0"/>
        <v>10</v>
      </c>
      <c r="V4" s="163">
        <f t="shared" si="0"/>
        <v>11</v>
      </c>
      <c r="W4" s="163">
        <f t="shared" si="0"/>
        <v>12</v>
      </c>
      <c r="X4" s="163">
        <f t="shared" si="0"/>
        <v>13</v>
      </c>
      <c r="Y4" s="163">
        <f t="shared" si="0"/>
        <v>14</v>
      </c>
      <c r="Z4" s="163">
        <f t="shared" si="0"/>
        <v>15</v>
      </c>
      <c r="AA4" s="163">
        <f t="shared" si="0"/>
        <v>16</v>
      </c>
      <c r="AB4" s="163">
        <f t="shared" si="0"/>
        <v>17</v>
      </c>
      <c r="AC4" s="163">
        <f t="shared" si="0"/>
        <v>18</v>
      </c>
      <c r="AD4" s="163">
        <f t="shared" si="0"/>
        <v>19</v>
      </c>
      <c r="AE4" s="163">
        <f t="shared" si="0"/>
        <v>20</v>
      </c>
      <c r="AF4" s="163">
        <f t="shared" si="0"/>
        <v>21</v>
      </c>
      <c r="AG4" s="163">
        <f t="shared" si="0"/>
        <v>22</v>
      </c>
      <c r="AH4" s="163">
        <f t="shared" si="0"/>
        <v>23</v>
      </c>
      <c r="AI4" s="163">
        <f t="shared" si="0"/>
        <v>24</v>
      </c>
      <c r="AJ4" s="163">
        <f t="shared" si="0"/>
        <v>25</v>
      </c>
      <c r="AK4" s="163">
        <f t="shared" ref="AK4" si="1">+AJ4+1</f>
        <v>26</v>
      </c>
      <c r="AL4" s="163">
        <f t="shared" ref="AL4" si="2">+AK4+1</f>
        <v>27</v>
      </c>
      <c r="AM4" s="163">
        <f t="shared" ref="AM4" si="3">+AL4+1</f>
        <v>28</v>
      </c>
      <c r="AN4" s="163">
        <f t="shared" ref="AN4" si="4">+AM4+1</f>
        <v>29</v>
      </c>
      <c r="AO4" s="163">
        <f t="shared" ref="AO4" si="5">+AN4+1</f>
        <v>30</v>
      </c>
      <c r="AP4" s="163">
        <f t="shared" ref="AP4" si="6">+AO4+1</f>
        <v>31</v>
      </c>
      <c r="AQ4" s="163">
        <f t="shared" ref="AQ4" si="7">+AP4+1</f>
        <v>32</v>
      </c>
      <c r="AR4" s="163">
        <f t="shared" ref="AR4" si="8">+AQ4+1</f>
        <v>33</v>
      </c>
      <c r="AS4" s="163">
        <f t="shared" ref="AS4" si="9">+AR4+1</f>
        <v>34</v>
      </c>
      <c r="AT4" s="163">
        <f t="shared" ref="AT4" si="10">+AS4+1</f>
        <v>35</v>
      </c>
      <c r="AU4" s="163">
        <f t="shared" ref="AU4" si="11">+AT4+1</f>
        <v>36</v>
      </c>
      <c r="AV4" s="163">
        <f t="shared" ref="AV4" si="12">+AU4+1</f>
        <v>37</v>
      </c>
      <c r="AW4" s="163">
        <f t="shared" ref="AW4" si="13">+AV4+1</f>
        <v>38</v>
      </c>
      <c r="AX4" s="163">
        <f t="shared" ref="AX4" si="14">+AW4+1</f>
        <v>39</v>
      </c>
      <c r="AY4" s="163">
        <f t="shared" ref="AY4" si="15">+AX4+1</f>
        <v>40</v>
      </c>
      <c r="AZ4" s="201"/>
      <c r="BA4" s="201"/>
      <c r="BB4" s="201"/>
      <c r="BC4" s="201"/>
      <c r="BD4" s="201"/>
      <c r="BE4" s="201"/>
      <c r="BF4" s="201"/>
    </row>
    <row r="5" spans="1:58" ht="15" customHeight="1"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/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140"/>
      <c r="AV5" s="140"/>
      <c r="AW5" s="140"/>
      <c r="AX5" s="140"/>
      <c r="AY5" s="140"/>
      <c r="AZ5" s="200"/>
      <c r="BA5" s="200"/>
      <c r="BB5" s="200"/>
      <c r="BC5" s="200"/>
      <c r="BD5" s="200"/>
      <c r="BE5" s="200"/>
      <c r="BF5" s="200"/>
    </row>
    <row r="6" spans="1:58" s="189" customFormat="1" ht="15" customHeight="1">
      <c r="A6" s="93"/>
      <c r="B6" s="188" t="s">
        <v>407</v>
      </c>
      <c r="C6" s="193"/>
      <c r="D6" s="193"/>
      <c r="E6" s="192"/>
      <c r="F6" s="192"/>
      <c r="G6" s="192"/>
      <c r="H6" s="192"/>
      <c r="I6" s="192"/>
      <c r="J6" s="191"/>
      <c r="K6" s="191"/>
      <c r="L6" s="191"/>
      <c r="M6" s="191"/>
      <c r="N6" s="191"/>
      <c r="O6" s="191"/>
      <c r="P6" s="191"/>
      <c r="Q6" s="191"/>
      <c r="R6" s="191"/>
      <c r="S6" s="191"/>
      <c r="T6" s="191"/>
      <c r="U6" s="191"/>
      <c r="V6" s="191"/>
      <c r="W6" s="191"/>
      <c r="X6" s="191"/>
      <c r="Y6" s="191"/>
      <c r="Z6" s="191"/>
      <c r="AA6" s="191"/>
      <c r="AB6" s="191"/>
      <c r="AC6" s="191"/>
      <c r="AD6" s="191"/>
      <c r="AE6" s="191"/>
      <c r="AF6" s="191"/>
      <c r="AG6" s="191"/>
      <c r="AH6" s="191"/>
      <c r="AI6" s="191"/>
      <c r="AJ6" s="191"/>
      <c r="AK6" s="191"/>
      <c r="AL6" s="191"/>
      <c r="AM6" s="191"/>
      <c r="AN6" s="191"/>
      <c r="AO6" s="191"/>
      <c r="AP6" s="191"/>
      <c r="AQ6" s="191"/>
      <c r="AR6" s="191"/>
      <c r="AS6" s="191"/>
      <c r="AT6" s="191"/>
      <c r="AU6" s="191"/>
      <c r="AV6" s="191"/>
      <c r="AW6" s="191"/>
      <c r="AX6" s="191"/>
      <c r="AY6" s="191"/>
      <c r="AZ6" s="190"/>
      <c r="BA6" s="190"/>
      <c r="BB6" s="190"/>
      <c r="BC6" s="190"/>
      <c r="BD6" s="190"/>
      <c r="BE6" s="190"/>
      <c r="BF6" s="190"/>
    </row>
    <row r="7" spans="1:58" ht="15" customHeight="1"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200"/>
      <c r="BA7" s="200"/>
      <c r="BB7" s="200"/>
      <c r="BC7" s="200"/>
      <c r="BD7" s="200"/>
      <c r="BE7" s="200"/>
      <c r="BF7" s="200"/>
    </row>
    <row r="8" spans="1:58" ht="15" customHeight="1">
      <c r="A8" s="1"/>
      <c r="B8" s="1"/>
      <c r="C8" s="12" t="s">
        <v>408</v>
      </c>
      <c r="D8" s="50"/>
      <c r="E8" s="50"/>
      <c r="F8" s="50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203"/>
      <c r="BA8" s="203"/>
      <c r="BB8" s="203"/>
      <c r="BC8" s="203"/>
      <c r="BD8" s="203"/>
      <c r="BE8" s="203"/>
      <c r="BF8" s="203"/>
    </row>
    <row r="9" spans="1:58" ht="15" customHeight="1"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200"/>
      <c r="BA9" s="200"/>
      <c r="BB9" s="200"/>
      <c r="BC9" s="200"/>
      <c r="BD9" s="200"/>
      <c r="BE9" s="200"/>
      <c r="BF9" s="200"/>
    </row>
    <row r="10" spans="1:58" ht="15" customHeight="1">
      <c r="B10" s="1"/>
      <c r="C10" s="56" t="s">
        <v>380</v>
      </c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/>
      <c r="BA10"/>
      <c r="BB10"/>
      <c r="BC10"/>
      <c r="BD10"/>
      <c r="BE10"/>
      <c r="BF10"/>
    </row>
    <row r="11" spans="1:58" ht="15" customHeight="1"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200"/>
      <c r="BA11" s="200"/>
      <c r="BB11" s="200"/>
      <c r="BC11" s="200"/>
      <c r="BD11" s="200"/>
      <c r="BE11" s="200"/>
      <c r="BF11" s="200"/>
    </row>
    <row r="12" spans="1:58" ht="15" customHeight="1">
      <c r="A12"/>
      <c r="B12"/>
      <c r="F12" s="1" t="s">
        <v>133</v>
      </c>
      <c r="H12" s="1" t="str">
        <f>Inputs!$I$6</f>
        <v>£m 2024 prices</v>
      </c>
      <c r="J12" s="140"/>
      <c r="K12" s="140"/>
      <c r="L12" s="16">
        <f>Inputs!K37</f>
        <v>8</v>
      </c>
      <c r="M12" s="16">
        <f>Inputs!L37</f>
        <v>8</v>
      </c>
      <c r="N12" s="16">
        <f>Inputs!M37</f>
        <v>8</v>
      </c>
      <c r="O12" s="16">
        <f>Inputs!N37</f>
        <v>8</v>
      </c>
      <c r="P12" s="16">
        <f>Inputs!O37</f>
        <v>8</v>
      </c>
      <c r="Q12" s="16">
        <f>Inputs!P37</f>
        <v>8</v>
      </c>
      <c r="R12" s="16">
        <f>Inputs!Q37</f>
        <v>8</v>
      </c>
      <c r="S12" s="16">
        <f>Inputs!R37</f>
        <v>8</v>
      </c>
      <c r="T12" s="16">
        <f>Inputs!S37</f>
        <v>8</v>
      </c>
      <c r="U12" s="16">
        <f>Inputs!T37</f>
        <v>8</v>
      </c>
      <c r="V12" s="16">
        <f>Inputs!U37</f>
        <v>8</v>
      </c>
      <c r="W12" s="16">
        <f>Inputs!V37</f>
        <v>8</v>
      </c>
      <c r="X12" s="16">
        <f>Inputs!W37</f>
        <v>8</v>
      </c>
      <c r="Y12" s="16">
        <f>Inputs!X37</f>
        <v>8</v>
      </c>
      <c r="Z12" s="16">
        <f>Inputs!Y37</f>
        <v>8</v>
      </c>
      <c r="AA12" s="16">
        <f>Inputs!Z37</f>
        <v>8</v>
      </c>
      <c r="AB12" s="16">
        <f>Inputs!AA37</f>
        <v>8</v>
      </c>
      <c r="AC12" s="16">
        <f>Inputs!AB37</f>
        <v>8</v>
      </c>
      <c r="AD12" s="16">
        <f>Inputs!AC37</f>
        <v>8</v>
      </c>
      <c r="AE12" s="16">
        <f>Inputs!AD37</f>
        <v>8</v>
      </c>
      <c r="AF12" s="16">
        <f>Inputs!AE37</f>
        <v>8</v>
      </c>
      <c r="AG12" s="16">
        <f>Inputs!AF37</f>
        <v>8</v>
      </c>
      <c r="AH12" s="16">
        <f>Inputs!AG37</f>
        <v>8</v>
      </c>
      <c r="AI12" s="16">
        <f>Inputs!AH37</f>
        <v>8</v>
      </c>
      <c r="AJ12" s="16">
        <f>Inputs!AI37</f>
        <v>8</v>
      </c>
      <c r="AK12" s="16">
        <f>Inputs!AJ37</f>
        <v>0</v>
      </c>
      <c r="AL12" s="16">
        <f>Inputs!AK37</f>
        <v>0</v>
      </c>
      <c r="AM12" s="16">
        <f>Inputs!AL37</f>
        <v>0</v>
      </c>
      <c r="AN12" s="16">
        <f>Inputs!AM37</f>
        <v>0</v>
      </c>
      <c r="AO12" s="16">
        <f>Inputs!AN37</f>
        <v>0</v>
      </c>
      <c r="AP12" s="16">
        <f>Inputs!AO37</f>
        <v>0</v>
      </c>
      <c r="AQ12" s="16">
        <f>Inputs!AP37</f>
        <v>0</v>
      </c>
      <c r="AR12" s="16">
        <f>Inputs!AQ37</f>
        <v>0</v>
      </c>
      <c r="AS12" s="16">
        <f>Inputs!AR37</f>
        <v>0</v>
      </c>
      <c r="AT12" s="16">
        <f>Inputs!AS37</f>
        <v>0</v>
      </c>
      <c r="AU12" s="16">
        <f>Inputs!AT37</f>
        <v>0</v>
      </c>
      <c r="AV12" s="16">
        <f>Inputs!AU37</f>
        <v>0</v>
      </c>
      <c r="AW12" s="16">
        <f>Inputs!AV37</f>
        <v>0</v>
      </c>
      <c r="AX12" s="16">
        <f>Inputs!AW37</f>
        <v>0</v>
      </c>
      <c r="AY12" s="16">
        <f>Inputs!AX37</f>
        <v>0</v>
      </c>
      <c r="AZ12" s="203"/>
      <c r="BA12" s="203"/>
      <c r="BB12" s="203"/>
      <c r="BC12" s="203"/>
      <c r="BD12" s="203"/>
      <c r="BE12" s="203"/>
      <c r="BF12" s="203"/>
    </row>
    <row r="13" spans="1:58" ht="15" customHeight="1">
      <c r="A13"/>
      <c r="B13"/>
      <c r="F13" s="1" t="s">
        <v>381</v>
      </c>
      <c r="H13" s="1" t="str">
        <f>Inputs!$I$6</f>
        <v>£m 2024 prices</v>
      </c>
      <c r="J13" s="140"/>
      <c r="K13" s="140"/>
      <c r="L13" s="16">
        <f>Inputs!K38</f>
        <v>0</v>
      </c>
      <c r="M13" s="16">
        <f>Inputs!L38</f>
        <v>0</v>
      </c>
      <c r="N13" s="16">
        <f>Inputs!M38</f>
        <v>0</v>
      </c>
      <c r="O13" s="16">
        <f>Inputs!N38</f>
        <v>0</v>
      </c>
      <c r="P13" s="16">
        <f>Inputs!O38</f>
        <v>0</v>
      </c>
      <c r="Q13" s="16">
        <f>Inputs!P38</f>
        <v>0</v>
      </c>
      <c r="R13" s="16">
        <f>Inputs!Q38</f>
        <v>0</v>
      </c>
      <c r="S13" s="16">
        <f>Inputs!R38</f>
        <v>0</v>
      </c>
      <c r="T13" s="16">
        <f>Inputs!S38</f>
        <v>0</v>
      </c>
      <c r="U13" s="16">
        <f>Inputs!T38</f>
        <v>0</v>
      </c>
      <c r="V13" s="16">
        <f>Inputs!U38</f>
        <v>0</v>
      </c>
      <c r="W13" s="16">
        <f>Inputs!V38</f>
        <v>0</v>
      </c>
      <c r="X13" s="16">
        <f>Inputs!W38</f>
        <v>0</v>
      </c>
      <c r="Y13" s="16">
        <f>Inputs!X38</f>
        <v>0</v>
      </c>
      <c r="Z13" s="16">
        <f>Inputs!Y38</f>
        <v>0</v>
      </c>
      <c r="AA13" s="16">
        <f>Inputs!Z38</f>
        <v>0</v>
      </c>
      <c r="AB13" s="16">
        <f>Inputs!AA38</f>
        <v>0</v>
      </c>
      <c r="AC13" s="16">
        <f>Inputs!AB38</f>
        <v>0</v>
      </c>
      <c r="AD13" s="16">
        <f>Inputs!AC38</f>
        <v>0</v>
      </c>
      <c r="AE13" s="16">
        <f>Inputs!AD38</f>
        <v>0</v>
      </c>
      <c r="AF13" s="16">
        <f>Inputs!AE38</f>
        <v>0</v>
      </c>
      <c r="AG13" s="16">
        <f>Inputs!AF38</f>
        <v>0</v>
      </c>
      <c r="AH13" s="16">
        <f>Inputs!AG38</f>
        <v>0</v>
      </c>
      <c r="AI13" s="16">
        <f>Inputs!AH38</f>
        <v>0</v>
      </c>
      <c r="AJ13" s="16">
        <f>Inputs!AI38</f>
        <v>0</v>
      </c>
      <c r="AK13" s="16">
        <f>Inputs!AJ38</f>
        <v>0</v>
      </c>
      <c r="AL13" s="16">
        <f>Inputs!AK38</f>
        <v>0</v>
      </c>
      <c r="AM13" s="16">
        <f>Inputs!AL38</f>
        <v>0</v>
      </c>
      <c r="AN13" s="16">
        <f>Inputs!AM38</f>
        <v>0</v>
      </c>
      <c r="AO13" s="16">
        <f>Inputs!AN38</f>
        <v>0</v>
      </c>
      <c r="AP13" s="16">
        <f>Inputs!AO38</f>
        <v>0</v>
      </c>
      <c r="AQ13" s="16">
        <f>Inputs!AP38</f>
        <v>0</v>
      </c>
      <c r="AR13" s="16">
        <f>Inputs!AQ38</f>
        <v>0</v>
      </c>
      <c r="AS13" s="16">
        <f>Inputs!AR38</f>
        <v>0</v>
      </c>
      <c r="AT13" s="16">
        <f>Inputs!AS38</f>
        <v>0</v>
      </c>
      <c r="AU13" s="16">
        <f>Inputs!AT38</f>
        <v>0</v>
      </c>
      <c r="AV13" s="16">
        <f>Inputs!AU38</f>
        <v>0</v>
      </c>
      <c r="AW13" s="16">
        <f>Inputs!AV38</f>
        <v>0</v>
      </c>
      <c r="AX13" s="16">
        <f>Inputs!AW38</f>
        <v>0</v>
      </c>
      <c r="AY13" s="16">
        <f>Inputs!AX38</f>
        <v>0</v>
      </c>
      <c r="AZ13" s="203"/>
      <c r="BA13" s="203"/>
      <c r="BB13" s="203"/>
      <c r="BC13" s="203"/>
      <c r="BD13" s="203"/>
      <c r="BE13" s="203"/>
      <c r="BF13" s="203"/>
    </row>
    <row r="14" spans="1:58" ht="15" customHeight="1">
      <c r="A14"/>
      <c r="B14"/>
      <c r="F14" s="1" t="s">
        <v>132</v>
      </c>
      <c r="H14" s="1" t="str">
        <f>Inputs!$I$6</f>
        <v>£m 2024 prices</v>
      </c>
      <c r="J14" s="140"/>
      <c r="K14" s="140"/>
      <c r="L14" s="16">
        <f>Inputs!K36</f>
        <v>0</v>
      </c>
      <c r="M14" s="16">
        <f>Inputs!L36</f>
        <v>0</v>
      </c>
      <c r="N14" s="16">
        <f>Inputs!M36</f>
        <v>0</v>
      </c>
      <c r="O14" s="16">
        <f>Inputs!N36</f>
        <v>0</v>
      </c>
      <c r="P14" s="16">
        <f>Inputs!O36</f>
        <v>0</v>
      </c>
      <c r="Q14" s="16">
        <f>Inputs!P36</f>
        <v>0</v>
      </c>
      <c r="R14" s="16">
        <f>Inputs!Q36</f>
        <v>0</v>
      </c>
      <c r="S14" s="16">
        <f>Inputs!R36</f>
        <v>0</v>
      </c>
      <c r="T14" s="16">
        <f>Inputs!S36</f>
        <v>0</v>
      </c>
      <c r="U14" s="16">
        <f>Inputs!T36</f>
        <v>0</v>
      </c>
      <c r="V14" s="16">
        <f>Inputs!U36</f>
        <v>0</v>
      </c>
      <c r="W14" s="16">
        <f>Inputs!V36</f>
        <v>0</v>
      </c>
      <c r="X14" s="16">
        <f>Inputs!W36</f>
        <v>0</v>
      </c>
      <c r="Y14" s="16">
        <f>Inputs!X36</f>
        <v>0</v>
      </c>
      <c r="Z14" s="16">
        <f>Inputs!Y36</f>
        <v>0</v>
      </c>
      <c r="AA14" s="16">
        <f>Inputs!Z36</f>
        <v>0</v>
      </c>
      <c r="AB14" s="16">
        <f>Inputs!AA36</f>
        <v>0</v>
      </c>
      <c r="AC14" s="16">
        <f>Inputs!AB36</f>
        <v>0</v>
      </c>
      <c r="AD14" s="16">
        <f>Inputs!AC36</f>
        <v>0</v>
      </c>
      <c r="AE14" s="16">
        <f>Inputs!AD36</f>
        <v>0</v>
      </c>
      <c r="AF14" s="16">
        <f>Inputs!AE36</f>
        <v>0</v>
      </c>
      <c r="AG14" s="16">
        <f>Inputs!AF36</f>
        <v>0</v>
      </c>
      <c r="AH14" s="16">
        <f>Inputs!AG36</f>
        <v>0</v>
      </c>
      <c r="AI14" s="16">
        <f>Inputs!AH36</f>
        <v>0</v>
      </c>
      <c r="AJ14" s="16">
        <f>Inputs!AI36</f>
        <v>69.337011026225994</v>
      </c>
      <c r="AK14" s="16">
        <f>Inputs!AJ36</f>
        <v>0</v>
      </c>
      <c r="AL14" s="16">
        <f>Inputs!AK36</f>
        <v>0</v>
      </c>
      <c r="AM14" s="16">
        <f>Inputs!AL36</f>
        <v>0</v>
      </c>
      <c r="AN14" s="16">
        <f>Inputs!AM36</f>
        <v>0</v>
      </c>
      <c r="AO14" s="16">
        <f>Inputs!AN36</f>
        <v>0</v>
      </c>
      <c r="AP14" s="16">
        <f>Inputs!AO36</f>
        <v>0</v>
      </c>
      <c r="AQ14" s="16">
        <f>Inputs!AP36</f>
        <v>0</v>
      </c>
      <c r="AR14" s="16">
        <f>Inputs!AQ36</f>
        <v>0</v>
      </c>
      <c r="AS14" s="16">
        <f>Inputs!AR36</f>
        <v>0</v>
      </c>
      <c r="AT14" s="16">
        <f>Inputs!AS36</f>
        <v>0</v>
      </c>
      <c r="AU14" s="16">
        <f>Inputs!AT36</f>
        <v>0</v>
      </c>
      <c r="AV14" s="16">
        <f>Inputs!AU36</f>
        <v>0</v>
      </c>
      <c r="AW14" s="16">
        <f>Inputs!AV36</f>
        <v>0</v>
      </c>
      <c r="AX14" s="16">
        <f>Inputs!AW36</f>
        <v>0</v>
      </c>
      <c r="AY14" s="16">
        <f>Inputs!AX36</f>
        <v>0</v>
      </c>
      <c r="AZ14" s="203"/>
      <c r="BA14" s="203"/>
      <c r="BB14" s="203"/>
      <c r="BC14" s="203"/>
      <c r="BD14" s="203"/>
      <c r="BE14" s="203"/>
      <c r="BF14" s="203"/>
    </row>
    <row r="15" spans="1:58" ht="15" customHeight="1">
      <c r="A15"/>
      <c r="B15"/>
      <c r="F15" s="1" t="s">
        <v>371</v>
      </c>
      <c r="H15" s="1" t="str">
        <f>Inputs!$I$6</f>
        <v>£m 2024 prices</v>
      </c>
      <c r="J15" s="140"/>
      <c r="K15" s="140"/>
      <c r="L15" s="16">
        <f>Op_Rav!K26</f>
        <v>20.100949718517288</v>
      </c>
      <c r="M15" s="16">
        <f>Op_Rav!L26</f>
        <v>20.100949718517288</v>
      </c>
      <c r="N15" s="16">
        <f>Op_Rav!M26</f>
        <v>20.100949718517285</v>
      </c>
      <c r="O15" s="16">
        <f>Op_Rav!N26</f>
        <v>20.100949718517288</v>
      </c>
      <c r="P15" s="16">
        <f>Op_Rav!O26</f>
        <v>20.100949718517285</v>
      </c>
      <c r="Q15" s="16">
        <f>Op_Rav!P26</f>
        <v>20.100949718517285</v>
      </c>
      <c r="R15" s="16">
        <f>Op_Rav!Q26</f>
        <v>20.100949718517285</v>
      </c>
      <c r="S15" s="16">
        <f>Op_Rav!R26</f>
        <v>20.100949718517281</v>
      </c>
      <c r="T15" s="16">
        <f>Op_Rav!S26</f>
        <v>20.142500390972614</v>
      </c>
      <c r="U15" s="16">
        <f>Op_Rav!T26</f>
        <v>20.166164637159689</v>
      </c>
      <c r="V15" s="16">
        <f>Op_Rav!U26</f>
        <v>20.179175426351954</v>
      </c>
      <c r="W15" s="16">
        <f>Op_Rav!V26</f>
        <v>20.206489862132106</v>
      </c>
      <c r="X15" s="16">
        <f>Op_Rav!W26</f>
        <v>20.264800528271618</v>
      </c>
      <c r="Y15" s="16">
        <f>Op_Rav!X26</f>
        <v>20.381068200134749</v>
      </c>
      <c r="Z15" s="16">
        <f>Op_Rav!Y26</f>
        <v>20.407537368438668</v>
      </c>
      <c r="AA15" s="16">
        <f>Op_Rav!Z26</f>
        <v>20.436557781890912</v>
      </c>
      <c r="AB15" s="16">
        <f>Op_Rav!AA26</f>
        <v>20.616236399316591</v>
      </c>
      <c r="AC15" s="16">
        <f>Op_Rav!AB26</f>
        <v>20.652511916131896</v>
      </c>
      <c r="AD15" s="16">
        <f>Op_Rav!AC26</f>
        <v>20.694106323466624</v>
      </c>
      <c r="AE15" s="16">
        <f>Op_Rav!AD26</f>
        <v>20.742473679220364</v>
      </c>
      <c r="AF15" s="16">
        <f>Op_Rav!AE26</f>
        <v>20.80989033096709</v>
      </c>
      <c r="AG15" s="16">
        <f>Op_Rav!AF26</f>
        <v>21.023796274846738</v>
      </c>
      <c r="AH15" s="16">
        <f>Op_Rav!AG26</f>
        <v>21.370581237116909</v>
      </c>
      <c r="AI15" s="16">
        <f>Op_Rav!AH26</f>
        <v>21.515683304378136</v>
      </c>
      <c r="AJ15" s="16">
        <f>Op_Rav!AI26</f>
        <v>22.85094114490521</v>
      </c>
      <c r="AK15" s="16">
        <f>Op_Rav!AJ26</f>
        <v>0</v>
      </c>
      <c r="AL15" s="16">
        <f>Op_Rav!AK26</f>
        <v>0</v>
      </c>
      <c r="AM15" s="16">
        <f>Op_Rav!AL26</f>
        <v>0</v>
      </c>
      <c r="AN15" s="16">
        <f>Op_Rav!AM26</f>
        <v>0</v>
      </c>
      <c r="AO15" s="16">
        <f>Op_Rav!AN26</f>
        <v>0</v>
      </c>
      <c r="AP15" s="16">
        <f>Op_Rav!AO26</f>
        <v>0</v>
      </c>
      <c r="AQ15" s="16">
        <f>Op_Rav!AP26</f>
        <v>0</v>
      </c>
      <c r="AR15" s="16">
        <f>Op_Rav!AQ26</f>
        <v>0</v>
      </c>
      <c r="AS15" s="16">
        <f>Op_Rav!AR26</f>
        <v>0</v>
      </c>
      <c r="AT15" s="16">
        <f>Op_Rav!AS26</f>
        <v>0</v>
      </c>
      <c r="AU15" s="16">
        <f>Op_Rav!AT26</f>
        <v>0</v>
      </c>
      <c r="AV15" s="16">
        <f>Op_Rav!AU26</f>
        <v>0</v>
      </c>
      <c r="AW15" s="16">
        <f>Op_Rav!AV26</f>
        <v>0</v>
      </c>
      <c r="AX15" s="16">
        <f>Op_Rav!AW26</f>
        <v>0</v>
      </c>
      <c r="AY15" s="16">
        <f>Op_Rav!AX26</f>
        <v>0</v>
      </c>
      <c r="AZ15" s="203"/>
      <c r="BA15" s="203"/>
      <c r="BB15" s="203"/>
      <c r="BC15" s="203"/>
      <c r="BD15" s="203"/>
      <c r="BE15" s="203"/>
      <c r="BF15" s="203"/>
    </row>
    <row r="16" spans="1:58" ht="15" customHeight="1">
      <c r="A16"/>
      <c r="B16"/>
      <c r="F16" s="1" t="s">
        <v>377</v>
      </c>
      <c r="H16" s="1" t="str">
        <f>Inputs!$I$6</f>
        <v>£m 2024 prices</v>
      </c>
      <c r="J16" s="1"/>
      <c r="L16" s="16">
        <f>Op_Rav!K42</f>
        <v>21.552214910522263</v>
      </c>
      <c r="M16" s="16">
        <f>Op_Rav!L42</f>
        <v>20.672924965342538</v>
      </c>
      <c r="N16" s="16">
        <f>Op_Rav!M42</f>
        <v>19.793635020162814</v>
      </c>
      <c r="O16" s="16">
        <f>Op_Rav!N42</f>
        <v>18.914345074983089</v>
      </c>
      <c r="P16" s="16">
        <f>Op_Rav!O42</f>
        <v>18.035055129803364</v>
      </c>
      <c r="Q16" s="16">
        <f>Op_Rav!P42</f>
        <v>17.155765184623636</v>
      </c>
      <c r="R16" s="16">
        <f>Op_Rav!Q42</f>
        <v>16.276475239443908</v>
      </c>
      <c r="S16" s="16">
        <f>Op_Rav!R42</f>
        <v>15.412296979914995</v>
      </c>
      <c r="T16" s="16">
        <f>Op_Rav!S42</f>
        <v>14.556005543171279</v>
      </c>
      <c r="U16" s="16">
        <f>Op_Rav!T42</f>
        <v>13.687029320505115</v>
      </c>
      <c r="V16" s="16">
        <f>Op_Rav!U42</f>
        <v>12.817151147940004</v>
      </c>
      <c r="W16" s="16">
        <f>Op_Rav!V42</f>
        <v>11.958618903657362</v>
      </c>
      <c r="X16" s="16">
        <f>Op_Rav!W42</f>
        <v>11.120255675442165</v>
      </c>
      <c r="Y16" s="16">
        <f>Op_Rav!X42</f>
        <v>10.268722891420339</v>
      </c>
      <c r="Z16" s="16">
        <f>Op_Rav!Y42</f>
        <v>9.3893292391653436</v>
      </c>
      <c r="AA16" s="16">
        <f>Op_Rav!Z42</f>
        <v>8.5370891401045697</v>
      </c>
      <c r="AB16" s="16">
        <f>Op_Rav!AA42</f>
        <v>7.6816253597864579</v>
      </c>
      <c r="AC16" s="16">
        <f>Op_Rav!AB42</f>
        <v>6.7917338710144071</v>
      </c>
      <c r="AD16" s="16">
        <f>Op_Rav!AC42</f>
        <v>5.9001426810120581</v>
      </c>
      <c r="AE16" s="16">
        <f>Op_Rav!AD42</f>
        <v>5.0075686346033912</v>
      </c>
      <c r="AF16" s="16">
        <f>Op_Rav!AE42</f>
        <v>4.1246125355464489</v>
      </c>
      <c r="AG16" s="16">
        <f>Op_Rav!AF42</f>
        <v>3.2511148972122181</v>
      </c>
      <c r="AH16" s="16">
        <f>Op_Rav!AG42</f>
        <v>2.3534976860826049</v>
      </c>
      <c r="AI16" s="16">
        <f>Op_Rav!AH42</f>
        <v>1.4289965291209532</v>
      </c>
      <c r="AJ16" s="16">
        <f>Op_Rav!AI42</f>
        <v>0.48813135861331225</v>
      </c>
      <c r="AK16" s="16">
        <f>Op_Rav!AJ42</f>
        <v>0</v>
      </c>
      <c r="AL16" s="16">
        <f>Op_Rav!AK42</f>
        <v>0</v>
      </c>
      <c r="AM16" s="16">
        <f>Op_Rav!AL42</f>
        <v>0</v>
      </c>
      <c r="AN16" s="16">
        <f>Op_Rav!AM42</f>
        <v>0</v>
      </c>
      <c r="AO16" s="16">
        <f>Op_Rav!AN42</f>
        <v>0</v>
      </c>
      <c r="AP16" s="16">
        <f>Op_Rav!AO42</f>
        <v>0</v>
      </c>
      <c r="AQ16" s="16">
        <f>Op_Rav!AP42</f>
        <v>0</v>
      </c>
      <c r="AR16" s="16">
        <f>Op_Rav!AQ42</f>
        <v>0</v>
      </c>
      <c r="AS16" s="16">
        <f>Op_Rav!AR42</f>
        <v>0</v>
      </c>
      <c r="AT16" s="16">
        <f>Op_Rav!AS42</f>
        <v>0</v>
      </c>
      <c r="AU16" s="16">
        <f>Op_Rav!AT42</f>
        <v>0</v>
      </c>
      <c r="AV16" s="16">
        <f>Op_Rav!AU42</f>
        <v>0</v>
      </c>
      <c r="AW16" s="16">
        <f>Op_Rav!AV42</f>
        <v>0</v>
      </c>
      <c r="AX16" s="16">
        <f>Op_Rav!AW42</f>
        <v>0</v>
      </c>
      <c r="AY16" s="16">
        <f>Op_Rav!AX42</f>
        <v>0</v>
      </c>
      <c r="AZ16" s="203"/>
      <c r="BA16" s="203"/>
      <c r="BB16" s="203"/>
      <c r="BC16" s="203"/>
      <c r="BD16" s="203"/>
      <c r="BE16" s="203"/>
      <c r="BF16" s="203"/>
    </row>
    <row r="17" spans="1:58" ht="15" customHeight="1">
      <c r="A17"/>
      <c r="B17"/>
      <c r="F17" s="11" t="s">
        <v>409</v>
      </c>
      <c r="H17" s="1" t="str">
        <f>Inputs!$I$6</f>
        <v>£m 2024 prices</v>
      </c>
      <c r="J17" s="1"/>
      <c r="L17" s="136">
        <f t="shared" ref="L17:AJ17" si="16">SUM(L12:L16)</f>
        <v>49.653164629039551</v>
      </c>
      <c r="M17" s="136">
        <f t="shared" si="16"/>
        <v>48.77387468385983</v>
      </c>
      <c r="N17" s="136">
        <f t="shared" si="16"/>
        <v>47.894584738680095</v>
      </c>
      <c r="O17" s="136">
        <f t="shared" si="16"/>
        <v>47.015294793500374</v>
      </c>
      <c r="P17" s="136">
        <f t="shared" si="16"/>
        <v>46.136004848320653</v>
      </c>
      <c r="Q17" s="136">
        <f t="shared" si="16"/>
        <v>45.256714903140917</v>
      </c>
      <c r="R17" s="136">
        <f t="shared" si="16"/>
        <v>44.377424957961196</v>
      </c>
      <c r="S17" s="136">
        <f t="shared" si="16"/>
        <v>43.513246698432276</v>
      </c>
      <c r="T17" s="136">
        <f t="shared" si="16"/>
        <v>42.698505934143896</v>
      </c>
      <c r="U17" s="136">
        <f t="shared" si="16"/>
        <v>41.8531939576648</v>
      </c>
      <c r="V17" s="136">
        <f t="shared" si="16"/>
        <v>40.996326574291956</v>
      </c>
      <c r="W17" s="136">
        <f t="shared" si="16"/>
        <v>40.165108765789469</v>
      </c>
      <c r="X17" s="136">
        <f t="shared" si="16"/>
        <v>39.385056203713781</v>
      </c>
      <c r="Y17" s="136">
        <f t="shared" si="16"/>
        <v>38.649791091555088</v>
      </c>
      <c r="Z17" s="136">
        <f t="shared" si="16"/>
        <v>37.796866607604009</v>
      </c>
      <c r="AA17" s="136">
        <f t="shared" si="16"/>
        <v>36.973646921995481</v>
      </c>
      <c r="AB17" s="136">
        <f t="shared" si="16"/>
        <v>36.29786175910305</v>
      </c>
      <c r="AC17" s="136">
        <f t="shared" si="16"/>
        <v>35.444245787146301</v>
      </c>
      <c r="AD17" s="136">
        <f t="shared" si="16"/>
        <v>34.594249004478684</v>
      </c>
      <c r="AE17" s="136">
        <f t="shared" si="16"/>
        <v>33.750042313823755</v>
      </c>
      <c r="AF17" s="136">
        <f t="shared" si="16"/>
        <v>32.93450286651354</v>
      </c>
      <c r="AG17" s="136">
        <f t="shared" si="16"/>
        <v>32.274911172058957</v>
      </c>
      <c r="AH17" s="136">
        <f t="shared" si="16"/>
        <v>31.724078923199514</v>
      </c>
      <c r="AI17" s="136">
        <f t="shared" si="16"/>
        <v>30.944679833499091</v>
      </c>
      <c r="AJ17" s="136">
        <f t="shared" si="16"/>
        <v>100.67608352974452</v>
      </c>
      <c r="AK17" s="136">
        <f t="shared" ref="AK17:AY17" si="17">SUM(AK12:AK16)</f>
        <v>0</v>
      </c>
      <c r="AL17" s="136">
        <f t="shared" si="17"/>
        <v>0</v>
      </c>
      <c r="AM17" s="136">
        <f t="shared" si="17"/>
        <v>0</v>
      </c>
      <c r="AN17" s="136">
        <f t="shared" si="17"/>
        <v>0</v>
      </c>
      <c r="AO17" s="136">
        <f t="shared" si="17"/>
        <v>0</v>
      </c>
      <c r="AP17" s="136">
        <f t="shared" si="17"/>
        <v>0</v>
      </c>
      <c r="AQ17" s="136">
        <f t="shared" si="17"/>
        <v>0</v>
      </c>
      <c r="AR17" s="136">
        <f t="shared" si="17"/>
        <v>0</v>
      </c>
      <c r="AS17" s="136">
        <f t="shared" si="17"/>
        <v>0</v>
      </c>
      <c r="AT17" s="136">
        <f t="shared" si="17"/>
        <v>0</v>
      </c>
      <c r="AU17" s="136">
        <f t="shared" si="17"/>
        <v>0</v>
      </c>
      <c r="AV17" s="136">
        <f t="shared" si="17"/>
        <v>0</v>
      </c>
      <c r="AW17" s="136">
        <f t="shared" si="17"/>
        <v>0</v>
      </c>
      <c r="AX17" s="136">
        <f t="shared" si="17"/>
        <v>0</v>
      </c>
      <c r="AY17" s="136">
        <f t="shared" si="17"/>
        <v>0</v>
      </c>
      <c r="AZ17" s="203"/>
      <c r="BA17" s="203"/>
      <c r="BB17" s="203"/>
      <c r="BC17" s="203"/>
      <c r="BD17" s="203"/>
      <c r="BE17" s="203"/>
      <c r="BF17" s="203"/>
    </row>
    <row r="18" spans="1:58" ht="15" customHeight="1">
      <c r="A18"/>
      <c r="B18"/>
      <c r="H18" s="1"/>
      <c r="J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203"/>
      <c r="BA18" s="203"/>
      <c r="BB18" s="203"/>
      <c r="BC18" s="203"/>
      <c r="BD18" s="203"/>
      <c r="BE18" s="203"/>
      <c r="BF18" s="203"/>
    </row>
    <row r="19" spans="1:58" ht="15" customHeight="1">
      <c r="B19" s="1"/>
      <c r="C19" s="56" t="s">
        <v>382</v>
      </c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/>
      <c r="BA19"/>
      <c r="BB19"/>
      <c r="BC19"/>
      <c r="BD19"/>
      <c r="BE19"/>
      <c r="BF19"/>
    </row>
    <row r="20" spans="1:58" ht="15" customHeight="1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/>
      <c r="BA20"/>
      <c r="BB20"/>
      <c r="BC20"/>
      <c r="BD20"/>
      <c r="BE20"/>
      <c r="BF20"/>
    </row>
    <row r="21" spans="1:58" ht="15" customHeight="1">
      <c r="B21" s="1"/>
      <c r="C21" s="1"/>
      <c r="D21" s="1"/>
      <c r="E21" s="1"/>
      <c r="F21" s="11" t="s">
        <v>383</v>
      </c>
      <c r="H21" s="1" t="s">
        <v>142</v>
      </c>
      <c r="J21" s="141">
        <f>Inputs!$I$53</f>
        <v>0.5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/>
      <c r="BA21"/>
      <c r="BB21"/>
      <c r="BC21"/>
      <c r="BD21"/>
      <c r="BE21"/>
      <c r="BF21"/>
    </row>
    <row r="22" spans="1:58" ht="15" customHeight="1">
      <c r="B22" s="1"/>
      <c r="C22" s="1"/>
      <c r="D22" s="1"/>
      <c r="E22" s="1"/>
      <c r="F22" s="1" t="s">
        <v>153</v>
      </c>
      <c r="H22" s="1" t="s">
        <v>142</v>
      </c>
      <c r="J22" s="141">
        <f>Inputs!$I$64</f>
        <v>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/>
      <c r="BA22"/>
      <c r="BB22"/>
      <c r="BC22"/>
      <c r="BD22"/>
      <c r="BE22"/>
      <c r="BF22"/>
    </row>
    <row r="23" spans="1:58" ht="15" customHeight="1">
      <c r="A23"/>
      <c r="C23" s="11"/>
      <c r="D23" s="11"/>
      <c r="F23" s="1" t="s">
        <v>410</v>
      </c>
      <c r="G23" s="1"/>
      <c r="H23" s="1" t="str">
        <f>Inputs!$I$6</f>
        <v>£m 2024 prices</v>
      </c>
      <c r="I23" s="1"/>
      <c r="K23" s="1"/>
      <c r="L23" s="1">
        <f>IF(Inputs!$I$129="Yes",SUM(L15:L16)*$J$21*$J$22,"N/A")</f>
        <v>20.826582314519776</v>
      </c>
      <c r="M23" s="1">
        <f>IF(Inputs!$I$129="Yes",SUM(M15:M16)*$J$21*$J$22,"N/A")</f>
        <v>20.386937341929915</v>
      </c>
      <c r="N23" s="1">
        <f>IF(Inputs!$I$129="Yes",SUM(N15:N16)*$J$21*$J$22,"N/A")</f>
        <v>19.947292369340047</v>
      </c>
      <c r="O23" s="1">
        <f>IF(Inputs!$I$129="Yes",SUM(O15:O16)*$J$21*$J$22,"N/A")</f>
        <v>19.507647396750187</v>
      </c>
      <c r="P23" s="1">
        <f>IF(Inputs!$I$129="Yes",SUM(P15:P16)*$J$21*$J$22,"N/A")</f>
        <v>19.068002424160326</v>
      </c>
      <c r="Q23" s="1">
        <f>IF(Inputs!$I$129="Yes",SUM(Q15:Q16)*$J$21*$J$22,"N/A")</f>
        <v>18.628357451570459</v>
      </c>
      <c r="R23" s="1">
        <f>IF(Inputs!$I$129="Yes",SUM(R15:R16)*$J$21*$J$22,"N/A")</f>
        <v>18.188712478980598</v>
      </c>
      <c r="S23" s="1">
        <f>IF(Inputs!$I$129="Yes",SUM(S15:S16)*$J$21*$J$22,"N/A")</f>
        <v>17.756623349216138</v>
      </c>
      <c r="T23" s="1">
        <f>IF(Inputs!$I$129="Yes",SUM(T15:T16)*$J$21*$J$22,"N/A")</f>
        <v>17.349252967071948</v>
      </c>
      <c r="U23" s="1">
        <f>IF(Inputs!$I$129="Yes",SUM(U15:U16)*$J$21*$J$22,"N/A")</f>
        <v>16.9265969788324</v>
      </c>
      <c r="V23" s="1">
        <f>IF(Inputs!$I$129="Yes",SUM(V15:V16)*$J$21*$J$22,"N/A")</f>
        <v>16.498163287145978</v>
      </c>
      <c r="W23" s="1">
        <f>IF(Inputs!$I$129="Yes",SUM(W15:W16)*$J$21*$J$22,"N/A")</f>
        <v>16.082554382894735</v>
      </c>
      <c r="X23" s="1">
        <f>IF(Inputs!$I$129="Yes",SUM(X15:X16)*$J$21*$J$22,"N/A")</f>
        <v>15.69252810185689</v>
      </c>
      <c r="Y23" s="1">
        <f>IF(Inputs!$I$129="Yes",SUM(Y15:Y16)*$J$21*$J$22,"N/A")</f>
        <v>15.324895545777544</v>
      </c>
      <c r="Z23" s="1">
        <f>IF(Inputs!$I$129="Yes",SUM(Z15:Z16)*$J$21*$J$22,"N/A")</f>
        <v>14.898433303802005</v>
      </c>
      <c r="AA23" s="1">
        <f>IF(Inputs!$I$129="Yes",SUM(AA15:AA16)*$J$21*$J$22,"N/A")</f>
        <v>14.486823460997741</v>
      </c>
      <c r="AB23" s="1">
        <f>IF(Inputs!$I$129="Yes",SUM(AB15:AB16)*$J$21*$J$22,"N/A")</f>
        <v>14.148930879551525</v>
      </c>
      <c r="AC23" s="1">
        <f>IF(Inputs!$I$129="Yes",SUM(AC15:AC16)*$J$21*$J$22,"N/A")</f>
        <v>13.722122893573152</v>
      </c>
      <c r="AD23" s="1">
        <f>IF(Inputs!$I$129="Yes",SUM(AD15:AD16)*$J$21*$J$22,"N/A")</f>
        <v>13.297124502239342</v>
      </c>
      <c r="AE23" s="1">
        <f>IF(Inputs!$I$129="Yes",SUM(AE15:AE16)*$J$21*$J$22,"N/A")</f>
        <v>12.875021156911878</v>
      </c>
      <c r="AF23" s="1">
        <f>IF(Inputs!$I$129="Yes",SUM(AF15:AF16)*$J$21*$J$22,"N/A")</f>
        <v>12.46725143325677</v>
      </c>
      <c r="AG23" s="1">
        <f>IF(Inputs!$I$129="Yes",SUM(AG15:AG16)*$J$21*$J$22,"N/A")</f>
        <v>12.137455586029478</v>
      </c>
      <c r="AH23" s="1">
        <f>IF(Inputs!$I$129="Yes",SUM(AH15:AH16)*$J$21*$J$22,"N/A")</f>
        <v>11.862039461599757</v>
      </c>
      <c r="AI23" s="1">
        <f>IF(Inputs!$I$129="Yes",SUM(AI15:AI16)*$J$21*$J$22,"N/A")</f>
        <v>11.472339916749545</v>
      </c>
      <c r="AJ23" s="1">
        <f>IF(Inputs!$I$129="Yes",SUM(AJ15:AJ16)*$J$21*$J$22,"N/A")</f>
        <v>11.669536251759261</v>
      </c>
      <c r="AK23" s="1">
        <f>IF(Inputs!$I$129="Yes",SUM(AK15:AK16)*$J$21*$J$22,"N/A")</f>
        <v>0</v>
      </c>
      <c r="AL23" s="1">
        <f>IF(Inputs!$I$129="Yes",SUM(AL15:AL16)*$J$21*$J$22,"N/A")</f>
        <v>0</v>
      </c>
      <c r="AM23" s="1">
        <f>IF(Inputs!$I$129="Yes",SUM(AM15:AM16)*$J$21*$J$22,"N/A")</f>
        <v>0</v>
      </c>
      <c r="AN23" s="1">
        <f>IF(Inputs!$I$129="Yes",SUM(AN15:AN16)*$J$21*$J$22,"N/A")</f>
        <v>0</v>
      </c>
      <c r="AO23" s="1">
        <f>IF(Inputs!$I$129="Yes",SUM(AO15:AO16)*$J$21*$J$22,"N/A")</f>
        <v>0</v>
      </c>
      <c r="AP23" s="1">
        <f>IF(Inputs!$I$129="Yes",SUM(AP15:AP16)*$J$21*$J$22,"N/A")</f>
        <v>0</v>
      </c>
      <c r="AQ23" s="1">
        <f>IF(Inputs!$I$129="Yes",SUM(AQ15:AQ16)*$J$21*$J$22,"N/A")</f>
        <v>0</v>
      </c>
      <c r="AR23" s="1">
        <f>IF(Inputs!$I$129="Yes",SUM(AR15:AR16)*$J$21*$J$22,"N/A")</f>
        <v>0</v>
      </c>
      <c r="AS23" s="1">
        <f>IF(Inputs!$I$129="Yes",SUM(AS15:AS16)*$J$21*$J$22,"N/A")</f>
        <v>0</v>
      </c>
      <c r="AT23" s="1">
        <f>IF(Inputs!$I$129="Yes",SUM(AT15:AT16)*$J$21*$J$22,"N/A")</f>
        <v>0</v>
      </c>
      <c r="AU23" s="1">
        <f>IF(Inputs!$I$129="Yes",SUM(AU15:AU16)*$J$21*$J$22,"N/A")</f>
        <v>0</v>
      </c>
      <c r="AV23" s="1">
        <f>IF(Inputs!$I$129="Yes",SUM(AV15:AV16)*$J$21*$J$22,"N/A")</f>
        <v>0</v>
      </c>
      <c r="AW23" s="1">
        <f>IF(Inputs!$I$129="Yes",SUM(AW15:AW16)*$J$21*$J$22,"N/A")</f>
        <v>0</v>
      </c>
      <c r="AX23" s="1">
        <f>IF(Inputs!$I$129="Yes",SUM(AX15:AX16)*$J$21*$J$22,"N/A")</f>
        <v>0</v>
      </c>
      <c r="AY23" s="1">
        <f>IF(Inputs!$I$129="Yes",SUM(AY15:AY16)*$J$21*$J$22,"N/A")</f>
        <v>0</v>
      </c>
      <c r="AZ23"/>
      <c r="BA23"/>
      <c r="BB23"/>
      <c r="BC23"/>
      <c r="BD23"/>
      <c r="BE23"/>
      <c r="BF23"/>
    </row>
    <row r="24" spans="1:58" ht="15" customHeight="1">
      <c r="A24"/>
      <c r="C24" s="11"/>
      <c r="D24" s="11"/>
      <c r="E24" s="1"/>
      <c r="F24" s="1"/>
      <c r="G24" s="1"/>
      <c r="I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Z24"/>
      <c r="BA24"/>
      <c r="BB24"/>
      <c r="BC24"/>
      <c r="BD24"/>
      <c r="BE24"/>
      <c r="BF24"/>
    </row>
    <row r="25" spans="1:58" ht="15" customHeight="1">
      <c r="B25" s="1"/>
      <c r="C25" s="56" t="s">
        <v>385</v>
      </c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/>
      <c r="BA25"/>
      <c r="BB25"/>
      <c r="BC25"/>
      <c r="BD25"/>
      <c r="BE25"/>
      <c r="BF25"/>
    </row>
    <row r="26" spans="1:58" ht="15" customHeight="1">
      <c r="A26"/>
      <c r="C26" s="11"/>
      <c r="D26" s="11"/>
      <c r="G26" s="1"/>
      <c r="I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Z26"/>
      <c r="BA26"/>
      <c r="BB26"/>
      <c r="BC26"/>
      <c r="BD26"/>
      <c r="BE26"/>
      <c r="BF26"/>
    </row>
    <row r="27" spans="1:58" ht="15" customHeight="1">
      <c r="A27"/>
      <c r="C27" s="11"/>
      <c r="D27" s="11"/>
      <c r="F27" s="11" t="s">
        <v>386</v>
      </c>
      <c r="H27" s="1" t="str">
        <f>Inputs!$I$6</f>
        <v>£m 2024 prices</v>
      </c>
      <c r="I27" s="1"/>
      <c r="K27" s="1"/>
      <c r="L27" s="1">
        <f>IF(Inputs!$I$129="Yes",L17-L23,L17)</f>
        <v>28.826582314519776</v>
      </c>
      <c r="M27" s="1">
        <f>IF(Inputs!$I$129="Yes",M17-M23,M17)</f>
        <v>28.386937341929915</v>
      </c>
      <c r="N27" s="1">
        <f>IF(Inputs!$I$129="Yes",N17-N23,N17)</f>
        <v>27.947292369340047</v>
      </c>
      <c r="O27" s="1">
        <f>IF(Inputs!$I$129="Yes",O17-O23,O17)</f>
        <v>27.507647396750187</v>
      </c>
      <c r="P27" s="1">
        <f>IF(Inputs!$I$129="Yes",P17-P23,P17)</f>
        <v>27.068002424160326</v>
      </c>
      <c r="Q27" s="1">
        <f>IF(Inputs!$I$129="Yes",Q17-Q23,Q17)</f>
        <v>26.628357451570459</v>
      </c>
      <c r="R27" s="1">
        <f>IF(Inputs!$I$129="Yes",R17-R23,R17)</f>
        <v>26.188712478980598</v>
      </c>
      <c r="S27" s="1">
        <f>IF(Inputs!$I$129="Yes",S17-S23,S17)</f>
        <v>25.756623349216138</v>
      </c>
      <c r="T27" s="1">
        <f>IF(Inputs!$I$129="Yes",T17-T23,T17)</f>
        <v>25.349252967071948</v>
      </c>
      <c r="U27" s="1">
        <f>IF(Inputs!$I$129="Yes",U17-U23,U17)</f>
        <v>24.9265969788324</v>
      </c>
      <c r="V27" s="1">
        <f>IF(Inputs!$I$129="Yes",V17-V23,V17)</f>
        <v>24.498163287145978</v>
      </c>
      <c r="W27" s="1">
        <f>IF(Inputs!$I$129="Yes",W17-W23,W17)</f>
        <v>24.082554382894735</v>
      </c>
      <c r="X27" s="1">
        <f>IF(Inputs!$I$129="Yes",X17-X23,X17)</f>
        <v>23.69252810185689</v>
      </c>
      <c r="Y27" s="1">
        <f>IF(Inputs!$I$129="Yes",Y17-Y23,Y17)</f>
        <v>23.324895545777544</v>
      </c>
      <c r="Z27" s="1">
        <f>IF(Inputs!$I$129="Yes",Z17-Z23,Z17)</f>
        <v>22.898433303802005</v>
      </c>
      <c r="AA27" s="1">
        <f>IF(Inputs!$I$129="Yes",AA17-AA23,AA17)</f>
        <v>22.486823460997741</v>
      </c>
      <c r="AB27" s="1">
        <f>IF(Inputs!$I$129="Yes",AB17-AB23,AB17)</f>
        <v>22.148930879551525</v>
      </c>
      <c r="AC27" s="1">
        <f>IF(Inputs!$I$129="Yes",AC17-AC23,AC17)</f>
        <v>21.72212289357315</v>
      </c>
      <c r="AD27" s="1">
        <f>IF(Inputs!$I$129="Yes",AD17-AD23,AD17)</f>
        <v>21.297124502239342</v>
      </c>
      <c r="AE27" s="1">
        <f>IF(Inputs!$I$129="Yes",AE17-AE23,AE17)</f>
        <v>20.875021156911878</v>
      </c>
      <c r="AF27" s="1">
        <f>IF(Inputs!$I$129="Yes",AF17-AF23,AF17)</f>
        <v>20.46725143325677</v>
      </c>
      <c r="AG27" s="1">
        <f>IF(Inputs!$I$129="Yes",AG17-AG23,AG17)</f>
        <v>20.137455586029478</v>
      </c>
      <c r="AH27" s="1">
        <f>IF(Inputs!$I$129="Yes",AH17-AH23,AH17)</f>
        <v>19.862039461599757</v>
      </c>
      <c r="AI27" s="1">
        <f>IF(Inputs!$I$129="Yes",AI17-AI23,AI17)</f>
        <v>19.472339916749547</v>
      </c>
      <c r="AJ27" s="1">
        <f>IF(Inputs!$I$129="Yes",AJ17-AJ23,AJ17)</f>
        <v>89.006547277985248</v>
      </c>
      <c r="AK27" s="1">
        <f>IF(Inputs!$I$129="Yes",AK17-AK23,AK17)</f>
        <v>0</v>
      </c>
      <c r="AL27" s="1">
        <f>IF(Inputs!$I$129="Yes",AL17-AL23,AL17)</f>
        <v>0</v>
      </c>
      <c r="AM27" s="1">
        <f>IF(Inputs!$I$129="Yes",AM17-AM23,AM17)</f>
        <v>0</v>
      </c>
      <c r="AN27" s="1">
        <f>IF(Inputs!$I$129="Yes",AN17-AN23,AN17)</f>
        <v>0</v>
      </c>
      <c r="AO27" s="1">
        <f>IF(Inputs!$I$129="Yes",AO17-AO23,AO17)</f>
        <v>0</v>
      </c>
      <c r="AP27" s="1">
        <f>IF(Inputs!$I$129="Yes",AP17-AP23,AP17)</f>
        <v>0</v>
      </c>
      <c r="AQ27" s="1">
        <f>IF(Inputs!$I$129="Yes",AQ17-AQ23,AQ17)</f>
        <v>0</v>
      </c>
      <c r="AR27" s="1">
        <f>IF(Inputs!$I$129="Yes",AR17-AR23,AR17)</f>
        <v>0</v>
      </c>
      <c r="AS27" s="1">
        <f>IF(Inputs!$I$129="Yes",AS17-AS23,AS17)</f>
        <v>0</v>
      </c>
      <c r="AT27" s="1">
        <f>IF(Inputs!$I$129="Yes",AT17-AT23,AT17)</f>
        <v>0</v>
      </c>
      <c r="AU27" s="1">
        <f>IF(Inputs!$I$129="Yes",AU17-AU23,AU17)</f>
        <v>0</v>
      </c>
      <c r="AV27" s="1">
        <f>IF(Inputs!$I$129="Yes",AV17-AV23,AV17)</f>
        <v>0</v>
      </c>
      <c r="AW27" s="1">
        <f>IF(Inputs!$I$129="Yes",AW17-AW23,AW17)</f>
        <v>0</v>
      </c>
      <c r="AX27" s="1">
        <f>IF(Inputs!$I$129="Yes",AX17-AX23,AX17)</f>
        <v>0</v>
      </c>
      <c r="AY27" s="1">
        <f>IF(Inputs!$I$129="Yes",AY17-AY23,AY17)</f>
        <v>0</v>
      </c>
      <c r="AZ27"/>
      <c r="BA27"/>
      <c r="BB27"/>
      <c r="BC27"/>
      <c r="BD27"/>
      <c r="BE27"/>
      <c r="BF27"/>
    </row>
    <row r="28" spans="1:58" ht="15" customHeight="1">
      <c r="A28"/>
      <c r="B28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99"/>
      <c r="BA28" s="199"/>
      <c r="BB28" s="199"/>
      <c r="BC28" s="199"/>
      <c r="BD28" s="199"/>
      <c r="BE28" s="199"/>
      <c r="BF28" s="199"/>
    </row>
    <row r="29" spans="1:58" ht="15" customHeight="1">
      <c r="A29"/>
      <c r="B29"/>
      <c r="C29" s="12" t="s">
        <v>411</v>
      </c>
      <c r="D29" s="50"/>
      <c r="E29" s="50"/>
      <c r="F29" s="50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203"/>
      <c r="BA29" s="203"/>
      <c r="BB29" s="203"/>
      <c r="BC29" s="203"/>
      <c r="BD29" s="203"/>
      <c r="BE29" s="203"/>
      <c r="BF29" s="203"/>
    </row>
    <row r="30" spans="1:58" ht="15" customHeight="1">
      <c r="A30"/>
      <c r="B3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40"/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200"/>
      <c r="BA30" s="200"/>
      <c r="BB30" s="200"/>
      <c r="BC30" s="200"/>
      <c r="BD30" s="200"/>
      <c r="BE30" s="200"/>
      <c r="BF30" s="200"/>
    </row>
    <row r="31" spans="1:58" ht="15" customHeight="1">
      <c r="C31" s="1"/>
      <c r="D31" s="56" t="s">
        <v>388</v>
      </c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203"/>
      <c r="BA31" s="203"/>
      <c r="BB31" s="203"/>
      <c r="BC31" s="203"/>
      <c r="BD31" s="203"/>
      <c r="BE31" s="203"/>
      <c r="BF31" s="203"/>
    </row>
    <row r="32" spans="1:58" ht="15" customHeight="1">
      <c r="C32" s="1"/>
      <c r="D32" s="1"/>
      <c r="E32" s="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99"/>
      <c r="BA32" s="199"/>
      <c r="BB32" s="199"/>
      <c r="BC32" s="199"/>
      <c r="BD32" s="199"/>
      <c r="BE32" s="199"/>
      <c r="BF32" s="199"/>
    </row>
    <row r="33" spans="1:58" ht="15" customHeight="1">
      <c r="F33" s="77" t="s">
        <v>138</v>
      </c>
      <c r="H33" s="77" t="str">
        <f>Inputs!G45</f>
        <v>real annual %</v>
      </c>
      <c r="J33" s="141">
        <f>Inputs!I45</f>
        <v>4.4699999999999997E-2</v>
      </c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99"/>
      <c r="BA33" s="199"/>
      <c r="BB33" s="199"/>
      <c r="BC33" s="199"/>
      <c r="BD33" s="199"/>
      <c r="BE33" s="199"/>
      <c r="BF33" s="199"/>
    </row>
    <row r="34" spans="1:58" ht="15" customHeight="1">
      <c r="C34" s="1"/>
      <c r="D34" s="1"/>
      <c r="E34" s="1"/>
      <c r="F34" s="169" t="s">
        <v>368</v>
      </c>
      <c r="H34" s="169" t="str">
        <f>Inputs!G142</f>
        <v>full years</v>
      </c>
      <c r="J34" s="165">
        <f>Inputs!I142</f>
        <v>25</v>
      </c>
      <c r="K34" s="140"/>
      <c r="L34" s="140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  <c r="AA34" s="140"/>
      <c r="AB34" s="140"/>
      <c r="AC34" s="140"/>
      <c r="AD34" s="140"/>
      <c r="AE34" s="140"/>
      <c r="AF34" s="140"/>
      <c r="AG34" s="140"/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200"/>
      <c r="BA34" s="200"/>
      <c r="BB34" s="200"/>
      <c r="BC34" s="200"/>
      <c r="BD34" s="200"/>
      <c r="BE34" s="200"/>
      <c r="BF34" s="200"/>
    </row>
    <row r="35" spans="1:58" ht="15" customHeight="1">
      <c r="C35" s="1"/>
      <c r="D35" s="1"/>
      <c r="E35" s="1"/>
      <c r="F35" s="11" t="s">
        <v>412</v>
      </c>
      <c r="H35" s="11" t="s">
        <v>249</v>
      </c>
      <c r="J35" s="64">
        <f>J33 / (1 - (1 + J33)^(-J34))</f>
        <v>6.7230940372131842E-2</v>
      </c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  <c r="AA35" s="140"/>
      <c r="AB35" s="140"/>
      <c r="AC35" s="140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200"/>
      <c r="BA35" s="200"/>
      <c r="BB35" s="200"/>
      <c r="BC35" s="200"/>
      <c r="BD35" s="200"/>
      <c r="BE35" s="200"/>
      <c r="BF35" s="200"/>
    </row>
    <row r="36" spans="1:58" ht="15" customHeight="1">
      <c r="C36" s="1"/>
      <c r="D36" s="1"/>
      <c r="E36" s="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99"/>
      <c r="BA36" s="199"/>
      <c r="BB36" s="199"/>
      <c r="BC36" s="199"/>
      <c r="BD36" s="199"/>
      <c r="BE36" s="199"/>
      <c r="BF36" s="199"/>
    </row>
    <row r="37" spans="1:58" ht="15" customHeight="1">
      <c r="A37"/>
      <c r="B37"/>
      <c r="C37" s="1"/>
      <c r="D37" s="1"/>
      <c r="E37" s="1"/>
      <c r="F37" s="1" t="s">
        <v>390</v>
      </c>
      <c r="G37" s="1"/>
      <c r="H37" s="1" t="s">
        <v>225</v>
      </c>
      <c r="I37" s="1"/>
      <c r="J37" s="159"/>
      <c r="K37" s="80"/>
      <c r="L37" s="158" t="b">
        <f t="shared" ref="L37:AY37" si="18">AND(L4 &gt; 0, L4&lt;= $J34)</f>
        <v>1</v>
      </c>
      <c r="M37" s="158" t="b">
        <f t="shared" si="18"/>
        <v>1</v>
      </c>
      <c r="N37" s="158" t="b">
        <f t="shared" si="18"/>
        <v>1</v>
      </c>
      <c r="O37" s="158" t="b">
        <f t="shared" si="18"/>
        <v>1</v>
      </c>
      <c r="P37" s="158" t="b">
        <f t="shared" si="18"/>
        <v>1</v>
      </c>
      <c r="Q37" s="158" t="b">
        <f t="shared" si="18"/>
        <v>1</v>
      </c>
      <c r="R37" s="158" t="b">
        <f t="shared" si="18"/>
        <v>1</v>
      </c>
      <c r="S37" s="158" t="b">
        <f t="shared" si="18"/>
        <v>1</v>
      </c>
      <c r="T37" s="158" t="b">
        <f t="shared" si="18"/>
        <v>1</v>
      </c>
      <c r="U37" s="158" t="b">
        <f t="shared" si="18"/>
        <v>1</v>
      </c>
      <c r="V37" s="158" t="b">
        <f t="shared" si="18"/>
        <v>1</v>
      </c>
      <c r="W37" s="158" t="b">
        <f t="shared" si="18"/>
        <v>1</v>
      </c>
      <c r="X37" s="158" t="b">
        <f t="shared" si="18"/>
        <v>1</v>
      </c>
      <c r="Y37" s="158" t="b">
        <f t="shared" si="18"/>
        <v>1</v>
      </c>
      <c r="Z37" s="158" t="b">
        <f t="shared" si="18"/>
        <v>1</v>
      </c>
      <c r="AA37" s="158" t="b">
        <f t="shared" si="18"/>
        <v>1</v>
      </c>
      <c r="AB37" s="158" t="b">
        <f t="shared" si="18"/>
        <v>1</v>
      </c>
      <c r="AC37" s="158" t="b">
        <f t="shared" si="18"/>
        <v>1</v>
      </c>
      <c r="AD37" s="158" t="b">
        <f t="shared" si="18"/>
        <v>1</v>
      </c>
      <c r="AE37" s="158" t="b">
        <f t="shared" si="18"/>
        <v>1</v>
      </c>
      <c r="AF37" s="158" t="b">
        <f t="shared" si="18"/>
        <v>1</v>
      </c>
      <c r="AG37" s="158" t="b">
        <f t="shared" si="18"/>
        <v>1</v>
      </c>
      <c r="AH37" s="158" t="b">
        <f t="shared" si="18"/>
        <v>1</v>
      </c>
      <c r="AI37" s="158" t="b">
        <f t="shared" si="18"/>
        <v>1</v>
      </c>
      <c r="AJ37" s="158" t="b">
        <f t="shared" si="18"/>
        <v>1</v>
      </c>
      <c r="AK37" s="158" t="b">
        <f t="shared" si="18"/>
        <v>0</v>
      </c>
      <c r="AL37" s="158" t="b">
        <f t="shared" si="18"/>
        <v>0</v>
      </c>
      <c r="AM37" s="158" t="b">
        <f t="shared" si="18"/>
        <v>0</v>
      </c>
      <c r="AN37" s="158" t="b">
        <f t="shared" si="18"/>
        <v>0</v>
      </c>
      <c r="AO37" s="158" t="b">
        <f t="shared" si="18"/>
        <v>0</v>
      </c>
      <c r="AP37" s="158" t="b">
        <f t="shared" si="18"/>
        <v>0</v>
      </c>
      <c r="AQ37" s="158" t="b">
        <f t="shared" si="18"/>
        <v>0</v>
      </c>
      <c r="AR37" s="158" t="b">
        <f t="shared" si="18"/>
        <v>0</v>
      </c>
      <c r="AS37" s="158" t="b">
        <f t="shared" si="18"/>
        <v>0</v>
      </c>
      <c r="AT37" s="158" t="b">
        <f t="shared" si="18"/>
        <v>0</v>
      </c>
      <c r="AU37" s="158" t="b">
        <f t="shared" si="18"/>
        <v>0</v>
      </c>
      <c r="AV37" s="158" t="b">
        <f t="shared" si="18"/>
        <v>0</v>
      </c>
      <c r="AW37" s="158" t="b">
        <f t="shared" si="18"/>
        <v>0</v>
      </c>
      <c r="AX37" s="158" t="b">
        <f t="shared" si="18"/>
        <v>0</v>
      </c>
      <c r="AY37" s="158" t="b">
        <f t="shared" si="18"/>
        <v>0</v>
      </c>
      <c r="AZ37" s="198"/>
      <c r="BA37" s="198"/>
      <c r="BB37" s="198"/>
      <c r="BC37" s="198"/>
      <c r="BD37" s="198"/>
      <c r="BE37" s="198"/>
      <c r="BF37" s="198"/>
    </row>
    <row r="38" spans="1:58" ht="15" customHeight="1">
      <c r="A38"/>
      <c r="B38"/>
      <c r="C38" s="1"/>
      <c r="D38" s="1"/>
      <c r="E38" s="1"/>
      <c r="F38" s="11" t="s">
        <v>413</v>
      </c>
      <c r="H38" s="11" t="s">
        <v>249</v>
      </c>
      <c r="J38" s="140"/>
      <c r="K38" s="140"/>
      <c r="L38" s="166">
        <f t="shared" ref="L38:AY38" si="19">(1 + $J33) ^ - L4</f>
        <v>0.95721259691777549</v>
      </c>
      <c r="M38" s="166">
        <f t="shared" si="19"/>
        <v>0.91625595569807161</v>
      </c>
      <c r="N38" s="166">
        <f t="shared" si="19"/>
        <v>0.87705174279512943</v>
      </c>
      <c r="O38" s="166">
        <f t="shared" si="19"/>
        <v>0.83952497635218659</v>
      </c>
      <c r="P38" s="166">
        <f t="shared" si="19"/>
        <v>0.8036038827914106</v>
      </c>
      <c r="Q38" s="166">
        <f t="shared" si="19"/>
        <v>0.76921975953997379</v>
      </c>
      <c r="R38" s="166">
        <f t="shared" si="19"/>
        <v>0.73630684362972498</v>
      </c>
      <c r="S38" s="166">
        <f t="shared" si="19"/>
        <v>0.70480218591913946</v>
      </c>
      <c r="T38" s="166">
        <f t="shared" si="19"/>
        <v>0.6746455306969843</v>
      </c>
      <c r="U38" s="166">
        <f t="shared" si="19"/>
        <v>0.6457792004374312</v>
      </c>
      <c r="V38" s="166">
        <f t="shared" si="19"/>
        <v>0.61814798548619809</v>
      </c>
      <c r="W38" s="166">
        <f t="shared" si="19"/>
        <v>0.59169903846673499</v>
      </c>
      <c r="X38" s="166">
        <f t="shared" si="19"/>
        <v>0.56638177320449412</v>
      </c>
      <c r="Y38" s="166">
        <f t="shared" si="19"/>
        <v>0.54214776797596831</v>
      </c>
      <c r="Z38" s="166">
        <f t="shared" si="19"/>
        <v>0.51895067289745223</v>
      </c>
      <c r="AA38" s="166">
        <f t="shared" si="19"/>
        <v>0.49674612127639722</v>
      </c>
      <c r="AB38" s="166">
        <f t="shared" si="19"/>
        <v>0.47549164475581235</v>
      </c>
      <c r="AC38" s="166">
        <f t="shared" si="19"/>
        <v>0.45514659208941555</v>
      </c>
      <c r="AD38" s="166">
        <f t="shared" si="19"/>
        <v>0.43567205139218484</v>
      </c>
      <c r="AE38" s="166">
        <f t="shared" si="19"/>
        <v>0.41703077571760777</v>
      </c>
      <c r="AF38" s="166">
        <f t="shared" si="19"/>
        <v>0.39918711181928579</v>
      </c>
      <c r="AG38" s="166">
        <f t="shared" si="19"/>
        <v>0.38210693196064488</v>
      </c>
      <c r="AH38" s="166">
        <f t="shared" si="19"/>
        <v>0.36575756864233261</v>
      </c>
      <c r="AI38" s="166">
        <f t="shared" si="19"/>
        <v>0.3501077521224587</v>
      </c>
      <c r="AJ38" s="166">
        <f t="shared" si="19"/>
        <v>0.33512755061018351</v>
      </c>
      <c r="AK38" s="166">
        <f t="shared" si="19"/>
        <v>0.32078831301826699</v>
      </c>
      <c r="AL38" s="166">
        <f t="shared" si="19"/>
        <v>0.30706261416508757</v>
      </c>
      <c r="AM38" s="166">
        <f t="shared" si="19"/>
        <v>0.29392420232132438</v>
      </c>
      <c r="AN38" s="166">
        <f t="shared" si="19"/>
        <v>0.28134794900098054</v>
      </c>
      <c r="AO38" s="166">
        <f t="shared" si="19"/>
        <v>0.26930980090071843</v>
      </c>
      <c r="AP38" s="166">
        <f t="shared" si="19"/>
        <v>0.25778673389558571</v>
      </c>
      <c r="AQ38" s="166">
        <f t="shared" si="19"/>
        <v>0.24675670900314509</v>
      </c>
      <c r="AR38" s="166">
        <f t="shared" si="19"/>
        <v>0.23619863023178436</v>
      </c>
      <c r="AS38" s="166">
        <f t="shared" si="19"/>
        <v>0.22609230423258767</v>
      </c>
      <c r="AT38" s="166">
        <f t="shared" si="19"/>
        <v>0.21641840167759899</v>
      </c>
      <c r="AU38" s="166">
        <f t="shared" si="19"/>
        <v>0.20715842029060877</v>
      </c>
      <c r="AV38" s="166">
        <f t="shared" si="19"/>
        <v>0.19829464945975761</v>
      </c>
      <c r="AW38" s="166">
        <f t="shared" si="19"/>
        <v>0.18981013636427455</v>
      </c>
      <c r="AX38" s="166">
        <f t="shared" si="19"/>
        <v>0.18168865355056432</v>
      </c>
      <c r="AY38" s="166">
        <f t="shared" si="19"/>
        <v>0.17391466789562965</v>
      </c>
      <c r="AZ38" s="197"/>
      <c r="BA38" s="197"/>
      <c r="BB38" s="197"/>
      <c r="BC38" s="197"/>
      <c r="BD38" s="197"/>
      <c r="BE38" s="197"/>
      <c r="BF38" s="197"/>
    </row>
    <row r="39" spans="1:58" ht="15" customHeight="1">
      <c r="C39" s="1"/>
      <c r="D39" s="1"/>
      <c r="E39" s="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99"/>
      <c r="BA39" s="199"/>
      <c r="BB39" s="199"/>
      <c r="BC39" s="199"/>
      <c r="BD39" s="199"/>
      <c r="BE39" s="199"/>
      <c r="BF39" s="199"/>
    </row>
    <row r="40" spans="1:58" ht="15" customHeight="1">
      <c r="B40" s="1"/>
      <c r="D40" s="56" t="s">
        <v>392</v>
      </c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/>
      <c r="BA40"/>
      <c r="BB40"/>
      <c r="BC40"/>
      <c r="BD40"/>
      <c r="BE40"/>
      <c r="BF40"/>
    </row>
    <row r="41" spans="1:58" ht="15" customHeight="1">
      <c r="B41" s="1"/>
      <c r="D41" s="1"/>
      <c r="E41" s="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/>
      <c r="BA41"/>
      <c r="BB41"/>
      <c r="BC41"/>
      <c r="BD41"/>
      <c r="BE41"/>
      <c r="BF41"/>
    </row>
    <row r="42" spans="1:58" ht="15" customHeight="1">
      <c r="B42" s="1"/>
      <c r="D42" s="1"/>
      <c r="E42" s="1"/>
      <c r="F42" s="1" t="s">
        <v>414</v>
      </c>
      <c r="H42" s="1" t="str">
        <f>Inputs!$I$6</f>
        <v>£m 2024 prices</v>
      </c>
      <c r="L42" s="1">
        <f>IF(Inputs!$I$129="Yes",L23*L38,"N/A")</f>
        <v>19.935466942203291</v>
      </c>
      <c r="M42" s="1">
        <f>IF(Inputs!$I$129="Yes",M23*M38,"N/A")</f>
        <v>18.679652757986698</v>
      </c>
      <c r="N42" s="1">
        <f>IF(Inputs!$I$129="Yes",N23*N38,"N/A")</f>
        <v>17.494807536573674</v>
      </c>
      <c r="O42" s="1">
        <f>IF(Inputs!$I$129="Yes",O23*O38,"N/A")</f>
        <v>16.377157219443497</v>
      </c>
      <c r="P42" s="1">
        <f>IF(Inputs!$I$129="Yes",P23*P38,"N/A")</f>
        <v>15.323120785131268</v>
      </c>
      <c r="Q42" s="1">
        <f>IF(Inputs!$I$129="Yes",Q23*Q38,"N/A")</f>
        <v>14.329300639521707</v>
      </c>
      <c r="R42" s="1">
        <f>IF(Inputs!$I$129="Yes",R23*R38,"N/A")</f>
        <v>13.392473475086796</v>
      </c>
      <c r="S42" s="1">
        <f>IF(Inputs!$I$129="Yes",S23*S38,"N/A")</f>
        <v>12.514906951070365</v>
      </c>
      <c r="T42" s="1">
        <f>IF(Inputs!$I$129="Yes",T23*T38,"N/A")</f>
        <v>11.704595975166484</v>
      </c>
      <c r="U42" s="1">
        <f>IF(Inputs!$I$129="Yes",U23*U38,"N/A")</f>
        <v>10.930844263117026</v>
      </c>
      <c r="V42" s="1">
        <f>IF(Inputs!$I$129="Yes",V23*V38,"N/A")</f>
        <v>10.198306400171639</v>
      </c>
      <c r="W42" s="1">
        <f>IF(Inputs!$I$129="Yes",W23*W38,"N/A")</f>
        <v>9.5160319644477891</v>
      </c>
      <c r="X42" s="1">
        <f>IF(Inputs!$I$129="Yes",X23*X38,"N/A")</f>
        <v>8.8879618923910595</v>
      </c>
      <c r="Y42" s="1">
        <f>IF(Inputs!$I$129="Yes",Y23*Y38,"N/A")</f>
        <v>8.3083579146081536</v>
      </c>
      <c r="Z42" s="1">
        <f>IF(Inputs!$I$129="Yes",Z23*Z38,"N/A")</f>
        <v>7.7315519881258625</v>
      </c>
      <c r="AA42" s="1">
        <f>IF(Inputs!$I$129="Yes",AA23*AA38,"N/A")</f>
        <v>7.1962733638665402</v>
      </c>
      <c r="AB42" s="1">
        <f>IF(Inputs!$I$129="Yes",AB23*AB38,"N/A")</f>
        <v>6.727698415454257</v>
      </c>
      <c r="AC42" s="1">
        <f>IF(Inputs!$I$129="Yes",AC23*AC38,"N/A")</f>
        <v>6.2455774712419698</v>
      </c>
      <c r="AD42" s="1">
        <f>IF(Inputs!$I$129="Yes",AD23*AD38,"N/A")</f>
        <v>5.7931855095078992</v>
      </c>
      <c r="AE42" s="1">
        <f>IF(Inputs!$I$129="Yes",AE23*AE38,"N/A")</f>
        <v>5.3692800604475721</v>
      </c>
      <c r="AF42" s="1">
        <f>IF(Inputs!$I$129="Yes",AF23*AF38,"N/A")</f>
        <v>4.9767660919666215</v>
      </c>
      <c r="AG42" s="1">
        <f>IF(Inputs!$I$129="Yes",AG23*AG38,"N/A")</f>
        <v>4.6378059157863154</v>
      </c>
      <c r="AH42" s="1">
        <f>IF(Inputs!$I$129="Yes",AH23*AH38,"N/A")</f>
        <v>4.3386307126141315</v>
      </c>
      <c r="AI42" s="1">
        <f>IF(Inputs!$I$129="Yes",AI23*AI38,"N/A")</f>
        <v>4.016555139837938</v>
      </c>
      <c r="AJ42" s="1">
        <f>IF(Inputs!$I$129="Yes",AJ23*AJ38,"N/A")</f>
        <v>3.910783100808823</v>
      </c>
      <c r="AK42" s="1">
        <f>IF(Inputs!$I$129="Yes",AK23*AK38,"N/A")</f>
        <v>0</v>
      </c>
      <c r="AL42" s="1">
        <f>IF(Inputs!$I$129="Yes",AL23*AL38,"N/A")</f>
        <v>0</v>
      </c>
      <c r="AM42" s="1">
        <f>IF(Inputs!$I$129="Yes",AM23*AM38,"N/A")</f>
        <v>0</v>
      </c>
      <c r="AN42" s="1">
        <f>IF(Inputs!$I$129="Yes",AN23*AN38,"N/A")</f>
        <v>0</v>
      </c>
      <c r="AO42" s="1">
        <f>IF(Inputs!$I$129="Yes",AO23*AO38,"N/A")</f>
        <v>0</v>
      </c>
      <c r="AP42" s="1">
        <f>IF(Inputs!$I$129="Yes",AP23*AP38,"N/A")</f>
        <v>0</v>
      </c>
      <c r="AQ42" s="1">
        <f>IF(Inputs!$I$129="Yes",AQ23*AQ38,"N/A")</f>
        <v>0</v>
      </c>
      <c r="AR42" s="1">
        <f>IF(Inputs!$I$129="Yes",AR23*AR38,"N/A")</f>
        <v>0</v>
      </c>
      <c r="AS42" s="1">
        <f>IF(Inputs!$I$129="Yes",AS23*AS38,"N/A")</f>
        <v>0</v>
      </c>
      <c r="AT42" s="1">
        <f>IF(Inputs!$I$129="Yes",AT23*AT38,"N/A")</f>
        <v>0</v>
      </c>
      <c r="AU42" s="1">
        <f>IF(Inputs!$I$129="Yes",AU23*AU38,"N/A")</f>
        <v>0</v>
      </c>
      <c r="AV42" s="1">
        <f>IF(Inputs!$I$129="Yes",AV23*AV38,"N/A")</f>
        <v>0</v>
      </c>
      <c r="AW42" s="1">
        <f>IF(Inputs!$I$129="Yes",AW23*AW38,"N/A")</f>
        <v>0</v>
      </c>
      <c r="AX42" s="1">
        <f>IF(Inputs!$I$129="Yes",AX23*AX38,"N/A")</f>
        <v>0</v>
      </c>
      <c r="AY42" s="1">
        <f>IF(Inputs!$I$129="Yes",AY23*AY38,"N/A")</f>
        <v>0</v>
      </c>
      <c r="AZ42" s="1"/>
      <c r="BA42"/>
      <c r="BB42"/>
      <c r="BC42"/>
      <c r="BD42"/>
      <c r="BE42"/>
      <c r="BF42"/>
    </row>
    <row r="43" spans="1:58" ht="15" customHeight="1">
      <c r="B43" s="1"/>
      <c r="D43" s="1"/>
      <c r="E43" s="1"/>
      <c r="F43" s="11" t="s">
        <v>415</v>
      </c>
      <c r="H43" s="1" t="str">
        <f>Inputs!$I$6</f>
        <v>£m 2024 prices</v>
      </c>
      <c r="J43" s="167">
        <f>IF(Inputs!$I$129="Yes",SUM(L42:AY42),"N/A")</f>
        <v>248.53709248657742</v>
      </c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/>
      <c r="BA43"/>
      <c r="BB43"/>
      <c r="BC43"/>
      <c r="BD43"/>
      <c r="BE43"/>
      <c r="BF43"/>
    </row>
    <row r="44" spans="1:58" ht="15" customHeight="1">
      <c r="B44" s="1"/>
      <c r="D44" s="1"/>
      <c r="E44" s="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/>
      <c r="BA44"/>
      <c r="BB44"/>
      <c r="BC44"/>
      <c r="BD44"/>
      <c r="BE44"/>
      <c r="BF44"/>
    </row>
    <row r="45" spans="1:58" ht="15" customHeight="1">
      <c r="B45" s="1"/>
      <c r="D45" s="1"/>
      <c r="E45" s="1"/>
      <c r="F45" s="64" t="s">
        <v>416</v>
      </c>
      <c r="H45" s="11" t="s">
        <v>249</v>
      </c>
      <c r="J45" s="78">
        <f>$J$35</f>
        <v>6.7230940372131842E-2</v>
      </c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/>
      <c r="BA45"/>
      <c r="BB45"/>
      <c r="BC45"/>
      <c r="BD45"/>
      <c r="BE45"/>
      <c r="BF45"/>
    </row>
    <row r="46" spans="1:58" ht="15" customHeight="1">
      <c r="B46" s="1"/>
      <c r="D46" s="1"/>
      <c r="E46" s="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/>
      <c r="BA46"/>
      <c r="BB46"/>
      <c r="BC46"/>
      <c r="BD46"/>
      <c r="BE46"/>
      <c r="BF46"/>
    </row>
    <row r="47" spans="1:58" ht="15" customHeight="1">
      <c r="B47" s="1"/>
      <c r="D47" s="1"/>
      <c r="E47" s="1"/>
      <c r="F47" s="11" t="s">
        <v>417</v>
      </c>
      <c r="H47" s="1" t="str">
        <f>Inputs!$I$6</f>
        <v>£m 2024 prices</v>
      </c>
      <c r="J47" s="168">
        <f>IF(Inputs!$I$129="Yes",J43*J45,"N/A")</f>
        <v>16.709382445228105</v>
      </c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/>
      <c r="BA47"/>
      <c r="BB47"/>
      <c r="BC47"/>
      <c r="BD47"/>
      <c r="BE47"/>
      <c r="BF47"/>
    </row>
    <row r="48" spans="1:58" ht="15" customHeight="1">
      <c r="B48" s="1"/>
      <c r="D48" s="1"/>
      <c r="E48" s="1"/>
      <c r="F48" s="11" t="s">
        <v>418</v>
      </c>
      <c r="H48" s="1" t="str">
        <f>Inputs!$I$6</f>
        <v>£m 2024 prices</v>
      </c>
      <c r="J48" s="78"/>
      <c r="L48" s="17">
        <f>IF(Inputs!$I$129="Yes",$J$47*L37,"N/A")</f>
        <v>16.709382445228105</v>
      </c>
      <c r="M48" s="17">
        <f>IF(Inputs!$I$129="Yes",$J$47*M37,"N/A")</f>
        <v>16.709382445228105</v>
      </c>
      <c r="N48" s="17">
        <f>IF(Inputs!$I$129="Yes",$J$47*N37,"N/A")</f>
        <v>16.709382445228105</v>
      </c>
      <c r="O48" s="17">
        <f>IF(Inputs!$I$129="Yes",$J$47*O37,"N/A")</f>
        <v>16.709382445228105</v>
      </c>
      <c r="P48" s="17">
        <f>IF(Inputs!$I$129="Yes",$J$47*P37,"N/A")</f>
        <v>16.709382445228105</v>
      </c>
      <c r="Q48" s="17">
        <f>IF(Inputs!$I$129="Yes",$J$47*Q37,"N/A")</f>
        <v>16.709382445228105</v>
      </c>
      <c r="R48" s="17">
        <f>IF(Inputs!$I$129="Yes",$J$47*R37,"N/A")</f>
        <v>16.709382445228105</v>
      </c>
      <c r="S48" s="17">
        <f>IF(Inputs!$I$129="Yes",$J$47*S37,"N/A")</f>
        <v>16.709382445228105</v>
      </c>
      <c r="T48" s="17">
        <f>IF(Inputs!$I$129="Yes",$J$47*T37,"N/A")</f>
        <v>16.709382445228105</v>
      </c>
      <c r="U48" s="17">
        <f>IF(Inputs!$I$129="Yes",$J$47*U37,"N/A")</f>
        <v>16.709382445228105</v>
      </c>
      <c r="V48" s="17">
        <f>IF(Inputs!$I$129="Yes",$J$47*V37,"N/A")</f>
        <v>16.709382445228105</v>
      </c>
      <c r="W48" s="17">
        <f>IF(Inputs!$I$129="Yes",$J$47*W37,"N/A")</f>
        <v>16.709382445228105</v>
      </c>
      <c r="X48" s="17">
        <f>IF(Inputs!$I$129="Yes",$J$47*X37,"N/A")</f>
        <v>16.709382445228105</v>
      </c>
      <c r="Y48" s="17">
        <f>IF(Inputs!$I$129="Yes",$J$47*Y37,"N/A")</f>
        <v>16.709382445228105</v>
      </c>
      <c r="Z48" s="17">
        <f>IF(Inputs!$I$129="Yes",$J$47*Z37,"N/A")</f>
        <v>16.709382445228105</v>
      </c>
      <c r="AA48" s="17">
        <f>IF(Inputs!$I$129="Yes",$J$47*AA37,"N/A")</f>
        <v>16.709382445228105</v>
      </c>
      <c r="AB48" s="17">
        <f>IF(Inputs!$I$129="Yes",$J$47*AB37,"N/A")</f>
        <v>16.709382445228105</v>
      </c>
      <c r="AC48" s="17">
        <f>IF(Inputs!$I$129="Yes",$J$47*AC37,"N/A")</f>
        <v>16.709382445228105</v>
      </c>
      <c r="AD48" s="17">
        <f>IF(Inputs!$I$129="Yes",$J$47*AD37,"N/A")</f>
        <v>16.709382445228105</v>
      </c>
      <c r="AE48" s="17">
        <f>IF(Inputs!$I$129="Yes",$J$47*AE37,"N/A")</f>
        <v>16.709382445228105</v>
      </c>
      <c r="AF48" s="17">
        <f>IF(Inputs!$I$129="Yes",$J$47*AF37,"N/A")</f>
        <v>16.709382445228105</v>
      </c>
      <c r="AG48" s="17">
        <f>IF(Inputs!$I$129="Yes",$J$47*AG37,"N/A")</f>
        <v>16.709382445228105</v>
      </c>
      <c r="AH48" s="17">
        <f>IF(Inputs!$I$129="Yes",$J$47*AH37,"N/A")</f>
        <v>16.709382445228105</v>
      </c>
      <c r="AI48" s="17">
        <f>IF(Inputs!$I$129="Yes",$J$47*AI37,"N/A")</f>
        <v>16.709382445228105</v>
      </c>
      <c r="AJ48" s="17">
        <f>IF(Inputs!$I$129="Yes",$J$47*AJ37,"N/A")</f>
        <v>16.709382445228105</v>
      </c>
      <c r="AK48" s="17">
        <f>IF(Inputs!$I$129="Yes",$J$47*AK37,"N/A")</f>
        <v>0</v>
      </c>
      <c r="AL48" s="17">
        <f>IF(Inputs!$I$129="Yes",$J$47*AL37,"N/A")</f>
        <v>0</v>
      </c>
      <c r="AM48" s="17">
        <f>IF(Inputs!$I$129="Yes",$J$47*AM37,"N/A")</f>
        <v>0</v>
      </c>
      <c r="AN48" s="17">
        <f>IF(Inputs!$I$129="Yes",$J$47*AN37,"N/A")</f>
        <v>0</v>
      </c>
      <c r="AO48" s="17">
        <f>IF(Inputs!$I$129="Yes",$J$47*AO37,"N/A")</f>
        <v>0</v>
      </c>
      <c r="AP48" s="17">
        <f>IF(Inputs!$I$129="Yes",$J$47*AP37,"N/A")</f>
        <v>0</v>
      </c>
      <c r="AQ48" s="17">
        <f>IF(Inputs!$I$129="Yes",$J$47*AQ37,"N/A")</f>
        <v>0</v>
      </c>
      <c r="AR48" s="17">
        <f>IF(Inputs!$I$129="Yes",$J$47*AR37,"N/A")</f>
        <v>0</v>
      </c>
      <c r="AS48" s="17">
        <f>IF(Inputs!$I$129="Yes",$J$47*AS37,"N/A")</f>
        <v>0</v>
      </c>
      <c r="AT48" s="17">
        <f>IF(Inputs!$I$129="Yes",$J$47*AT37,"N/A")</f>
        <v>0</v>
      </c>
      <c r="AU48" s="17">
        <f>IF(Inputs!$I$129="Yes",$J$47*AU37,"N/A")</f>
        <v>0</v>
      </c>
      <c r="AV48" s="17">
        <f>IF(Inputs!$I$129="Yes",$J$47*AV37,"N/A")</f>
        <v>0</v>
      </c>
      <c r="AW48" s="17">
        <f>IF(Inputs!$I$129="Yes",$J$47*AW37,"N/A")</f>
        <v>0</v>
      </c>
      <c r="AX48" s="17">
        <f>IF(Inputs!$I$129="Yes",$J$47*AX37,"N/A")</f>
        <v>0</v>
      </c>
      <c r="AY48" s="17">
        <f>IF(Inputs!$I$129="Yes",$J$47*AY37,"N/A")</f>
        <v>0</v>
      </c>
      <c r="AZ48"/>
      <c r="BA48"/>
      <c r="BB48"/>
      <c r="BC48"/>
      <c r="BD48"/>
      <c r="BE48"/>
      <c r="BF48"/>
    </row>
    <row r="49" spans="1:58" ht="15" customHeight="1">
      <c r="B49" s="1"/>
      <c r="D49" s="1"/>
      <c r="E49" s="1"/>
      <c r="H49" s="1"/>
      <c r="J49" s="78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/>
      <c r="BA49"/>
      <c r="BB49"/>
      <c r="BC49"/>
      <c r="BD49"/>
      <c r="BE49"/>
      <c r="BF49"/>
    </row>
    <row r="50" spans="1:58" ht="15" customHeight="1">
      <c r="B50" s="1"/>
      <c r="D50" s="56" t="s">
        <v>398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/>
      <c r="BA50"/>
      <c r="BB50"/>
      <c r="BC50"/>
      <c r="BD50"/>
      <c r="BE50"/>
      <c r="BF50"/>
    </row>
    <row r="51" spans="1:58" ht="15" customHeight="1">
      <c r="B51" s="1"/>
      <c r="D51" s="1"/>
      <c r="E51" s="1"/>
      <c r="H51" s="1"/>
      <c r="J51" s="78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/>
      <c r="BA51"/>
      <c r="BB51"/>
      <c r="BC51"/>
      <c r="BD51"/>
      <c r="BE51"/>
      <c r="BF51"/>
    </row>
    <row r="52" spans="1:58" ht="15" customHeight="1">
      <c r="B52" s="1"/>
      <c r="D52" s="1"/>
      <c r="E52" s="1"/>
      <c r="F52" s="1" t="s">
        <v>419</v>
      </c>
      <c r="H52" s="1" t="str">
        <f>Inputs!$I$6</f>
        <v>£m 2024 prices</v>
      </c>
      <c r="J52" s="78"/>
      <c r="L52" s="1">
        <f>L27*L38</f>
        <v>27.593167717545494</v>
      </c>
      <c r="M52" s="1">
        <f t="shared" ref="M52:AY52" si="20">M27*M38</f>
        <v>26.009700403571269</v>
      </c>
      <c r="N52" s="1">
        <f t="shared" si="20"/>
        <v>24.511221478934711</v>
      </c>
      <c r="O52" s="1">
        <f t="shared" si="20"/>
        <v>23.093357030260989</v>
      </c>
      <c r="P52" s="1">
        <f t="shared" si="20"/>
        <v>21.751951847462554</v>
      </c>
      <c r="Q52" s="1">
        <f t="shared" si="20"/>
        <v>20.483058715841498</v>
      </c>
      <c r="R52" s="1">
        <f t="shared" si="20"/>
        <v>19.282928224124596</v>
      </c>
      <c r="S52" s="1">
        <f t="shared" si="20"/>
        <v>18.153324438423482</v>
      </c>
      <c r="T52" s="1">
        <f t="shared" si="20"/>
        <v>17.101760220742356</v>
      </c>
      <c r="U52" s="1">
        <f t="shared" si="20"/>
        <v>16.097077866616477</v>
      </c>
      <c r="V52" s="1">
        <f t="shared" si="20"/>
        <v>15.143490284061222</v>
      </c>
      <c r="W52" s="1">
        <f t="shared" si="20"/>
        <v>14.249624272181668</v>
      </c>
      <c r="X52" s="1">
        <f t="shared" si="20"/>
        <v>13.419016078027013</v>
      </c>
      <c r="Y52" s="1">
        <f t="shared" si="20"/>
        <v>12.6455400584159</v>
      </c>
      <c r="Z52" s="1">
        <f t="shared" si="20"/>
        <v>11.883157371305481</v>
      </c>
      <c r="AA52" s="1">
        <f t="shared" si="20"/>
        <v>11.170242334077718</v>
      </c>
      <c r="AB52" s="1">
        <f t="shared" si="20"/>
        <v>10.531631573500755</v>
      </c>
      <c r="AC52" s="1">
        <f t="shared" si="20"/>
        <v>9.8867502079572933</v>
      </c>
      <c r="AD52" s="1">
        <f t="shared" si="20"/>
        <v>9.2785619206453784</v>
      </c>
      <c r="AE52" s="1">
        <f t="shared" si="20"/>
        <v>8.7055262661884338</v>
      </c>
      <c r="AF52" s="1">
        <f t="shared" si="20"/>
        <v>8.1702629865209069</v>
      </c>
      <c r="AG52" s="1">
        <f t="shared" si="20"/>
        <v>7.694661371471474</v>
      </c>
      <c r="AH52" s="1">
        <f t="shared" si="20"/>
        <v>7.2646912617527919</v>
      </c>
      <c r="AI52" s="1">
        <f t="shared" si="20"/>
        <v>6.8174171568176085</v>
      </c>
      <c r="AJ52" s="1">
        <f t="shared" si="20"/>
        <v>29.828546177540694</v>
      </c>
      <c r="AK52" s="1">
        <f t="shared" si="20"/>
        <v>0</v>
      </c>
      <c r="AL52" s="1">
        <f t="shared" si="20"/>
        <v>0</v>
      </c>
      <c r="AM52" s="1">
        <f t="shared" si="20"/>
        <v>0</v>
      </c>
      <c r="AN52" s="1">
        <f t="shared" si="20"/>
        <v>0</v>
      </c>
      <c r="AO52" s="1">
        <f t="shared" si="20"/>
        <v>0</v>
      </c>
      <c r="AP52" s="1">
        <f t="shared" si="20"/>
        <v>0</v>
      </c>
      <c r="AQ52" s="1">
        <f t="shared" si="20"/>
        <v>0</v>
      </c>
      <c r="AR52" s="1">
        <f t="shared" si="20"/>
        <v>0</v>
      </c>
      <c r="AS52" s="1">
        <f t="shared" si="20"/>
        <v>0</v>
      </c>
      <c r="AT52" s="1">
        <f t="shared" si="20"/>
        <v>0</v>
      </c>
      <c r="AU52" s="1">
        <f t="shared" si="20"/>
        <v>0</v>
      </c>
      <c r="AV52" s="1">
        <f t="shared" si="20"/>
        <v>0</v>
      </c>
      <c r="AW52" s="1">
        <f t="shared" si="20"/>
        <v>0</v>
      </c>
      <c r="AX52" s="1">
        <f t="shared" si="20"/>
        <v>0</v>
      </c>
      <c r="AY52" s="1">
        <f t="shared" si="20"/>
        <v>0</v>
      </c>
      <c r="AZ52"/>
      <c r="BA52"/>
      <c r="BB52"/>
      <c r="BC52"/>
      <c r="BD52"/>
      <c r="BE52"/>
      <c r="BF52"/>
    </row>
    <row r="53" spans="1:58" ht="15" customHeight="1">
      <c r="B53" s="1"/>
      <c r="D53" s="1"/>
      <c r="E53" s="1"/>
      <c r="F53" s="11" t="s">
        <v>420</v>
      </c>
      <c r="H53" s="1" t="str">
        <f>Inputs!$I$6</f>
        <v>£m 2024 prices</v>
      </c>
      <c r="J53" s="167">
        <f>SUM(L52:AY52)</f>
        <v>390.76666726398776</v>
      </c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/>
      <c r="BA53"/>
      <c r="BB53"/>
      <c r="BC53"/>
      <c r="BD53"/>
      <c r="BE53"/>
      <c r="BF53"/>
    </row>
    <row r="54" spans="1:58" ht="15" customHeight="1">
      <c r="B54" s="1"/>
      <c r="D54" s="1"/>
      <c r="E54" s="1"/>
      <c r="J54" s="78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/>
      <c r="BA54"/>
      <c r="BB54"/>
      <c r="BC54"/>
      <c r="BD54"/>
      <c r="BE54"/>
      <c r="BF54"/>
    </row>
    <row r="55" spans="1:58" ht="15" customHeight="1">
      <c r="B55" s="1"/>
      <c r="D55" s="1"/>
      <c r="E55" s="1"/>
      <c r="F55" s="64" t="s">
        <v>421</v>
      </c>
      <c r="H55" s="11" t="s">
        <v>249</v>
      </c>
      <c r="J55" s="78">
        <f>$J$35</f>
        <v>6.7230940372131842E-2</v>
      </c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/>
      <c r="BA55"/>
      <c r="BB55"/>
      <c r="BC55"/>
      <c r="BD55"/>
      <c r="BE55"/>
      <c r="BF55"/>
    </row>
    <row r="56" spans="1:58" ht="15" customHeight="1">
      <c r="B56" s="1"/>
      <c r="D56" s="1"/>
      <c r="E56" s="1"/>
      <c r="J56" s="78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/>
      <c r="BA56"/>
      <c r="BB56"/>
      <c r="BC56"/>
      <c r="BD56"/>
      <c r="BE56"/>
      <c r="BF56"/>
    </row>
    <row r="57" spans="1:58" ht="15" customHeight="1">
      <c r="B57" s="1"/>
      <c r="D57" s="1"/>
      <c r="E57" s="1"/>
      <c r="F57" s="11" t="s">
        <v>422</v>
      </c>
      <c r="H57" s="1" t="str">
        <f>Inputs!$I$6</f>
        <v>£m 2024 prices</v>
      </c>
      <c r="J57" s="168">
        <f>J53 * J55</f>
        <v>26.271610506241846</v>
      </c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/>
      <c r="BA57"/>
      <c r="BB57"/>
      <c r="BC57"/>
      <c r="BD57"/>
      <c r="BE57"/>
      <c r="BF57"/>
    </row>
    <row r="58" spans="1:58" ht="15" customHeight="1">
      <c r="B58" s="1"/>
      <c r="C58" s="1"/>
      <c r="D58" s="1"/>
      <c r="F58" s="1" t="s">
        <v>423</v>
      </c>
      <c r="G58" s="1"/>
      <c r="I58" s="78"/>
      <c r="K58" s="17"/>
      <c r="L58" s="17">
        <f>$J$57*L37</f>
        <v>26.271610506241846</v>
      </c>
      <c r="M58" s="17">
        <f t="shared" ref="M58:AY58" si="21">$J$57*M37</f>
        <v>26.271610506241846</v>
      </c>
      <c r="N58" s="17">
        <f t="shared" si="21"/>
        <v>26.271610506241846</v>
      </c>
      <c r="O58" s="17">
        <f t="shared" si="21"/>
        <v>26.271610506241846</v>
      </c>
      <c r="P58" s="17">
        <f t="shared" si="21"/>
        <v>26.271610506241846</v>
      </c>
      <c r="Q58" s="17">
        <f t="shared" si="21"/>
        <v>26.271610506241846</v>
      </c>
      <c r="R58" s="17">
        <f t="shared" si="21"/>
        <v>26.271610506241846</v>
      </c>
      <c r="S58" s="17">
        <f t="shared" si="21"/>
        <v>26.271610506241846</v>
      </c>
      <c r="T58" s="17">
        <f t="shared" si="21"/>
        <v>26.271610506241846</v>
      </c>
      <c r="U58" s="17">
        <f t="shared" si="21"/>
        <v>26.271610506241846</v>
      </c>
      <c r="V58" s="17">
        <f t="shared" si="21"/>
        <v>26.271610506241846</v>
      </c>
      <c r="W58" s="17">
        <f t="shared" si="21"/>
        <v>26.271610506241846</v>
      </c>
      <c r="X58" s="17">
        <f t="shared" si="21"/>
        <v>26.271610506241846</v>
      </c>
      <c r="Y58" s="17">
        <f t="shared" si="21"/>
        <v>26.271610506241846</v>
      </c>
      <c r="Z58" s="17">
        <f t="shared" si="21"/>
        <v>26.271610506241846</v>
      </c>
      <c r="AA58" s="17">
        <f t="shared" si="21"/>
        <v>26.271610506241846</v>
      </c>
      <c r="AB58" s="17">
        <f t="shared" si="21"/>
        <v>26.271610506241846</v>
      </c>
      <c r="AC58" s="17">
        <f t="shared" si="21"/>
        <v>26.271610506241846</v>
      </c>
      <c r="AD58" s="17">
        <f t="shared" si="21"/>
        <v>26.271610506241846</v>
      </c>
      <c r="AE58" s="17">
        <f t="shared" si="21"/>
        <v>26.271610506241846</v>
      </c>
      <c r="AF58" s="17">
        <f t="shared" si="21"/>
        <v>26.271610506241846</v>
      </c>
      <c r="AG58" s="17">
        <f t="shared" si="21"/>
        <v>26.271610506241846</v>
      </c>
      <c r="AH58" s="17">
        <f t="shared" si="21"/>
        <v>26.271610506241846</v>
      </c>
      <c r="AI58" s="17">
        <f t="shared" si="21"/>
        <v>26.271610506241846</v>
      </c>
      <c r="AJ58" s="17">
        <f t="shared" si="21"/>
        <v>26.271610506241846</v>
      </c>
      <c r="AK58" s="17">
        <f t="shared" si="21"/>
        <v>0</v>
      </c>
      <c r="AL58" s="17">
        <f t="shared" si="21"/>
        <v>0</v>
      </c>
      <c r="AM58" s="17">
        <f t="shared" si="21"/>
        <v>0</v>
      </c>
      <c r="AN58" s="17">
        <f t="shared" si="21"/>
        <v>0</v>
      </c>
      <c r="AO58" s="17">
        <f t="shared" si="21"/>
        <v>0</v>
      </c>
      <c r="AP58" s="17">
        <f t="shared" si="21"/>
        <v>0</v>
      </c>
      <c r="AQ58" s="17">
        <f t="shared" si="21"/>
        <v>0</v>
      </c>
      <c r="AR58" s="17">
        <f t="shared" si="21"/>
        <v>0</v>
      </c>
      <c r="AS58" s="17">
        <f t="shared" si="21"/>
        <v>0</v>
      </c>
      <c r="AT58" s="17">
        <f t="shared" si="21"/>
        <v>0</v>
      </c>
      <c r="AU58" s="17">
        <f t="shared" si="21"/>
        <v>0</v>
      </c>
      <c r="AV58" s="17">
        <f t="shared" si="21"/>
        <v>0</v>
      </c>
      <c r="AW58" s="17">
        <f t="shared" si="21"/>
        <v>0</v>
      </c>
      <c r="AX58" s="17">
        <f t="shared" si="21"/>
        <v>0</v>
      </c>
      <c r="AY58" s="17">
        <f t="shared" si="21"/>
        <v>0</v>
      </c>
      <c r="AZ58"/>
      <c r="BA58"/>
      <c r="BB58"/>
      <c r="BC58"/>
      <c r="BD58"/>
      <c r="BE58"/>
      <c r="BF58"/>
    </row>
    <row r="59" spans="1:58" ht="15" customHeight="1">
      <c r="C59" s="1"/>
      <c r="D59" s="1"/>
      <c r="E59" s="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99"/>
      <c r="BA59" s="199"/>
      <c r="BB59" s="199"/>
      <c r="BC59" s="199"/>
      <c r="BD59" s="199"/>
      <c r="BE59" s="199"/>
      <c r="BF59" s="199"/>
    </row>
    <row r="60" spans="1:58" ht="15" customHeight="1">
      <c r="D60" s="56" t="s">
        <v>404</v>
      </c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203"/>
      <c r="BA60" s="203"/>
      <c r="BB60" s="203"/>
      <c r="BC60" s="203"/>
      <c r="BD60" s="203"/>
      <c r="BE60" s="203"/>
      <c r="BF60" s="203"/>
    </row>
    <row r="61" spans="1:58" ht="15" customHeight="1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203"/>
      <c r="BA61" s="203"/>
      <c r="BB61" s="203"/>
      <c r="BC61" s="203"/>
      <c r="BD61" s="203"/>
      <c r="BE61" s="203"/>
      <c r="BF61" s="203"/>
    </row>
    <row r="62" spans="1:58" ht="15" customHeight="1">
      <c r="D62" s="1"/>
      <c r="E62" s="1"/>
      <c r="F62" s="1" t="s">
        <v>424</v>
      </c>
      <c r="G62" s="1"/>
      <c r="H62" s="1"/>
      <c r="I62" s="1"/>
      <c r="J62" s="168">
        <f>IF(Inputs!$I$129="Yes",J47+J57,J57)</f>
        <v>42.98099295146995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203"/>
      <c r="BA62" s="203"/>
      <c r="BB62" s="203"/>
      <c r="BC62" s="203"/>
      <c r="BD62" s="203"/>
      <c r="BE62" s="203"/>
      <c r="BF62" s="203"/>
    </row>
    <row r="63" spans="1:58" ht="15" customHeight="1">
      <c r="A63"/>
      <c r="B63"/>
      <c r="C63" s="1"/>
      <c r="D63" s="1"/>
      <c r="E63" s="1"/>
      <c r="F63" s="1" t="s">
        <v>425</v>
      </c>
      <c r="H63" s="1" t="str">
        <f>Inputs!$I$6</f>
        <v>£m 2024 prices</v>
      </c>
      <c r="K63" s="140"/>
      <c r="L63" s="17">
        <f>$J$62*L37</f>
        <v>42.98099295146995</v>
      </c>
      <c r="M63" s="17">
        <f t="shared" ref="M63:AY63" si="22">$J$62*M37</f>
        <v>42.98099295146995</v>
      </c>
      <c r="N63" s="17">
        <f t="shared" si="22"/>
        <v>42.98099295146995</v>
      </c>
      <c r="O63" s="17">
        <f t="shared" si="22"/>
        <v>42.98099295146995</v>
      </c>
      <c r="P63" s="17">
        <f t="shared" si="22"/>
        <v>42.98099295146995</v>
      </c>
      <c r="Q63" s="17">
        <f t="shared" si="22"/>
        <v>42.98099295146995</v>
      </c>
      <c r="R63" s="17">
        <f t="shared" si="22"/>
        <v>42.98099295146995</v>
      </c>
      <c r="S63" s="17">
        <f t="shared" si="22"/>
        <v>42.98099295146995</v>
      </c>
      <c r="T63" s="17">
        <f t="shared" si="22"/>
        <v>42.98099295146995</v>
      </c>
      <c r="U63" s="17">
        <f t="shared" si="22"/>
        <v>42.98099295146995</v>
      </c>
      <c r="V63" s="17">
        <f t="shared" si="22"/>
        <v>42.98099295146995</v>
      </c>
      <c r="W63" s="17">
        <f t="shared" si="22"/>
        <v>42.98099295146995</v>
      </c>
      <c r="X63" s="17">
        <f t="shared" si="22"/>
        <v>42.98099295146995</v>
      </c>
      <c r="Y63" s="17">
        <f t="shared" si="22"/>
        <v>42.98099295146995</v>
      </c>
      <c r="Z63" s="17">
        <f t="shared" si="22"/>
        <v>42.98099295146995</v>
      </c>
      <c r="AA63" s="17">
        <f t="shared" si="22"/>
        <v>42.98099295146995</v>
      </c>
      <c r="AB63" s="17">
        <f t="shared" si="22"/>
        <v>42.98099295146995</v>
      </c>
      <c r="AC63" s="17">
        <f t="shared" si="22"/>
        <v>42.98099295146995</v>
      </c>
      <c r="AD63" s="17">
        <f t="shared" si="22"/>
        <v>42.98099295146995</v>
      </c>
      <c r="AE63" s="17">
        <f t="shared" si="22"/>
        <v>42.98099295146995</v>
      </c>
      <c r="AF63" s="17">
        <f t="shared" si="22"/>
        <v>42.98099295146995</v>
      </c>
      <c r="AG63" s="17">
        <f t="shared" si="22"/>
        <v>42.98099295146995</v>
      </c>
      <c r="AH63" s="17">
        <f t="shared" si="22"/>
        <v>42.98099295146995</v>
      </c>
      <c r="AI63" s="17">
        <f t="shared" si="22"/>
        <v>42.98099295146995</v>
      </c>
      <c r="AJ63" s="17">
        <f t="shared" si="22"/>
        <v>42.98099295146995</v>
      </c>
      <c r="AK63" s="17">
        <f t="shared" si="22"/>
        <v>0</v>
      </c>
      <c r="AL63" s="17">
        <f t="shared" si="22"/>
        <v>0</v>
      </c>
      <c r="AM63" s="17">
        <f t="shared" si="22"/>
        <v>0</v>
      </c>
      <c r="AN63" s="17">
        <f t="shared" si="22"/>
        <v>0</v>
      </c>
      <c r="AO63" s="17">
        <f t="shared" si="22"/>
        <v>0</v>
      </c>
      <c r="AP63" s="17">
        <f t="shared" si="22"/>
        <v>0</v>
      </c>
      <c r="AQ63" s="17">
        <f t="shared" si="22"/>
        <v>0</v>
      </c>
      <c r="AR63" s="17">
        <f t="shared" si="22"/>
        <v>0</v>
      </c>
      <c r="AS63" s="17">
        <f t="shared" si="22"/>
        <v>0</v>
      </c>
      <c r="AT63" s="17">
        <f t="shared" si="22"/>
        <v>0</v>
      </c>
      <c r="AU63" s="17">
        <f t="shared" si="22"/>
        <v>0</v>
      </c>
      <c r="AV63" s="17">
        <f t="shared" si="22"/>
        <v>0</v>
      </c>
      <c r="AW63" s="17">
        <f t="shared" si="22"/>
        <v>0</v>
      </c>
      <c r="AX63" s="17">
        <f t="shared" si="22"/>
        <v>0</v>
      </c>
      <c r="AY63" s="17">
        <f t="shared" si="22"/>
        <v>0</v>
      </c>
      <c r="AZ63" s="203"/>
      <c r="BA63" s="203"/>
      <c r="BB63" s="203"/>
      <c r="BC63" s="203"/>
      <c r="BD63" s="203"/>
      <c r="BE63" s="203"/>
      <c r="BF63" s="203"/>
    </row>
    <row r="64" spans="1:58" ht="15" customHeight="1">
      <c r="A64"/>
      <c r="B64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99"/>
      <c r="BA64" s="199"/>
      <c r="BB64" s="199"/>
      <c r="BC64" s="199"/>
      <c r="BD64" s="199"/>
      <c r="BE64" s="199"/>
      <c r="BF64" s="199"/>
    </row>
    <row r="65" spans="1:58" s="189" customFormat="1" ht="15" customHeight="1">
      <c r="A65" s="23"/>
      <c r="B65" s="188" t="s">
        <v>426</v>
      </c>
      <c r="C65" s="193"/>
      <c r="D65" s="193"/>
      <c r="E65" s="192"/>
      <c r="F65" s="192"/>
      <c r="G65" s="192"/>
      <c r="H65" s="192"/>
      <c r="I65" s="192"/>
      <c r="J65" s="191"/>
      <c r="K65" s="191"/>
      <c r="L65" s="191"/>
      <c r="M65" s="191"/>
      <c r="N65" s="191"/>
      <c r="O65" s="191"/>
      <c r="P65" s="191"/>
      <c r="Q65" s="191"/>
      <c r="R65" s="191"/>
      <c r="S65" s="191"/>
      <c r="T65" s="191"/>
      <c r="U65" s="191"/>
      <c r="V65" s="191"/>
      <c r="W65" s="191"/>
      <c r="X65" s="191"/>
      <c r="Y65" s="191"/>
      <c r="Z65" s="191"/>
      <c r="AA65" s="191"/>
      <c r="AB65" s="191"/>
      <c r="AC65" s="191"/>
      <c r="AD65" s="191"/>
      <c r="AE65" s="191"/>
      <c r="AF65" s="191"/>
      <c r="AG65" s="191"/>
      <c r="AH65" s="191"/>
      <c r="AI65" s="191"/>
      <c r="AJ65" s="191"/>
      <c r="AK65" s="191"/>
      <c r="AL65" s="191"/>
      <c r="AM65" s="191"/>
      <c r="AN65" s="191"/>
      <c r="AO65" s="191"/>
      <c r="AP65" s="191"/>
      <c r="AQ65" s="191"/>
      <c r="AR65" s="191"/>
      <c r="AS65" s="191"/>
      <c r="AT65" s="191"/>
      <c r="AU65" s="191"/>
      <c r="AV65" s="191"/>
      <c r="AW65" s="191"/>
      <c r="AX65" s="191"/>
      <c r="AY65" s="191"/>
      <c r="AZ65" s="190"/>
      <c r="BA65" s="190"/>
      <c r="BB65" s="190"/>
      <c r="BC65" s="190"/>
      <c r="BD65" s="190"/>
      <c r="BE65" s="190"/>
      <c r="BF65" s="190"/>
    </row>
    <row r="66" spans="1:58" ht="15" customHeight="1">
      <c r="A66" s="23"/>
      <c r="B66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99"/>
      <c r="BA66" s="199"/>
      <c r="BB66" s="199"/>
      <c r="BC66" s="199"/>
      <c r="BD66" s="199"/>
      <c r="BE66" s="199"/>
      <c r="BF66" s="199"/>
    </row>
    <row r="67" spans="1:58" ht="15" customHeight="1">
      <c r="A67" s="23"/>
      <c r="B67" s="1"/>
      <c r="C67" s="12" t="s">
        <v>427</v>
      </c>
      <c r="D67" s="50"/>
      <c r="E67" s="50"/>
      <c r="F67" s="50"/>
      <c r="G67" s="50"/>
      <c r="H67" s="50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203"/>
      <c r="BA67" s="203"/>
      <c r="BB67" s="203"/>
      <c r="BC67" s="203"/>
      <c r="BD67" s="203"/>
      <c r="BE67" s="203"/>
      <c r="BF67" s="203"/>
    </row>
    <row r="68" spans="1:58" ht="15" customHeight="1">
      <c r="A68" s="23"/>
      <c r="J68" s="140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0"/>
      <c r="AA68" s="140"/>
      <c r="AB68" s="140"/>
      <c r="AC68" s="140"/>
      <c r="AD68" s="140"/>
      <c r="AE68" s="140"/>
      <c r="AF68" s="140"/>
      <c r="AG68" s="140"/>
      <c r="AH68" s="140"/>
      <c r="AI68" s="140"/>
      <c r="AJ68" s="140"/>
      <c r="AK68" s="140"/>
      <c r="AL68" s="140"/>
      <c r="AM68" s="140"/>
      <c r="AN68" s="140"/>
      <c r="AO68" s="140"/>
      <c r="AP68" s="140"/>
      <c r="AQ68" s="140"/>
      <c r="AR68" s="140"/>
      <c r="AS68" s="140"/>
      <c r="AT68" s="140"/>
      <c r="AU68" s="140"/>
      <c r="AV68" s="140"/>
      <c r="AW68" s="140"/>
      <c r="AX68" s="140"/>
      <c r="AY68" s="140"/>
      <c r="AZ68" s="200"/>
      <c r="BA68" s="200"/>
      <c r="BB68" s="200"/>
      <c r="BC68" s="200"/>
      <c r="BD68" s="200"/>
      <c r="BE68" s="200"/>
      <c r="BF68" s="200"/>
    </row>
    <row r="69" spans="1:58" ht="15" customHeight="1">
      <c r="A69" s="23"/>
      <c r="B69"/>
      <c r="F69" s="1" t="s">
        <v>133</v>
      </c>
      <c r="H69" s="1" t="str">
        <f>Inputs!$I$6</f>
        <v>£m 2024 prices</v>
      </c>
      <c r="I69" s="1"/>
      <c r="J69" s="140"/>
      <c r="K69" s="140"/>
      <c r="L69" s="16">
        <f>Inputs!K37*L88</f>
        <v>0</v>
      </c>
      <c r="M69" s="16">
        <f>Inputs!L37*M88</f>
        <v>0</v>
      </c>
      <c r="N69" s="16">
        <f>Inputs!M37*N88</f>
        <v>8</v>
      </c>
      <c r="O69" s="16">
        <f>Inputs!N37*O88</f>
        <v>8</v>
      </c>
      <c r="P69" s="16">
        <f>Inputs!O37*P88</f>
        <v>8</v>
      </c>
      <c r="Q69" s="16">
        <f>Inputs!P37*Q88</f>
        <v>8</v>
      </c>
      <c r="R69" s="16">
        <f>Inputs!Q37*R88</f>
        <v>8</v>
      </c>
      <c r="S69" s="16">
        <f>Inputs!R37*S88</f>
        <v>8</v>
      </c>
      <c r="T69" s="16">
        <f>Inputs!S37*T88</f>
        <v>8</v>
      </c>
      <c r="U69" s="16">
        <f>Inputs!T37*U88</f>
        <v>8</v>
      </c>
      <c r="V69" s="16">
        <f>Inputs!U37*V88</f>
        <v>8</v>
      </c>
      <c r="W69" s="16">
        <f>Inputs!V37*W88</f>
        <v>8</v>
      </c>
      <c r="X69" s="16">
        <f>Inputs!W37*X88</f>
        <v>8</v>
      </c>
      <c r="Y69" s="16">
        <f>Inputs!X37*Y88</f>
        <v>8</v>
      </c>
      <c r="Z69" s="16">
        <f>Inputs!Y37*Z88</f>
        <v>8</v>
      </c>
      <c r="AA69" s="16">
        <f>Inputs!Z37*AA88</f>
        <v>8</v>
      </c>
      <c r="AB69" s="16">
        <f>Inputs!AA37*AB88</f>
        <v>8</v>
      </c>
      <c r="AC69" s="16">
        <f>Inputs!AB37*AC88</f>
        <v>8</v>
      </c>
      <c r="AD69" s="16">
        <f>Inputs!AC37*AD88</f>
        <v>8</v>
      </c>
      <c r="AE69" s="16">
        <f>Inputs!AD37*AE88</f>
        <v>8</v>
      </c>
      <c r="AF69" s="16">
        <f>Inputs!AE37*AF88</f>
        <v>8</v>
      </c>
      <c r="AG69" s="16">
        <f>Inputs!AF37*AG88</f>
        <v>8</v>
      </c>
      <c r="AH69" s="16">
        <f>Inputs!AG37*AH88</f>
        <v>8</v>
      </c>
      <c r="AI69" s="16">
        <f>Inputs!AH37*AI88</f>
        <v>8</v>
      </c>
      <c r="AJ69" s="16">
        <f>Inputs!AI37*AJ88</f>
        <v>8</v>
      </c>
      <c r="AK69" s="16">
        <f>Inputs!AJ37*AK88</f>
        <v>0</v>
      </c>
      <c r="AL69" s="16">
        <f>Inputs!AK37*AL88</f>
        <v>0</v>
      </c>
      <c r="AM69" s="16">
        <f>Inputs!AL37*AM88</f>
        <v>0</v>
      </c>
      <c r="AN69" s="16">
        <f>Inputs!AM37*AN88</f>
        <v>0</v>
      </c>
      <c r="AO69" s="16">
        <f>Inputs!AN37*AO88</f>
        <v>0</v>
      </c>
      <c r="AP69" s="16">
        <f>Inputs!AO37*AP88</f>
        <v>0</v>
      </c>
      <c r="AQ69" s="16">
        <f>Inputs!AP37*AQ88</f>
        <v>0</v>
      </c>
      <c r="AR69" s="16">
        <f>Inputs!AQ37*AR88</f>
        <v>0</v>
      </c>
      <c r="AS69" s="16">
        <f>Inputs!AR37*AS88</f>
        <v>0</v>
      </c>
      <c r="AT69" s="16">
        <f>Inputs!AS37*AT88</f>
        <v>0</v>
      </c>
      <c r="AU69" s="16">
        <f>Inputs!AT37*AU88</f>
        <v>0</v>
      </c>
      <c r="AV69" s="16">
        <f>Inputs!AU37*AV88</f>
        <v>0</v>
      </c>
      <c r="AW69" s="16">
        <f>Inputs!AV37*AW88</f>
        <v>0</v>
      </c>
      <c r="AX69" s="16">
        <f>Inputs!AW37*AX88</f>
        <v>0</v>
      </c>
      <c r="AY69" s="16">
        <f>Inputs!AX37*AY88</f>
        <v>0</v>
      </c>
      <c r="AZ69" s="203"/>
      <c r="BA69" s="203"/>
      <c r="BB69" s="203"/>
      <c r="BC69" s="203"/>
      <c r="BD69" s="203"/>
      <c r="BE69" s="203"/>
      <c r="BF69" s="203"/>
    </row>
    <row r="70" spans="1:58" ht="15" customHeight="1">
      <c r="A70" s="23"/>
      <c r="B70"/>
      <c r="F70" s="1" t="s">
        <v>381</v>
      </c>
      <c r="H70" s="1" t="str">
        <f>Inputs!$I$6</f>
        <v>£m 2024 prices</v>
      </c>
      <c r="I70" s="1"/>
      <c r="J70" s="140"/>
      <c r="K70" s="140"/>
      <c r="L70" s="16">
        <f>Inputs!K38*L88</f>
        <v>0</v>
      </c>
      <c r="M70" s="16">
        <f>Inputs!L38*M88</f>
        <v>0</v>
      </c>
      <c r="N70" s="16">
        <f>Inputs!M38*N88</f>
        <v>0</v>
      </c>
      <c r="O70" s="16">
        <f>Inputs!N38*O88</f>
        <v>0</v>
      </c>
      <c r="P70" s="16">
        <f>Inputs!O38*P88</f>
        <v>0</v>
      </c>
      <c r="Q70" s="16">
        <f>Inputs!P38*Q88</f>
        <v>0</v>
      </c>
      <c r="R70" s="16">
        <f>Inputs!Q38*R88</f>
        <v>0</v>
      </c>
      <c r="S70" s="16">
        <f>Inputs!R38*S88</f>
        <v>0</v>
      </c>
      <c r="T70" s="16">
        <f>Inputs!S38*T88</f>
        <v>0</v>
      </c>
      <c r="U70" s="16">
        <f>Inputs!T38*U88</f>
        <v>0</v>
      </c>
      <c r="V70" s="16">
        <f>Inputs!U38*V88</f>
        <v>0</v>
      </c>
      <c r="W70" s="16">
        <f>Inputs!V38*W88</f>
        <v>0</v>
      </c>
      <c r="X70" s="16">
        <f>Inputs!W38*X88</f>
        <v>0</v>
      </c>
      <c r="Y70" s="16">
        <f>Inputs!X38*Y88</f>
        <v>0</v>
      </c>
      <c r="Z70" s="16">
        <f>Inputs!Y38*Z88</f>
        <v>0</v>
      </c>
      <c r="AA70" s="16">
        <f>Inputs!Z38*AA88</f>
        <v>0</v>
      </c>
      <c r="AB70" s="16">
        <f>Inputs!AA38*AB88</f>
        <v>0</v>
      </c>
      <c r="AC70" s="16">
        <f>Inputs!AB38*AC88</f>
        <v>0</v>
      </c>
      <c r="AD70" s="16">
        <f>Inputs!AC38*AD88</f>
        <v>0</v>
      </c>
      <c r="AE70" s="16">
        <f>Inputs!AD38*AE88</f>
        <v>0</v>
      </c>
      <c r="AF70" s="16">
        <f>Inputs!AE38*AF88</f>
        <v>0</v>
      </c>
      <c r="AG70" s="16">
        <f>Inputs!AF38*AG88</f>
        <v>0</v>
      </c>
      <c r="AH70" s="16">
        <f>Inputs!AG38*AH88</f>
        <v>0</v>
      </c>
      <c r="AI70" s="16">
        <f>Inputs!AH38*AI88</f>
        <v>0</v>
      </c>
      <c r="AJ70" s="16">
        <f>Inputs!AI38*AJ88</f>
        <v>0</v>
      </c>
      <c r="AK70" s="16">
        <f>Inputs!AJ38*AK88</f>
        <v>0</v>
      </c>
      <c r="AL70" s="16">
        <f>Inputs!AK38*AL88</f>
        <v>0</v>
      </c>
      <c r="AM70" s="16">
        <f>Inputs!AL38*AM88</f>
        <v>0</v>
      </c>
      <c r="AN70" s="16">
        <f>Inputs!AM38*AN88</f>
        <v>0</v>
      </c>
      <c r="AO70" s="16">
        <f>Inputs!AN38*AO88</f>
        <v>0</v>
      </c>
      <c r="AP70" s="16">
        <f>Inputs!AO38*AP88</f>
        <v>0</v>
      </c>
      <c r="AQ70" s="16">
        <f>Inputs!AP38*AQ88</f>
        <v>0</v>
      </c>
      <c r="AR70" s="16">
        <f>Inputs!AQ38*AR88</f>
        <v>0</v>
      </c>
      <c r="AS70" s="16">
        <f>Inputs!AR38*AS88</f>
        <v>0</v>
      </c>
      <c r="AT70" s="16">
        <f>Inputs!AS38*AT88</f>
        <v>0</v>
      </c>
      <c r="AU70" s="16">
        <f>Inputs!AT38*AU88</f>
        <v>0</v>
      </c>
      <c r="AV70" s="16">
        <f>Inputs!AU38*AV88</f>
        <v>0</v>
      </c>
      <c r="AW70" s="16">
        <f>Inputs!AV38*AW88</f>
        <v>0</v>
      </c>
      <c r="AX70" s="16">
        <f>Inputs!AW38*AX88</f>
        <v>0</v>
      </c>
      <c r="AY70" s="16">
        <f>Inputs!AX38*AY88</f>
        <v>0</v>
      </c>
      <c r="AZ70" s="203"/>
      <c r="BA70" s="203"/>
      <c r="BB70" s="203"/>
      <c r="BC70" s="203"/>
      <c r="BD70" s="203"/>
      <c r="BE70" s="203"/>
      <c r="BF70" s="203"/>
    </row>
    <row r="71" spans="1:58" ht="15" customHeight="1">
      <c r="A71" s="23"/>
      <c r="B71"/>
      <c r="F71" s="1" t="s">
        <v>132</v>
      </c>
      <c r="H71" s="1" t="str">
        <f>Inputs!$I$6</f>
        <v>£m 2024 prices</v>
      </c>
      <c r="I71" s="1"/>
      <c r="J71" s="140"/>
      <c r="K71" s="140"/>
      <c r="L71" s="16">
        <f>Inputs!K36*L88</f>
        <v>0</v>
      </c>
      <c r="M71" s="16">
        <f>Inputs!L36*M88</f>
        <v>0</v>
      </c>
      <c r="N71" s="16">
        <f>Inputs!M36*N88</f>
        <v>0</v>
      </c>
      <c r="O71" s="16">
        <f>Inputs!N36*O88</f>
        <v>0</v>
      </c>
      <c r="P71" s="16">
        <f>Inputs!O36*P88</f>
        <v>0</v>
      </c>
      <c r="Q71" s="16">
        <f>Inputs!P36*Q88</f>
        <v>0</v>
      </c>
      <c r="R71" s="16">
        <f>Inputs!Q36*R88</f>
        <v>0</v>
      </c>
      <c r="S71" s="16">
        <f>Inputs!R36*S88</f>
        <v>0</v>
      </c>
      <c r="T71" s="16">
        <f>Inputs!S36*T88</f>
        <v>0</v>
      </c>
      <c r="U71" s="16">
        <f>Inputs!T36*U88</f>
        <v>0</v>
      </c>
      <c r="V71" s="16">
        <f>Inputs!U36*V88</f>
        <v>0</v>
      </c>
      <c r="W71" s="16">
        <f>Inputs!V36*W88</f>
        <v>0</v>
      </c>
      <c r="X71" s="16">
        <f>Inputs!W36*X88</f>
        <v>0</v>
      </c>
      <c r="Y71" s="16">
        <f>Inputs!X36*Y88</f>
        <v>0</v>
      </c>
      <c r="Z71" s="16">
        <f>Inputs!Y36*Z88</f>
        <v>0</v>
      </c>
      <c r="AA71" s="16">
        <f>Inputs!Z36*AA88</f>
        <v>0</v>
      </c>
      <c r="AB71" s="16">
        <f>Inputs!AA36*AB88</f>
        <v>0</v>
      </c>
      <c r="AC71" s="16">
        <f>Inputs!AB36*AC88</f>
        <v>0</v>
      </c>
      <c r="AD71" s="16">
        <f>Inputs!AC36*AD88</f>
        <v>0</v>
      </c>
      <c r="AE71" s="16">
        <f>Inputs!AD36*AE88</f>
        <v>0</v>
      </c>
      <c r="AF71" s="16">
        <f>Inputs!AE36*AF88</f>
        <v>0</v>
      </c>
      <c r="AG71" s="16">
        <f>Inputs!AF36*AG88</f>
        <v>0</v>
      </c>
      <c r="AH71" s="16">
        <f>Inputs!AG36*AH88</f>
        <v>0</v>
      </c>
      <c r="AI71" s="16">
        <f>Inputs!AH36*AI88</f>
        <v>0</v>
      </c>
      <c r="AJ71" s="16">
        <f>Inputs!AI36*AJ88</f>
        <v>69.337011026225994</v>
      </c>
      <c r="AK71" s="16">
        <f>Inputs!AJ36*AK88</f>
        <v>0</v>
      </c>
      <c r="AL71" s="16">
        <f>Inputs!AK36*AL88</f>
        <v>0</v>
      </c>
      <c r="AM71" s="16">
        <f>Inputs!AL36*AM88</f>
        <v>0</v>
      </c>
      <c r="AN71" s="16">
        <f>Inputs!AM36*AN88</f>
        <v>0</v>
      </c>
      <c r="AO71" s="16">
        <f>Inputs!AN36*AO88</f>
        <v>0</v>
      </c>
      <c r="AP71" s="16">
        <f>Inputs!AO36*AP88</f>
        <v>0</v>
      </c>
      <c r="AQ71" s="16">
        <f>Inputs!AP36*AQ88</f>
        <v>0</v>
      </c>
      <c r="AR71" s="16">
        <f>Inputs!AQ36*AR88</f>
        <v>0</v>
      </c>
      <c r="AS71" s="16">
        <f>Inputs!AR36*AS88</f>
        <v>0</v>
      </c>
      <c r="AT71" s="16">
        <f>Inputs!AS36*AT88</f>
        <v>0</v>
      </c>
      <c r="AU71" s="16">
        <f>Inputs!AT36*AU88</f>
        <v>0</v>
      </c>
      <c r="AV71" s="16">
        <f>Inputs!AU36*AV88</f>
        <v>0</v>
      </c>
      <c r="AW71" s="16">
        <f>Inputs!AV36*AW88</f>
        <v>0</v>
      </c>
      <c r="AX71" s="16">
        <f>Inputs!AW36*AX88</f>
        <v>0</v>
      </c>
      <c r="AY71" s="16">
        <f>Inputs!AX36*AY88</f>
        <v>0</v>
      </c>
      <c r="AZ71" s="203"/>
      <c r="BA71" s="203"/>
      <c r="BB71" s="203"/>
      <c r="BC71" s="203"/>
      <c r="BD71" s="203"/>
      <c r="BE71" s="203"/>
      <c r="BF71" s="203"/>
    </row>
    <row r="72" spans="1:58" ht="15" customHeight="1">
      <c r="A72" s="23"/>
      <c r="B72"/>
      <c r="F72" s="1" t="s">
        <v>354</v>
      </c>
      <c r="H72" s="1" t="str">
        <f>Inputs!$I$6</f>
        <v>£m 2024 prices</v>
      </c>
      <c r="I72" s="1"/>
      <c r="J72" s="140"/>
      <c r="K72" s="140"/>
      <c r="L72" s="16">
        <f>SUMIF(Finance!10:10,Allowances_Floor!L4,Finance!151:151)</f>
        <v>0</v>
      </c>
      <c r="M72" s="16">
        <f>SUMIF(Finance!10:10,Allowances_Floor!M4,Finance!151:151)</f>
        <v>0</v>
      </c>
      <c r="N72" s="16">
        <f>SUMIF(Finance!10:10,Allowances_Floor!N4,Finance!151:151)</f>
        <v>55.31539374912807</v>
      </c>
      <c r="O72" s="16">
        <f>SUMIF(Finance!10:10,Allowances_Floor!O4,Finance!151:151)</f>
        <v>52.919816975271658</v>
      </c>
      <c r="P72" s="16">
        <f>SUMIF(Finance!10:10,Allowances_Floor!P4,Finance!151:151)</f>
        <v>50.596917416787896</v>
      </c>
      <c r="Q72" s="16">
        <f>SUMIF(Finance!10:10,Allowances_Floor!Q4,Finance!151:151)</f>
        <v>48.344766008242637</v>
      </c>
      <c r="R72" s="16">
        <f>SUMIF(Finance!10:10,Allowances_Floor!R4,Finance!151:151)</f>
        <v>46.161481391798432</v>
      </c>
      <c r="S72" s="16">
        <f>SUMIF(Finance!10:10,Allowances_Floor!S4,Finance!151:151)</f>
        <v>44.045228787991313</v>
      </c>
      <c r="T72" s="16">
        <f>SUMIF(Finance!10:10,Allowances_Floor!T4,Finance!151:151)</f>
        <v>41.994218892448906</v>
      </c>
      <c r="U72" s="16">
        <f>SUMIF(Finance!10:10,Allowances_Floor!U4,Finance!151:151)</f>
        <v>40.006706797966608</v>
      </c>
      <c r="V72" s="16">
        <f>SUMIF(Finance!10:10,Allowances_Floor!V4,Finance!151:151)</f>
        <v>38.080990941371574</v>
      </c>
      <c r="W72" s="16">
        <f>SUMIF(Finance!10:10,Allowances_Floor!W4,Finance!151:151)</f>
        <v>36.215412074616872</v>
      </c>
      <c r="X72" s="16">
        <f>SUMIF(Finance!10:10,Allowances_Floor!X4,Finance!151:151)</f>
        <v>34.408352259560594</v>
      </c>
      <c r="Y72" s="16">
        <f>SUMIF(Finance!10:10,Allowances_Floor!Y4,Finance!151:151)</f>
        <v>32.658233885896522</v>
      </c>
      <c r="Z72" s="16">
        <f>SUMIF(Finance!10:10,Allowances_Floor!Z4,Finance!151:151)</f>
        <v>30.963518711715025</v>
      </c>
      <c r="AA72" s="16">
        <f>SUMIF(Finance!10:10,Allowances_Floor!AA4,Finance!151:151)</f>
        <v>29.322706926184285</v>
      </c>
      <c r="AB72" s="16">
        <f>SUMIF(Finance!10:10,Allowances_Floor!AB4,Finance!151:151)</f>
        <v>27.734336233853242</v>
      </c>
      <c r="AC72" s="16">
        <f>SUMIF(Finance!10:10,Allowances_Floor!AC4,Finance!151:151)</f>
        <v>26.196980960088741</v>
      </c>
      <c r="AD72" s="16">
        <f>SUMIF(Finance!10:10,Allowances_Floor!AD4,Finance!151:151)</f>
        <v>24.70925117717012</v>
      </c>
      <c r="AE72" s="16">
        <f>SUMIF(Finance!10:10,Allowances_Floor!AE4,Finance!151:151)</f>
        <v>23.269791850575068</v>
      </c>
      <c r="AF72" s="16">
        <f>SUMIF(Finance!10:10,Allowances_Floor!AF4,Finance!151:151)</f>
        <v>21.877282005000989</v>
      </c>
      <c r="AG72" s="16">
        <f>SUMIF(Finance!10:10,Allowances_Floor!AG4,Finance!151:151)</f>
        <v>20.530433909676031</v>
      </c>
      <c r="AH72" s="16">
        <f>SUMIF(Finance!10:10,Allowances_Floor!AH4,Finance!151:151)</f>
        <v>19.227992282524138</v>
      </c>
      <c r="AI72" s="16">
        <f>SUMIF(Finance!10:10,Allowances_Floor!AI4,Finance!151:151)</f>
        <v>17.968733512757797</v>
      </c>
      <c r="AJ72" s="16">
        <f>SUMIF(Finance!10:10,Allowances_Floor!AJ4,Finance!151:151)</f>
        <v>16.751464901481899</v>
      </c>
      <c r="AK72" s="16">
        <f>SUMIF(Finance!10:10,Allowances_Floor!AK4,Finance!151:151)</f>
        <v>0</v>
      </c>
      <c r="AL72" s="16">
        <f>SUMIF(Finance!10:10,Allowances_Floor!AL4,Finance!151:151)</f>
        <v>0</v>
      </c>
      <c r="AM72" s="16">
        <f>SUMIF(Finance!10:10,Allowances_Floor!AM4,Finance!151:151)</f>
        <v>0</v>
      </c>
      <c r="AN72" s="16">
        <f>SUMIF(Finance!10:10,Allowances_Floor!AN4,Finance!151:151)</f>
        <v>0</v>
      </c>
      <c r="AO72" s="16">
        <f>SUMIF(Finance!10:10,Allowances_Floor!AO4,Finance!151:151)</f>
        <v>0</v>
      </c>
      <c r="AP72" s="16">
        <f>SUMIF(Finance!10:10,Allowances_Floor!AP4,Finance!151:151)</f>
        <v>0</v>
      </c>
      <c r="AQ72" s="16">
        <f>SUMIF(Finance!10:10,Allowances_Floor!AQ4,Finance!151:151)</f>
        <v>0</v>
      </c>
      <c r="AR72" s="16">
        <f>SUMIF(Finance!10:10,Allowances_Floor!AR4,Finance!151:151)</f>
        <v>0</v>
      </c>
      <c r="AS72" s="16">
        <f>SUMIF(Finance!10:10,Allowances_Floor!AS4,Finance!151:151)</f>
        <v>0</v>
      </c>
      <c r="AT72" s="16">
        <f>SUMIF(Finance!10:10,Allowances_Floor!AT4,Finance!151:151)</f>
        <v>0</v>
      </c>
      <c r="AU72" s="16">
        <f>SUMIF(Finance!10:10,Allowances_Floor!AU4,Finance!151:151)</f>
        <v>0</v>
      </c>
      <c r="AV72" s="16">
        <f>SUMIF(Finance!10:10,Allowances_Floor!AV4,Finance!151:151)</f>
        <v>0</v>
      </c>
      <c r="AW72" s="16">
        <f>SUMIF(Finance!10:10,Allowances_Floor!AW4,Finance!151:151)</f>
        <v>0</v>
      </c>
      <c r="AX72" s="16">
        <f>SUMIF(Finance!10:10,Allowances_Floor!AX4,Finance!151:151)</f>
        <v>0</v>
      </c>
      <c r="AY72" s="16">
        <f>SUMIF(Finance!10:10,Allowances_Floor!AY4,Finance!151:151)</f>
        <v>0</v>
      </c>
      <c r="AZ72" s="203"/>
      <c r="BA72" s="203"/>
      <c r="BB72" s="203"/>
      <c r="BC72" s="203"/>
      <c r="BD72" s="203"/>
      <c r="BE72" s="203"/>
      <c r="BF72" s="203"/>
    </row>
    <row r="73" spans="1:58" ht="15" customHeight="1">
      <c r="A73" s="23"/>
      <c r="B73"/>
      <c r="C73"/>
      <c r="F73" s="11" t="s">
        <v>409</v>
      </c>
      <c r="H73" s="1" t="str">
        <f>Inputs!$I$6</f>
        <v>£m 2024 prices</v>
      </c>
      <c r="I73" s="1"/>
      <c r="J73" s="1"/>
      <c r="L73" s="136">
        <f t="shared" ref="L73:AJ73" si="23">SUM(L69:L72)</f>
        <v>0</v>
      </c>
      <c r="M73" s="136">
        <f t="shared" si="23"/>
        <v>0</v>
      </c>
      <c r="N73" s="136">
        <f t="shared" si="23"/>
        <v>63.31539374912807</v>
      </c>
      <c r="O73" s="136">
        <f t="shared" si="23"/>
        <v>60.919816975271658</v>
      </c>
      <c r="P73" s="136">
        <f t="shared" si="23"/>
        <v>58.596917416787896</v>
      </c>
      <c r="Q73" s="136">
        <f t="shared" si="23"/>
        <v>56.344766008242637</v>
      </c>
      <c r="R73" s="136">
        <f t="shared" si="23"/>
        <v>54.161481391798432</v>
      </c>
      <c r="S73" s="136">
        <f t="shared" si="23"/>
        <v>52.045228787991313</v>
      </c>
      <c r="T73" s="136">
        <f t="shared" si="23"/>
        <v>49.994218892448906</v>
      </c>
      <c r="U73" s="136">
        <f t="shared" si="23"/>
        <v>48.006706797966608</v>
      </c>
      <c r="V73" s="136">
        <f t="shared" si="23"/>
        <v>46.080990941371574</v>
      </c>
      <c r="W73" s="136">
        <f t="shared" si="23"/>
        <v>44.215412074616872</v>
      </c>
      <c r="X73" s="136">
        <f t="shared" si="23"/>
        <v>42.408352259560594</v>
      </c>
      <c r="Y73" s="136">
        <f t="shared" si="23"/>
        <v>40.658233885896522</v>
      </c>
      <c r="Z73" s="136">
        <f t="shared" si="23"/>
        <v>38.963518711715025</v>
      </c>
      <c r="AA73" s="136">
        <f t="shared" si="23"/>
        <v>37.322706926184281</v>
      </c>
      <c r="AB73" s="136">
        <f t="shared" si="23"/>
        <v>35.734336233853242</v>
      </c>
      <c r="AC73" s="136">
        <f t="shared" si="23"/>
        <v>34.196980960088737</v>
      </c>
      <c r="AD73" s="136">
        <f t="shared" si="23"/>
        <v>32.709251177170117</v>
      </c>
      <c r="AE73" s="136">
        <f t="shared" si="23"/>
        <v>31.269791850575068</v>
      </c>
      <c r="AF73" s="136">
        <f t="shared" si="23"/>
        <v>29.877282005000989</v>
      </c>
      <c r="AG73" s="136">
        <f t="shared" si="23"/>
        <v>28.530433909676031</v>
      </c>
      <c r="AH73" s="136">
        <f t="shared" si="23"/>
        <v>27.227992282524138</v>
      </c>
      <c r="AI73" s="136">
        <f t="shared" si="23"/>
        <v>25.968733512757797</v>
      </c>
      <c r="AJ73" s="136">
        <f t="shared" si="23"/>
        <v>94.08847592770789</v>
      </c>
      <c r="AK73" s="136">
        <f t="shared" ref="AK73:AY73" si="24">SUM(AK69:AK72)</f>
        <v>0</v>
      </c>
      <c r="AL73" s="136">
        <f t="shared" si="24"/>
        <v>0</v>
      </c>
      <c r="AM73" s="136">
        <f t="shared" si="24"/>
        <v>0</v>
      </c>
      <c r="AN73" s="136">
        <f t="shared" si="24"/>
        <v>0</v>
      </c>
      <c r="AO73" s="136">
        <f t="shared" si="24"/>
        <v>0</v>
      </c>
      <c r="AP73" s="136">
        <f t="shared" si="24"/>
        <v>0</v>
      </c>
      <c r="AQ73" s="136">
        <f t="shared" si="24"/>
        <v>0</v>
      </c>
      <c r="AR73" s="136">
        <f t="shared" si="24"/>
        <v>0</v>
      </c>
      <c r="AS73" s="136">
        <f t="shared" si="24"/>
        <v>0</v>
      </c>
      <c r="AT73" s="136">
        <f t="shared" si="24"/>
        <v>0</v>
      </c>
      <c r="AU73" s="136">
        <f t="shared" si="24"/>
        <v>0</v>
      </c>
      <c r="AV73" s="136">
        <f t="shared" si="24"/>
        <v>0</v>
      </c>
      <c r="AW73" s="136">
        <f t="shared" si="24"/>
        <v>0</v>
      </c>
      <c r="AX73" s="136">
        <f t="shared" si="24"/>
        <v>0</v>
      </c>
      <c r="AY73" s="136">
        <f t="shared" si="24"/>
        <v>0</v>
      </c>
      <c r="AZ73" s="203"/>
      <c r="BA73" s="203"/>
      <c r="BB73" s="203"/>
      <c r="BC73" s="203"/>
      <c r="BD73" s="203"/>
      <c r="BE73" s="203"/>
      <c r="BF73" s="203"/>
    </row>
    <row r="74" spans="1:58" ht="15" customHeight="1">
      <c r="A74" s="23"/>
      <c r="B74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99"/>
      <c r="BA74" s="199"/>
      <c r="BB74" s="199"/>
      <c r="BC74" s="199"/>
      <c r="BD74" s="199"/>
      <c r="BE74" s="199"/>
      <c r="BF74" s="199"/>
    </row>
    <row r="75" spans="1:58" ht="15" customHeight="1">
      <c r="A75" s="23"/>
      <c r="B75"/>
      <c r="C75" s="12" t="s">
        <v>428</v>
      </c>
      <c r="D75" s="50"/>
      <c r="E75" s="50"/>
      <c r="F75" s="50"/>
      <c r="G75" s="50"/>
      <c r="H75" s="50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203"/>
      <c r="BA75" s="203"/>
      <c r="BB75" s="203"/>
      <c r="BC75" s="203"/>
      <c r="BD75" s="203"/>
      <c r="BE75" s="203"/>
      <c r="BF75" s="203"/>
    </row>
    <row r="76" spans="1:58" ht="15" customHeight="1">
      <c r="A76" s="23"/>
      <c r="B76"/>
      <c r="J76" s="140"/>
      <c r="K76" s="140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0"/>
      <c r="AA76" s="140"/>
      <c r="AB76" s="140"/>
      <c r="AC76" s="140"/>
      <c r="AD76" s="140"/>
      <c r="AE76" s="140"/>
      <c r="AF76" s="140"/>
      <c r="AG76" s="140"/>
      <c r="AH76" s="140"/>
      <c r="AI76" s="140"/>
      <c r="AJ76" s="140"/>
      <c r="AK76" s="140"/>
      <c r="AL76" s="140"/>
      <c r="AM76" s="140"/>
      <c r="AN76" s="140"/>
      <c r="AO76" s="140"/>
      <c r="AP76" s="140"/>
      <c r="AQ76" s="140"/>
      <c r="AR76" s="140"/>
      <c r="AS76" s="140"/>
      <c r="AT76" s="140"/>
      <c r="AU76" s="140"/>
      <c r="AV76" s="140"/>
      <c r="AW76" s="140"/>
      <c r="AX76" s="140"/>
      <c r="AY76" s="140"/>
      <c r="AZ76" s="200"/>
      <c r="BA76" s="200"/>
      <c r="BB76" s="200"/>
      <c r="BC76" s="200"/>
      <c r="BD76" s="200"/>
      <c r="BE76" s="200"/>
      <c r="BF76" s="200"/>
    </row>
    <row r="77" spans="1:58" ht="15" customHeight="1">
      <c r="A77" s="23"/>
      <c r="B77"/>
      <c r="C77" s="1"/>
      <c r="D77" s="56" t="s">
        <v>429</v>
      </c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203"/>
      <c r="BA77" s="203"/>
      <c r="BB77" s="203"/>
      <c r="BC77" s="203"/>
      <c r="BD77" s="203"/>
      <c r="BE77" s="203"/>
      <c r="BF77" s="203"/>
    </row>
    <row r="78" spans="1:58" ht="15" customHeight="1">
      <c r="A78" s="23"/>
      <c r="B78"/>
      <c r="C78" s="1"/>
      <c r="D78" s="1"/>
      <c r="E78" s="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99"/>
      <c r="BA78" s="199"/>
      <c r="BB78" s="199"/>
      <c r="BC78" s="199"/>
      <c r="BD78" s="199"/>
      <c r="BE78" s="199"/>
      <c r="BF78" s="199"/>
    </row>
    <row r="79" spans="1:58" ht="15" customHeight="1">
      <c r="A79" s="23"/>
      <c r="B79"/>
      <c r="C79" s="1"/>
      <c r="D79" s="1"/>
      <c r="E79" s="1"/>
      <c r="F79" s="77" t="s">
        <v>83</v>
      </c>
      <c r="H79" s="1" t="s">
        <v>142</v>
      </c>
      <c r="L79" s="146">
        <f>IFERROR(INDEX(Inputs!K171:AX171, MATCH(L4,Inputs!K170:AX170,0)),"")</f>
        <v>0.02</v>
      </c>
      <c r="M79" s="146">
        <f>IFERROR(INDEX(Inputs!L171:AY171, MATCH(M4,Inputs!L170:AY170,0)),"")</f>
        <v>0.02</v>
      </c>
      <c r="N79" s="146">
        <f>IFERROR(INDEX(Inputs!M171:AZ171, MATCH(N4,Inputs!M170:AZ170,0)),"")</f>
        <v>0.02</v>
      </c>
      <c r="O79" s="146">
        <f>IFERROR(INDEX(Inputs!N171:BA171, MATCH(O4,Inputs!N170:BA170,0)),"")</f>
        <v>0.02</v>
      </c>
      <c r="P79" s="146">
        <f>IFERROR(INDEX(Inputs!O171:BB171, MATCH(P4,Inputs!O170:BB170,0)),"")</f>
        <v>0.02</v>
      </c>
      <c r="Q79" s="146">
        <f>IFERROR(INDEX(Inputs!P171:BC171, MATCH(Q4,Inputs!P170:BC170,0)),"")</f>
        <v>0.02</v>
      </c>
      <c r="R79" s="146">
        <f>IFERROR(INDEX(Inputs!Q171:BD171, MATCH(R4,Inputs!Q170:BD170,0)),"")</f>
        <v>0.02</v>
      </c>
      <c r="S79" s="146">
        <f>IFERROR(INDEX(Inputs!R171:BE171, MATCH(S4,Inputs!R170:BE170,0)),"")</f>
        <v>0.02</v>
      </c>
      <c r="T79" s="146">
        <f>IFERROR(INDEX(Inputs!S171:BF171, MATCH(T4,Inputs!S170:BF170,0)),"")</f>
        <v>0.02</v>
      </c>
      <c r="U79" s="146">
        <f>IFERROR(INDEX(Inputs!T171:BG171, MATCH(U4,Inputs!T170:BG170,0)),"")</f>
        <v>0.02</v>
      </c>
      <c r="V79" s="146">
        <f>IFERROR(INDEX(Inputs!U171:BH171, MATCH(V4,Inputs!U170:BH170,0)),"")</f>
        <v>0.02</v>
      </c>
      <c r="W79" s="146">
        <f>IFERROR(INDEX(Inputs!V171:BI171, MATCH(W4,Inputs!V170:BI170,0)),"")</f>
        <v>0.02</v>
      </c>
      <c r="X79" s="146">
        <f>IFERROR(INDEX(Inputs!W171:BJ171, MATCH(X4,Inputs!W170:BJ170,0)),"")</f>
        <v>0.02</v>
      </c>
      <c r="Y79" s="146">
        <f>IFERROR(INDEX(Inputs!X171:BK171, MATCH(Y4,Inputs!X170:BK170,0)),"")</f>
        <v>0.02</v>
      </c>
      <c r="Z79" s="146">
        <f>IFERROR(INDEX(Inputs!Y171:BL171, MATCH(Z4,Inputs!Y170:BL170,0)),"")</f>
        <v>0.02</v>
      </c>
      <c r="AA79" s="146">
        <f>IFERROR(INDEX(Inputs!Z171:BM171, MATCH(AA4,Inputs!Z170:BM170,0)),"")</f>
        <v>0.02</v>
      </c>
      <c r="AB79" s="146">
        <f>IFERROR(INDEX(Inputs!AA171:BN171, MATCH(AB4,Inputs!AA170:BN170,0)),"")</f>
        <v>0.02</v>
      </c>
      <c r="AC79" s="146">
        <f>IFERROR(INDEX(Inputs!AB171:BO171, MATCH(AC4,Inputs!AB170:BO170,0)),"")</f>
        <v>0.02</v>
      </c>
      <c r="AD79" s="146">
        <f>IFERROR(INDEX(Inputs!AC171:BP171, MATCH(AD4,Inputs!AC170:BP170,0)),"")</f>
        <v>0.02</v>
      </c>
      <c r="AE79" s="146">
        <f>IFERROR(INDEX(Inputs!AD171:BQ171, MATCH(AE4,Inputs!AD170:BQ170,0)),"")</f>
        <v>0.02</v>
      </c>
      <c r="AF79" s="146">
        <f>IFERROR(INDEX(Inputs!AE171:BR171, MATCH(AF4,Inputs!AE170:BR170,0)),"")</f>
        <v>0.02</v>
      </c>
      <c r="AG79" s="146">
        <f>IFERROR(INDEX(Inputs!AF171:BS171, MATCH(AG4,Inputs!AF170:BS170,0)),"")</f>
        <v>0.02</v>
      </c>
      <c r="AH79" s="146">
        <f>IFERROR(INDEX(Inputs!AG171:BT171, MATCH(AH4,Inputs!AG170:BT170,0)),"")</f>
        <v>0.02</v>
      </c>
      <c r="AI79" s="146">
        <f>IFERROR(INDEX(Inputs!AH171:BU171, MATCH(AI4,Inputs!AH170:BU170,0)),"")</f>
        <v>0.02</v>
      </c>
      <c r="AJ79" s="146">
        <f>IFERROR(INDEX(Inputs!AI171:BV171, MATCH(AJ4,Inputs!AI170:BV170,0)),"")</f>
        <v>0.02</v>
      </c>
      <c r="AK79" s="146" t="str">
        <f>IFERROR(INDEX(Inputs!AJ171:BW171, MATCH(AK4,Inputs!AJ170:BW170,0)),"")</f>
        <v/>
      </c>
      <c r="AL79" s="146" t="str">
        <f>IFERROR(INDEX(Inputs!AK171:BX171, MATCH(AL4,Inputs!AK170:BX170,0)),"")</f>
        <v/>
      </c>
      <c r="AM79" s="146" t="str">
        <f>IFERROR(INDEX(Inputs!AL171:BY171, MATCH(AM4,Inputs!AL170:BY170,0)),"")</f>
        <v/>
      </c>
      <c r="AN79" s="146" t="str">
        <f>IFERROR(INDEX(Inputs!AM171:BZ171, MATCH(AN4,Inputs!AM170:BZ170,0)),"")</f>
        <v/>
      </c>
      <c r="AO79" s="146" t="str">
        <f>IFERROR(INDEX(Inputs!AN171:CA171, MATCH(AO4,Inputs!AN170:CA170,0)),"")</f>
        <v/>
      </c>
      <c r="AP79" s="146" t="str">
        <f>IFERROR(INDEX(Inputs!AO171:CB171, MATCH(AP4,Inputs!AO170:CB170,0)),"")</f>
        <v/>
      </c>
      <c r="AQ79" s="146" t="str">
        <f>IFERROR(INDEX(Inputs!AP171:CC171, MATCH(AQ4,Inputs!AP170:CC170,0)),"")</f>
        <v/>
      </c>
      <c r="AR79" s="146" t="str">
        <f>IFERROR(INDEX(Inputs!AQ171:CD171, MATCH(AR4,Inputs!AQ170:CD170,0)),"")</f>
        <v/>
      </c>
      <c r="AS79" s="146" t="str">
        <f>IFERROR(INDEX(Inputs!AR171:CE171, MATCH(AS4,Inputs!AR170:CE170,0)),"")</f>
        <v/>
      </c>
      <c r="AT79" s="146" t="str">
        <f>IFERROR(INDEX(Inputs!AS171:CF171, MATCH(AT4,Inputs!AS170:CF170,0)),"")</f>
        <v/>
      </c>
      <c r="AU79" s="146" t="str">
        <f>IFERROR(INDEX(Inputs!AT171:CG171, MATCH(AU4,Inputs!AT170:CG170,0)),"")</f>
        <v/>
      </c>
      <c r="AV79" s="146" t="str">
        <f>IFERROR(INDEX(Inputs!AU171:CH171, MATCH(AV4,Inputs!AU170:CH170,0)),"")</f>
        <v/>
      </c>
      <c r="AW79" s="146" t="str">
        <f>IFERROR(INDEX(Inputs!AV171:CI171, MATCH(AW4,Inputs!AV170:CI170,0)),"")</f>
        <v/>
      </c>
      <c r="AX79" s="146" t="str">
        <f>IFERROR(INDEX(Inputs!AW171:CJ171, MATCH(AX4,Inputs!AW170:CJ170,0)),"")</f>
        <v/>
      </c>
      <c r="AY79" s="146" t="str">
        <f>IFERROR(INDEX(Inputs!AX171:CK171, MATCH(AY4,Inputs!AX170:CK170,0)),"")</f>
        <v/>
      </c>
      <c r="AZ79" s="199"/>
      <c r="BA79" s="199"/>
      <c r="BB79" s="199"/>
      <c r="BC79" s="199"/>
      <c r="BD79" s="199"/>
      <c r="BE79" s="199"/>
      <c r="BF79" s="199"/>
    </row>
    <row r="80" spans="1:58" ht="15" customHeight="1">
      <c r="A80" s="23"/>
      <c r="B80"/>
      <c r="C80" s="1"/>
      <c r="D80" s="1"/>
      <c r="E80" s="1"/>
      <c r="F80" s="11" t="s">
        <v>260</v>
      </c>
      <c r="H80" s="11" t="s">
        <v>160</v>
      </c>
      <c r="L80" s="146">
        <f>SUMIF(Finance!10:10,Allowances_Floor!L4,Finance!125:125)</f>
        <v>0</v>
      </c>
      <c r="M80" s="146">
        <f>SUMIF(Finance!10:10,Allowances_Floor!M4,Finance!125:125)</f>
        <v>0</v>
      </c>
      <c r="N80" s="146">
        <f>SUMIF(Finance!10:10,Allowances_Floor!N4,Finance!125:125)</f>
        <v>6.4000000000000001E-2</v>
      </c>
      <c r="O80" s="146">
        <f>SUMIF(Finance!10:10,Allowances_Floor!O4,Finance!125:125)</f>
        <v>6.4000000000000001E-2</v>
      </c>
      <c r="P80" s="146">
        <f>SUMIF(Finance!10:10,Allowances_Floor!P4,Finance!125:125)</f>
        <v>6.4000000000000001E-2</v>
      </c>
      <c r="Q80" s="146">
        <f>SUMIF(Finance!10:10,Allowances_Floor!Q4,Finance!125:125)</f>
        <v>6.4000000000000001E-2</v>
      </c>
      <c r="R80" s="146">
        <f>SUMIF(Finance!10:10,Allowances_Floor!R4,Finance!125:125)</f>
        <v>6.4000000000000001E-2</v>
      </c>
      <c r="S80" s="146">
        <f>SUMIF(Finance!10:10,Allowances_Floor!S4,Finance!125:125)</f>
        <v>6.4000000000000001E-2</v>
      </c>
      <c r="T80" s="146">
        <f>SUMIF(Finance!10:10,Allowances_Floor!T4,Finance!125:125)</f>
        <v>6.4000000000000001E-2</v>
      </c>
      <c r="U80" s="146">
        <f>SUMIF(Finance!10:10,Allowances_Floor!U4,Finance!125:125)</f>
        <v>6.4000000000000001E-2</v>
      </c>
      <c r="V80" s="146">
        <f>SUMIF(Finance!10:10,Allowances_Floor!V4,Finance!125:125)</f>
        <v>6.4000000000000001E-2</v>
      </c>
      <c r="W80" s="146">
        <f>SUMIF(Finance!10:10,Allowances_Floor!W4,Finance!125:125)</f>
        <v>6.4000000000000001E-2</v>
      </c>
      <c r="X80" s="146">
        <f>SUMIF(Finance!10:10,Allowances_Floor!X4,Finance!125:125)</f>
        <v>6.4000000000000001E-2</v>
      </c>
      <c r="Y80" s="146">
        <f>SUMIF(Finance!10:10,Allowances_Floor!Y4,Finance!125:125)</f>
        <v>6.4000000000000001E-2</v>
      </c>
      <c r="Z80" s="146">
        <f>SUMIF(Finance!10:10,Allowances_Floor!Z4,Finance!125:125)</f>
        <v>6.4000000000000001E-2</v>
      </c>
      <c r="AA80" s="146">
        <f>SUMIF(Finance!10:10,Allowances_Floor!AA4,Finance!125:125)</f>
        <v>6.4000000000000001E-2</v>
      </c>
      <c r="AB80" s="146">
        <f>SUMIF(Finance!10:10,Allowances_Floor!AB4,Finance!125:125)</f>
        <v>6.4000000000000001E-2</v>
      </c>
      <c r="AC80" s="146">
        <f>SUMIF(Finance!10:10,Allowances_Floor!AC4,Finance!125:125)</f>
        <v>6.4000000000000001E-2</v>
      </c>
      <c r="AD80" s="146">
        <f>SUMIF(Finance!10:10,Allowances_Floor!AD4,Finance!125:125)</f>
        <v>6.4000000000000001E-2</v>
      </c>
      <c r="AE80" s="146">
        <f>SUMIF(Finance!10:10,Allowances_Floor!AE4,Finance!125:125)</f>
        <v>6.4000000000000001E-2</v>
      </c>
      <c r="AF80" s="146">
        <f>SUMIF(Finance!10:10,Allowances_Floor!AF4,Finance!125:125)</f>
        <v>6.4000000000000001E-2</v>
      </c>
      <c r="AG80" s="146">
        <f>SUMIF(Finance!10:10,Allowances_Floor!AG4,Finance!125:125)</f>
        <v>6.4000000000000001E-2</v>
      </c>
      <c r="AH80" s="146">
        <f>SUMIF(Finance!10:10,Allowances_Floor!AH4,Finance!125:125)</f>
        <v>6.4000000000000001E-2</v>
      </c>
      <c r="AI80" s="146">
        <f>SUMIF(Finance!10:10,Allowances_Floor!AI4,Finance!125:125)</f>
        <v>6.4000000000000001E-2</v>
      </c>
      <c r="AJ80" s="146">
        <f>SUMIF(Finance!10:10,Allowances_Floor!AJ4,Finance!125:125)</f>
        <v>6.4000000000000001E-2</v>
      </c>
      <c r="AK80" s="146">
        <f>SUMIF(Finance!10:10,Allowances_Floor!AK4,Finance!125:125)</f>
        <v>0</v>
      </c>
      <c r="AL80" s="146">
        <f>SUMIF(Finance!10:10,Allowances_Floor!AL4,Finance!125:125)</f>
        <v>0</v>
      </c>
      <c r="AM80" s="146">
        <f>SUMIF(Finance!10:10,Allowances_Floor!AM4,Finance!125:125)</f>
        <v>0</v>
      </c>
      <c r="AN80" s="146">
        <f>SUMIF(Finance!10:10,Allowances_Floor!AN4,Finance!125:125)</f>
        <v>0</v>
      </c>
      <c r="AO80" s="146">
        <f>SUMIF(Finance!10:10,Allowances_Floor!AO4,Finance!125:125)</f>
        <v>0</v>
      </c>
      <c r="AP80" s="146">
        <f>SUMIF(Finance!10:10,Allowances_Floor!AP4,Finance!125:125)</f>
        <v>0</v>
      </c>
      <c r="AQ80" s="146">
        <f>SUMIF(Finance!10:10,Allowances_Floor!AQ4,Finance!125:125)</f>
        <v>0</v>
      </c>
      <c r="AR80" s="146">
        <f>SUMIF(Finance!10:10,Allowances_Floor!AR4,Finance!125:125)</f>
        <v>0</v>
      </c>
      <c r="AS80" s="146">
        <f>SUMIF(Finance!10:10,Allowances_Floor!AS4,Finance!125:125)</f>
        <v>0</v>
      </c>
      <c r="AT80" s="146">
        <f>SUMIF(Finance!10:10,Allowances_Floor!AT4,Finance!125:125)</f>
        <v>0</v>
      </c>
      <c r="AU80" s="146">
        <f>SUMIF(Finance!10:10,Allowances_Floor!AU4,Finance!125:125)</f>
        <v>0</v>
      </c>
      <c r="AV80" s="146">
        <f>SUMIF(Finance!10:10,Allowances_Floor!AV4,Finance!125:125)</f>
        <v>0</v>
      </c>
      <c r="AW80" s="146">
        <f>SUMIF(Finance!10:10,Allowances_Floor!AW4,Finance!125:125)</f>
        <v>0</v>
      </c>
      <c r="AX80" s="146">
        <f>SUMIF(Finance!10:10,Allowances_Floor!AX4,Finance!125:125)</f>
        <v>0</v>
      </c>
      <c r="AY80" s="146">
        <f>SUMIF(Finance!10:10,Allowances_Floor!AY4,Finance!125:125)</f>
        <v>0</v>
      </c>
      <c r="AZ80" s="196"/>
      <c r="BA80" s="196"/>
      <c r="BB80" s="196"/>
      <c r="BC80" s="196"/>
      <c r="BD80" s="196"/>
      <c r="BE80" s="196"/>
      <c r="BF80" s="196"/>
    </row>
    <row r="81" spans="1:58" ht="15" customHeight="1">
      <c r="A81" s="23"/>
      <c r="B81"/>
      <c r="C81" s="1"/>
      <c r="D81" s="1"/>
      <c r="E81" s="1"/>
      <c r="F81" s="11" t="s">
        <v>260</v>
      </c>
      <c r="H81" s="11" t="s">
        <v>430</v>
      </c>
      <c r="L81" s="146">
        <f>IF(L80=0,0,(1+L80)/(1+L79)-1)</f>
        <v>0</v>
      </c>
      <c r="M81" s="146">
        <f t="shared" ref="M81:O81" si="25">IF(M80=0,0,(1+M80)/(1+M79)-1)</f>
        <v>0</v>
      </c>
      <c r="N81" s="146">
        <f t="shared" si="25"/>
        <v>4.3137254901960853E-2</v>
      </c>
      <c r="O81" s="146">
        <f t="shared" si="25"/>
        <v>4.3137254901960853E-2</v>
      </c>
      <c r="P81" s="146">
        <f t="shared" ref="P81" si="26">IF(P80=0,0,(1+P80)/(1+P79)-1)</f>
        <v>4.3137254901960853E-2</v>
      </c>
      <c r="Q81" s="146">
        <f t="shared" ref="Q81:R81" si="27">IF(Q80=0,0,(1+Q80)/(1+Q79)-1)</f>
        <v>4.3137254901960853E-2</v>
      </c>
      <c r="R81" s="146">
        <f t="shared" si="27"/>
        <v>4.3137254901960853E-2</v>
      </c>
      <c r="S81" s="146">
        <f t="shared" ref="S81" si="28">IF(S80=0,0,(1+S80)/(1+S79)-1)</f>
        <v>4.3137254901960853E-2</v>
      </c>
      <c r="T81" s="146">
        <f t="shared" ref="T81:U81" si="29">IF(T80=0,0,(1+T80)/(1+T79)-1)</f>
        <v>4.3137254901960853E-2</v>
      </c>
      <c r="U81" s="146">
        <f t="shared" si="29"/>
        <v>4.3137254901960853E-2</v>
      </c>
      <c r="V81" s="146">
        <f t="shared" ref="V81" si="30">IF(V80=0,0,(1+V80)/(1+V79)-1)</f>
        <v>4.3137254901960853E-2</v>
      </c>
      <c r="W81" s="146">
        <f t="shared" ref="W81:X81" si="31">IF(W80=0,0,(1+W80)/(1+W79)-1)</f>
        <v>4.3137254901960853E-2</v>
      </c>
      <c r="X81" s="146">
        <f t="shared" si="31"/>
        <v>4.3137254901960853E-2</v>
      </c>
      <c r="Y81" s="146">
        <f t="shared" ref="Y81" si="32">IF(Y80=0,0,(1+Y80)/(1+Y79)-1)</f>
        <v>4.3137254901960853E-2</v>
      </c>
      <c r="Z81" s="146">
        <f t="shared" ref="Z81:AA81" si="33">IF(Z80=0,0,(1+Z80)/(1+Z79)-1)</f>
        <v>4.3137254901960853E-2</v>
      </c>
      <c r="AA81" s="146">
        <f t="shared" si="33"/>
        <v>4.3137254901960853E-2</v>
      </c>
      <c r="AB81" s="146">
        <f t="shared" ref="AB81" si="34">IF(AB80=0,0,(1+AB80)/(1+AB79)-1)</f>
        <v>4.3137254901960853E-2</v>
      </c>
      <c r="AC81" s="146">
        <f t="shared" ref="AC81:AD81" si="35">IF(AC80=0,0,(1+AC80)/(1+AC79)-1)</f>
        <v>4.3137254901960853E-2</v>
      </c>
      <c r="AD81" s="146">
        <f t="shared" si="35"/>
        <v>4.3137254901960853E-2</v>
      </c>
      <c r="AE81" s="146">
        <f t="shared" ref="AE81" si="36">IF(AE80=0,0,(1+AE80)/(1+AE79)-1)</f>
        <v>4.3137254901960853E-2</v>
      </c>
      <c r="AF81" s="146">
        <f t="shared" ref="AF81" si="37">IF(AF80=0,0,(1+AF80)/(1+AF79)-1)</f>
        <v>4.3137254901960853E-2</v>
      </c>
      <c r="AG81" s="146">
        <f>IF(AG80=0,0,(1+AG80)/(1+AG79)-1)</f>
        <v>4.3137254901960853E-2</v>
      </c>
      <c r="AH81" s="146">
        <f t="shared" ref="AH81" si="38">IF(AH80=0,0,(1+AH80)/(1+AH79)-1)</f>
        <v>4.3137254901960853E-2</v>
      </c>
      <c r="AI81" s="146">
        <f t="shared" ref="AI81" si="39">IF(AI80=0,0,(1+AI80)/(1+AI79)-1)</f>
        <v>4.3137254901960853E-2</v>
      </c>
      <c r="AJ81" s="146">
        <f t="shared" ref="AJ81" si="40">IF(AJ80=0,0,(1+AJ80)/(1+AJ79)-1)</f>
        <v>4.3137254901960853E-2</v>
      </c>
      <c r="AK81" s="146">
        <f t="shared" ref="AK81" si="41">IF(AK80=0,0,(1+AK80)/(1+AK79)-1)</f>
        <v>0</v>
      </c>
      <c r="AL81" s="146">
        <f t="shared" ref="AL81" si="42">IF(AL80=0,0,(1+AL80)/(1+AL79)-1)</f>
        <v>0</v>
      </c>
      <c r="AM81" s="146">
        <f t="shared" ref="AM81" si="43">IF(AM80=0,0,(1+AM80)/(1+AM79)-1)</f>
        <v>0</v>
      </c>
      <c r="AN81" s="146">
        <f t="shared" ref="AN81" si="44">IF(AN80=0,0,(1+AN80)/(1+AN79)-1)</f>
        <v>0</v>
      </c>
      <c r="AO81" s="146">
        <f t="shared" ref="AO81" si="45">IF(AO80=0,0,(1+AO80)/(1+AO79)-1)</f>
        <v>0</v>
      </c>
      <c r="AP81" s="146">
        <f t="shared" ref="AP81" si="46">IF(AP80=0,0,(1+AP80)/(1+AP79)-1)</f>
        <v>0</v>
      </c>
      <c r="AQ81" s="146">
        <f t="shared" ref="AQ81" si="47">IF(AQ80=0,0,(1+AQ80)/(1+AQ79)-1)</f>
        <v>0</v>
      </c>
      <c r="AR81" s="146">
        <f t="shared" ref="AR81" si="48">IF(AR80=0,0,(1+AR80)/(1+AR79)-1)</f>
        <v>0</v>
      </c>
      <c r="AS81" s="146">
        <f t="shared" ref="AS81" si="49">IF(AS80=0,0,(1+AS80)/(1+AS79)-1)</f>
        <v>0</v>
      </c>
      <c r="AT81" s="146">
        <f t="shared" ref="AT81" si="50">IF(AT80=0,0,(1+AT80)/(1+AT79)-1)</f>
        <v>0</v>
      </c>
      <c r="AU81" s="146">
        <f t="shared" ref="AU81" si="51">IF(AU80=0,0,(1+AU80)/(1+AU79)-1)</f>
        <v>0</v>
      </c>
      <c r="AV81" s="146">
        <f t="shared" ref="AV81" si="52">IF(AV80=0,0,(1+AV80)/(1+AV79)-1)</f>
        <v>0</v>
      </c>
      <c r="AW81" s="146">
        <f t="shared" ref="AW81" si="53">IF(AW80=0,0,(1+AW80)/(1+AW79)-1)</f>
        <v>0</v>
      </c>
      <c r="AX81" s="146">
        <f t="shared" ref="AX81" si="54">IF(AX80=0,0,(1+AX80)/(1+AX79)-1)</f>
        <v>0</v>
      </c>
      <c r="AY81" s="146">
        <f t="shared" ref="AY81" si="55">IF(AY80=0,0,(1+AY80)/(1+AY79)-1)</f>
        <v>0</v>
      </c>
      <c r="AZ81" s="196"/>
      <c r="BA81" s="196"/>
      <c r="BB81" s="196"/>
      <c r="BC81" s="196"/>
      <c r="BD81" s="196"/>
      <c r="BE81" s="196"/>
      <c r="BF81" s="196"/>
    </row>
    <row r="82" spans="1:58" ht="15" customHeight="1">
      <c r="A82" s="23"/>
      <c r="B82"/>
      <c r="C82" s="1"/>
      <c r="D82" s="1"/>
      <c r="E82" s="1"/>
      <c r="F82" s="11" t="s">
        <v>431</v>
      </c>
      <c r="H82" s="11" t="s">
        <v>142</v>
      </c>
      <c r="L82" s="146">
        <f>SUMIF(Finance!10:10,Allowances_Floor!L4,Finance!140:140)/SUM(Finance!$K$140:$AX$140)</f>
        <v>0</v>
      </c>
      <c r="M82" s="146">
        <f>SUMIF(Finance!10:10,Allowances_Floor!M4,Finance!140:140)/SUM(Finance!$K$140:$AX$140)</f>
        <v>0</v>
      </c>
      <c r="N82" s="146">
        <f>SUMIF(Finance!10:10,Allowances_Floor!N4,Finance!140:140)/SUM(Finance!$K$140:$AX$140)</f>
        <v>7.5139104259782902E-2</v>
      </c>
      <c r="O82" s="146">
        <f>SUMIF(Finance!10:10,Allowances_Floor!O4,Finance!140:140)/SUM(Finance!$K$140:$AX$140)</f>
        <v>7.2220195202043216E-2</v>
      </c>
      <c r="P82" s="146">
        <f>SUMIF(Finance!10:10,Allowances_Floor!P4,Finance!140:140)/SUM(Finance!$K$140:$AX$140)</f>
        <v>6.9301286144303559E-2</v>
      </c>
      <c r="Q82" s="146">
        <f>SUMIF(Finance!10:10,Allowances_Floor!Q4,Finance!140:140)/SUM(Finance!$K$140:$AX$140)</f>
        <v>6.6382377086563887E-2</v>
      </c>
      <c r="R82" s="146">
        <f>SUMIF(Finance!10:10,Allowances_Floor!R4,Finance!140:140)/SUM(Finance!$K$140:$AX$140)</f>
        <v>6.3463468028824216E-2</v>
      </c>
      <c r="S82" s="146">
        <f>SUMIF(Finance!10:10,Allowances_Floor!S4,Finance!140:140)/SUM(Finance!$K$140:$AX$140)</f>
        <v>6.0544558971084544E-2</v>
      </c>
      <c r="T82" s="146">
        <f>SUMIF(Finance!10:10,Allowances_Floor!T4,Finance!140:140)/SUM(Finance!$K$140:$AX$140)</f>
        <v>5.7625649913344873E-2</v>
      </c>
      <c r="U82" s="146">
        <f>SUMIF(Finance!10:10,Allowances_Floor!U4,Finance!140:140)/SUM(Finance!$K$140:$AX$140)</f>
        <v>5.4706740855605202E-2</v>
      </c>
      <c r="V82" s="146">
        <f>SUMIF(Finance!10:10,Allowances_Floor!V4,Finance!140:140)/SUM(Finance!$K$140:$AX$140)</f>
        <v>5.1787831797865537E-2</v>
      </c>
      <c r="W82" s="146">
        <f>SUMIF(Finance!10:10,Allowances_Floor!W4,Finance!140:140)/SUM(Finance!$K$140:$AX$140)</f>
        <v>4.8868922740125866E-2</v>
      </c>
      <c r="X82" s="146">
        <f>SUMIF(Finance!10:10,Allowances_Floor!X4,Finance!140:140)/SUM(Finance!$K$140:$AX$140)</f>
        <v>4.5950013682386194E-2</v>
      </c>
      <c r="Y82" s="146">
        <f>SUMIF(Finance!10:10,Allowances_Floor!Y4,Finance!140:140)/SUM(Finance!$K$140:$AX$140)</f>
        <v>4.303110462464653E-2</v>
      </c>
      <c r="Z82" s="146">
        <f>SUMIF(Finance!10:10,Allowances_Floor!Z4,Finance!140:140)/SUM(Finance!$K$140:$AX$140)</f>
        <v>4.0112195566906858E-2</v>
      </c>
      <c r="AA82" s="146">
        <f>SUMIF(Finance!10:10,Allowances_Floor!AA4,Finance!140:140)/SUM(Finance!$K$140:$AX$140)</f>
        <v>3.7193286509167187E-2</v>
      </c>
      <c r="AB82" s="146">
        <f>SUMIF(Finance!10:10,Allowances_Floor!AB4,Finance!140:140)/SUM(Finance!$K$140:$AX$140)</f>
        <v>3.4274377451427522E-2</v>
      </c>
      <c r="AC82" s="146">
        <f>SUMIF(Finance!10:10,Allowances_Floor!AC4,Finance!140:140)/SUM(Finance!$K$140:$AX$140)</f>
        <v>3.1355468393687858E-2</v>
      </c>
      <c r="AD82" s="146">
        <f>SUMIF(Finance!10:10,Allowances_Floor!AD4,Finance!140:140)/SUM(Finance!$K$140:$AX$140)</f>
        <v>2.8436559335948186E-2</v>
      </c>
      <c r="AE82" s="146">
        <f>SUMIF(Finance!10:10,Allowances_Floor!AE4,Finance!140:140)/SUM(Finance!$K$140:$AX$140)</f>
        <v>2.5517650278208518E-2</v>
      </c>
      <c r="AF82" s="146">
        <f>SUMIF(Finance!10:10,Allowances_Floor!AF4,Finance!140:140)/SUM(Finance!$K$140:$AX$140)</f>
        <v>2.259874122046885E-2</v>
      </c>
      <c r="AG82" s="146">
        <f>SUMIF(Finance!10:10,Allowances_Floor!AG4,Finance!140:140)/SUM(Finance!$K$140:$AX$140)</f>
        <v>1.9679832162729179E-2</v>
      </c>
      <c r="AH82" s="146">
        <f>SUMIF(Finance!10:10,Allowances_Floor!AH4,Finance!140:140)/SUM(Finance!$K$140:$AX$140)</f>
        <v>1.6760923104989507E-2</v>
      </c>
      <c r="AI82" s="146">
        <f>SUMIF(Finance!10:10,Allowances_Floor!AI4,Finance!140:140)/SUM(Finance!$K$140:$AX$140)</f>
        <v>1.3842014047249837E-2</v>
      </c>
      <c r="AJ82" s="146">
        <f>SUMIF(Finance!10:10,Allowances_Floor!AJ4,Finance!140:140)/SUM(Finance!$K$140:$AX$140)</f>
        <v>1.0923104989510168E-2</v>
      </c>
      <c r="AK82" s="146">
        <f>SUMIF(Finance!10:10,Allowances_Floor!AK4,Finance!140:140)/SUM(Finance!$K$140:$AX$140)</f>
        <v>0</v>
      </c>
      <c r="AL82" s="146">
        <f>SUMIF(Finance!10:10,Allowances_Floor!AL4,Finance!140:140)/SUM(Finance!$K$140:$AX$140)</f>
        <v>0</v>
      </c>
      <c r="AM82" s="146">
        <f>SUMIF(Finance!10:10,Allowances_Floor!AM4,Finance!140:140)/SUM(Finance!$K$140:$AX$140)</f>
        <v>0</v>
      </c>
      <c r="AN82" s="146">
        <f>SUMIF(Finance!10:10,Allowances_Floor!AN4,Finance!140:140)/SUM(Finance!$K$140:$AX$140)</f>
        <v>0</v>
      </c>
      <c r="AO82" s="146">
        <f>SUMIF(Finance!10:10,Allowances_Floor!AO4,Finance!140:140)/SUM(Finance!$K$140:$AX$140)</f>
        <v>0</v>
      </c>
      <c r="AP82" s="146">
        <f>SUMIF(Finance!10:10,Allowances_Floor!AP4,Finance!140:140)/SUM(Finance!$K$140:$AX$140)</f>
        <v>0</v>
      </c>
      <c r="AQ82" s="146">
        <f>SUMIF(Finance!10:10,Allowances_Floor!AQ4,Finance!140:140)/SUM(Finance!$K$140:$AX$140)</f>
        <v>0</v>
      </c>
      <c r="AR82" s="146">
        <f>SUMIF(Finance!10:10,Allowances_Floor!AR4,Finance!140:140)/SUM(Finance!$K$140:$AX$140)</f>
        <v>0</v>
      </c>
      <c r="AS82" s="146">
        <f>SUMIF(Finance!10:10,Allowances_Floor!AS4,Finance!140:140)/SUM(Finance!$K$140:$AX$140)</f>
        <v>0</v>
      </c>
      <c r="AT82" s="146">
        <f>SUMIF(Finance!10:10,Allowances_Floor!AT4,Finance!140:140)/SUM(Finance!$K$140:$AX$140)</f>
        <v>0</v>
      </c>
      <c r="AU82" s="146">
        <f>SUMIF(Finance!10:10,Allowances_Floor!AU4,Finance!140:140)/SUM(Finance!$K$140:$AX$140)</f>
        <v>0</v>
      </c>
      <c r="AV82" s="146">
        <f>SUMIF(Finance!10:10,Allowances_Floor!AV4,Finance!140:140)/SUM(Finance!$K$140:$AX$140)</f>
        <v>0</v>
      </c>
      <c r="AW82" s="146">
        <f>SUMIF(Finance!10:10,Allowances_Floor!AW4,Finance!140:140)/SUM(Finance!$K$140:$AX$140)</f>
        <v>0</v>
      </c>
      <c r="AX82" s="146">
        <f>SUMIF(Finance!10:10,Allowances_Floor!AX4,Finance!140:140)/SUM(Finance!$K$140:$AX$140)</f>
        <v>0</v>
      </c>
      <c r="AY82" s="146">
        <f>SUMIF(Finance!10:10,Allowances_Floor!AY4,Finance!140:140)/SUM(Finance!$K$140:$AX$140)</f>
        <v>0</v>
      </c>
      <c r="AZ82" s="196"/>
      <c r="BA82" s="196"/>
      <c r="BB82" s="196"/>
      <c r="BC82" s="196"/>
      <c r="BD82" s="196"/>
      <c r="BE82" s="196"/>
      <c r="BF82" s="196"/>
    </row>
    <row r="83" spans="1:58" ht="15" customHeight="1">
      <c r="A83" s="23"/>
      <c r="B83"/>
      <c r="C83" s="1"/>
      <c r="D83" s="1"/>
      <c r="E83" s="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99"/>
      <c r="BA83" s="199"/>
      <c r="BB83" s="199"/>
      <c r="BC83" s="199"/>
      <c r="BD83" s="199"/>
      <c r="BE83" s="199"/>
      <c r="BF83" s="199"/>
    </row>
    <row r="84" spans="1:58" ht="15" customHeight="1">
      <c r="A84" s="23"/>
      <c r="B84"/>
      <c r="F84" s="77" t="s">
        <v>138</v>
      </c>
      <c r="J84" s="141">
        <f>SUMPRODUCT(L81:AJ81,L82:AJ82)</f>
        <v>4.269360576484544E-2</v>
      </c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99"/>
      <c r="BA84" s="199"/>
      <c r="BB84" s="199"/>
      <c r="BC84" s="199"/>
      <c r="BD84" s="199"/>
      <c r="BE84" s="199"/>
      <c r="BF84" s="199"/>
    </row>
    <row r="85" spans="1:58" ht="15" customHeight="1">
      <c r="A85" s="23"/>
      <c r="B85"/>
      <c r="C85" s="1"/>
      <c r="D85" s="1"/>
      <c r="E85" s="1"/>
      <c r="F85" s="11" t="s">
        <v>48</v>
      </c>
      <c r="H85" s="169" t="str">
        <f>Inputs!G66</f>
        <v>full years</v>
      </c>
      <c r="J85" s="165">
        <f>Inputs!I66</f>
        <v>25</v>
      </c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40"/>
      <c r="Z85" s="140"/>
      <c r="AA85" s="140"/>
      <c r="AB85" s="140"/>
      <c r="AC85" s="140"/>
      <c r="AD85" s="140"/>
      <c r="AE85" s="140"/>
      <c r="AF85" s="140"/>
      <c r="AG85" s="140"/>
      <c r="AH85" s="140"/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200"/>
      <c r="BA85" s="200"/>
      <c r="BB85" s="200"/>
      <c r="BC85" s="200"/>
      <c r="BD85" s="200"/>
      <c r="BE85" s="200"/>
      <c r="BF85" s="200"/>
    </row>
    <row r="86" spans="1:58" ht="15" customHeight="1">
      <c r="A86" s="23"/>
      <c r="B86"/>
      <c r="C86" s="1"/>
      <c r="D86" s="1"/>
      <c r="E86" s="1"/>
      <c r="F86" s="11" t="s">
        <v>432</v>
      </c>
      <c r="H86" s="11" t="s">
        <v>249</v>
      </c>
      <c r="J86" s="64">
        <f>J84 / (1 - (1 + J84)^(-J85))</f>
        <v>6.5847293528294465E-2</v>
      </c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40"/>
      <c r="Z86" s="140"/>
      <c r="AA86" s="140"/>
      <c r="AB86" s="140"/>
      <c r="AC86" s="140"/>
      <c r="AD86" s="140"/>
      <c r="AE86" s="140"/>
      <c r="AF86" s="140"/>
      <c r="AG86" s="140"/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200"/>
      <c r="BA86" s="200"/>
      <c r="BB86" s="200"/>
      <c r="BC86" s="200"/>
      <c r="BD86" s="200"/>
      <c r="BE86" s="200"/>
      <c r="BF86" s="200"/>
    </row>
    <row r="87" spans="1:58" ht="15" customHeight="1">
      <c r="A87" s="23"/>
      <c r="B87"/>
      <c r="C87" s="1"/>
      <c r="D87" s="1"/>
      <c r="E87" s="1"/>
      <c r="J87" s="72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99"/>
      <c r="BA87" s="199"/>
      <c r="BB87" s="199"/>
      <c r="BC87" s="199"/>
      <c r="BD87" s="199"/>
      <c r="BE87" s="199"/>
      <c r="BF87" s="199"/>
    </row>
    <row r="88" spans="1:58" ht="15" customHeight="1">
      <c r="A88" s="23"/>
      <c r="B88"/>
      <c r="C88" s="1"/>
      <c r="D88" s="1"/>
      <c r="E88" s="1"/>
      <c r="F88" s="1" t="s">
        <v>433</v>
      </c>
      <c r="G88" s="1"/>
      <c r="H88" s="1" t="s">
        <v>225</v>
      </c>
      <c r="I88" s="1"/>
      <c r="J88" s="159"/>
      <c r="K88" s="80"/>
      <c r="L88" s="158" t="b">
        <f>(SUMIF(Inputs!151:151,Allowances_Floor!L4,Inputs!158:158)&lt;&gt;0)</f>
        <v>0</v>
      </c>
      <c r="M88" s="158" t="b">
        <f>(SUMIF(Inputs!151:151,Allowances_Floor!M4,Inputs!158:158)&lt;&gt;0)</f>
        <v>0</v>
      </c>
      <c r="N88" s="158" t="b">
        <f>(SUMIF(Inputs!151:151,Allowances_Floor!N4,Inputs!158:158)&lt;&gt;0)</f>
        <v>1</v>
      </c>
      <c r="O88" s="158" t="b">
        <f>(SUMIF(Inputs!151:151,Allowances_Floor!O4,Inputs!158:158)&lt;&gt;0)</f>
        <v>1</v>
      </c>
      <c r="P88" s="158" t="b">
        <f>(SUMIF(Inputs!151:151,Allowances_Floor!P4,Inputs!158:158)&lt;&gt;0)</f>
        <v>1</v>
      </c>
      <c r="Q88" s="158" t="b">
        <f>(SUMIF(Inputs!151:151,Allowances_Floor!Q4,Inputs!158:158)&lt;&gt;0)</f>
        <v>1</v>
      </c>
      <c r="R88" s="158" t="b">
        <f>(SUMIF(Inputs!151:151,Allowances_Floor!R4,Inputs!158:158)&lt;&gt;0)</f>
        <v>1</v>
      </c>
      <c r="S88" s="158" t="b">
        <f>(SUMIF(Inputs!151:151,Allowances_Floor!S4,Inputs!158:158)&lt;&gt;0)</f>
        <v>1</v>
      </c>
      <c r="T88" s="158" t="b">
        <f>(SUMIF(Inputs!151:151,Allowances_Floor!T4,Inputs!158:158)&lt;&gt;0)</f>
        <v>1</v>
      </c>
      <c r="U88" s="158" t="b">
        <f>(SUMIF(Inputs!151:151,Allowances_Floor!U4,Inputs!158:158)&lt;&gt;0)</f>
        <v>1</v>
      </c>
      <c r="V88" s="158" t="b">
        <f>(SUMIF(Inputs!151:151,Allowances_Floor!V4,Inputs!158:158)&lt;&gt;0)</f>
        <v>1</v>
      </c>
      <c r="W88" s="158" t="b">
        <f>(SUMIF(Inputs!151:151,Allowances_Floor!W4,Inputs!158:158)&lt;&gt;0)</f>
        <v>1</v>
      </c>
      <c r="X88" s="158" t="b">
        <f>(SUMIF(Inputs!151:151,Allowances_Floor!X4,Inputs!158:158)&lt;&gt;0)</f>
        <v>1</v>
      </c>
      <c r="Y88" s="158" t="b">
        <f>(SUMIF(Inputs!151:151,Allowances_Floor!Y4,Inputs!158:158)&lt;&gt;0)</f>
        <v>1</v>
      </c>
      <c r="Z88" s="158" t="b">
        <f>(SUMIF(Inputs!151:151,Allowances_Floor!Z4,Inputs!158:158)&lt;&gt;0)</f>
        <v>1</v>
      </c>
      <c r="AA88" s="158" t="b">
        <f>(SUMIF(Inputs!151:151,Allowances_Floor!AA4,Inputs!158:158)&lt;&gt;0)</f>
        <v>1</v>
      </c>
      <c r="AB88" s="158" t="b">
        <f>(SUMIF(Inputs!151:151,Allowances_Floor!AB4,Inputs!158:158)&lt;&gt;0)</f>
        <v>1</v>
      </c>
      <c r="AC88" s="158" t="b">
        <f>(SUMIF(Inputs!151:151,Allowances_Floor!AC4,Inputs!158:158)&lt;&gt;0)</f>
        <v>1</v>
      </c>
      <c r="AD88" s="158" t="b">
        <f>(SUMIF(Inputs!151:151,Allowances_Floor!AD4,Inputs!158:158)&lt;&gt;0)</f>
        <v>1</v>
      </c>
      <c r="AE88" s="158" t="b">
        <f>(SUMIF(Inputs!151:151,Allowances_Floor!AE4,Inputs!158:158)&lt;&gt;0)</f>
        <v>1</v>
      </c>
      <c r="AF88" s="158" t="b">
        <f>(SUMIF(Inputs!151:151,Allowances_Floor!AF4,Inputs!158:158)&lt;&gt;0)</f>
        <v>1</v>
      </c>
      <c r="AG88" s="158" t="b">
        <f>(SUMIF(Inputs!151:151,Allowances_Floor!AG4,Inputs!158:158)&lt;&gt;0)</f>
        <v>1</v>
      </c>
      <c r="AH88" s="158" t="b">
        <f>(SUMIF(Inputs!151:151,Allowances_Floor!AH4,Inputs!158:158)&lt;&gt;0)</f>
        <v>1</v>
      </c>
      <c r="AI88" s="158" t="b">
        <f>(SUMIF(Inputs!151:151,Allowances_Floor!AI4,Inputs!158:158)&lt;&gt;0)</f>
        <v>1</v>
      </c>
      <c r="AJ88" s="158" t="b">
        <f>(SUMIF(Inputs!151:151,Allowances_Floor!AJ4,Inputs!158:158)&lt;&gt;0)</f>
        <v>1</v>
      </c>
      <c r="AK88" s="158" t="b">
        <f>(SUMIF(Inputs!151:151,Allowances_Floor!AK4,Inputs!158:158)&lt;&gt;0)</f>
        <v>0</v>
      </c>
      <c r="AL88" s="158" t="b">
        <f>(SUMIF(Inputs!151:151,Allowances_Floor!AL4,Inputs!158:158)&lt;&gt;0)</f>
        <v>0</v>
      </c>
      <c r="AM88" s="158" t="b">
        <f>(SUMIF(Inputs!151:151,Allowances_Floor!AM4,Inputs!158:158)&lt;&gt;0)</f>
        <v>0</v>
      </c>
      <c r="AN88" s="158" t="b">
        <f>(SUMIF(Inputs!151:151,Allowances_Floor!AN4,Inputs!158:158)&lt;&gt;0)</f>
        <v>0</v>
      </c>
      <c r="AO88" s="158" t="b">
        <f>(SUMIF(Inputs!151:151,Allowances_Floor!AO4,Inputs!158:158)&lt;&gt;0)</f>
        <v>0</v>
      </c>
      <c r="AP88" s="158" t="b">
        <f>(SUMIF(Inputs!151:151,Allowances_Floor!AP4,Inputs!158:158)&lt;&gt;0)</f>
        <v>0</v>
      </c>
      <c r="AQ88" s="158" t="b">
        <f>(SUMIF(Inputs!151:151,Allowances_Floor!AQ4,Inputs!158:158)&lt;&gt;0)</f>
        <v>0</v>
      </c>
      <c r="AR88" s="158" t="b">
        <f>(SUMIF(Inputs!151:151,Allowances_Floor!AR4,Inputs!158:158)&lt;&gt;0)</f>
        <v>0</v>
      </c>
      <c r="AS88" s="158" t="b">
        <f>(SUMIF(Inputs!151:151,Allowances_Floor!AS4,Inputs!158:158)&lt;&gt;0)</f>
        <v>0</v>
      </c>
      <c r="AT88" s="158" t="b">
        <f>(SUMIF(Inputs!151:151,Allowances_Floor!AT4,Inputs!158:158)&lt;&gt;0)</f>
        <v>0</v>
      </c>
      <c r="AU88" s="158" t="b">
        <f>(SUMIF(Inputs!151:151,Allowances_Floor!AU4,Inputs!158:158)&lt;&gt;0)</f>
        <v>0</v>
      </c>
      <c r="AV88" s="158" t="b">
        <f>(SUMIF(Inputs!151:151,Allowances_Floor!AV4,Inputs!158:158)&lt;&gt;0)</f>
        <v>0</v>
      </c>
      <c r="AW88" s="158" t="b">
        <f>(SUMIF(Inputs!151:151,Allowances_Floor!AW4,Inputs!158:158)&lt;&gt;0)</f>
        <v>0</v>
      </c>
      <c r="AX88" s="158" t="b">
        <f>(SUMIF(Inputs!151:151,Allowances_Floor!AX4,Inputs!158:158)&lt;&gt;0)</f>
        <v>0</v>
      </c>
      <c r="AY88" s="158" t="b">
        <f>(SUMIF(Inputs!151:151,Allowances_Floor!AY4,Inputs!158:158)&lt;&gt;0)</f>
        <v>0</v>
      </c>
      <c r="AZ88" s="198"/>
      <c r="BA88" s="198"/>
      <c r="BB88" s="198"/>
      <c r="BC88" s="198"/>
      <c r="BD88" s="198"/>
      <c r="BE88" s="198"/>
      <c r="BF88" s="198"/>
    </row>
    <row r="89" spans="1:58" ht="15" customHeight="1">
      <c r="A89" s="23"/>
      <c r="B89"/>
      <c r="C89" s="1"/>
      <c r="D89" s="1"/>
      <c r="E89" s="1"/>
      <c r="F89" s="11" t="s">
        <v>434</v>
      </c>
      <c r="H89" s="11" t="s">
        <v>249</v>
      </c>
      <c r="J89" s="140"/>
      <c r="K89" s="140"/>
      <c r="L89" s="166">
        <f t="shared" ref="L89:AY89" si="56">(1 + $J84) ^ - L4</f>
        <v>0.9590545050542163</v>
      </c>
      <c r="M89" s="166">
        <f t="shared" si="56"/>
        <v>0.91978554366478771</v>
      </c>
      <c r="N89" s="166">
        <f t="shared" si="56"/>
        <v>0.88212446933545607</v>
      </c>
      <c r="O89" s="166">
        <f t="shared" si="56"/>
        <v>0.84600544633472896</v>
      </c>
      <c r="P89" s="166">
        <f t="shared" si="56"/>
        <v>0.81136533460772475</v>
      </c>
      <c r="Q89" s="166">
        <f t="shared" si="56"/>
        <v>0.77814357940036016</v>
      </c>
      <c r="R89" s="166">
        <f t="shared" si="56"/>
        <v>0.74628210540292861</v>
      </c>
      <c r="S89" s="166">
        <f t="shared" si="56"/>
        <v>0.71572521522802401</v>
      </c>
      <c r="T89" s="166">
        <f t="shared" si="56"/>
        <v>0.68641949204533503</v>
      </c>
      <c r="U89" s="166">
        <f t="shared" si="56"/>
        <v>0.65831370620310525</v>
      </c>
      <c r="V89" s="166">
        <f t="shared" si="56"/>
        <v>0.63135872567302587</v>
      </c>
      <c r="W89" s="166">
        <f t="shared" si="56"/>
        <v>0.60550743016200437</v>
      </c>
      <c r="X89" s="166">
        <f t="shared" si="56"/>
        <v>0.58071462874067159</v>
      </c>
      <c r="Y89" s="166">
        <f t="shared" si="56"/>
        <v>0.55693698084462773</v>
      </c>
      <c r="Z89" s="166">
        <f t="shared" si="56"/>
        <v>0.53413292051033401</v>
      </c>
      <c r="AA89" s="166">
        <f t="shared" si="56"/>
        <v>0.51226258371320132</v>
      </c>
      <c r="AB89" s="166">
        <f t="shared" si="56"/>
        <v>0.49128773868085834</v>
      </c>
      <c r="AC89" s="166">
        <f t="shared" si="56"/>
        <v>0.47117171905977567</v>
      </c>
      <c r="AD89" s="166">
        <f t="shared" si="56"/>
        <v>0.45187935981841743</v>
      </c>
      <c r="AE89" s="166">
        <f t="shared" si="56"/>
        <v>0.43337693577486841</v>
      </c>
      <c r="AF89" s="166">
        <f t="shared" si="56"/>
        <v>0.41563210264147926</v>
      </c>
      <c r="AG89" s="166">
        <f t="shared" si="56"/>
        <v>0.39861384048346715</v>
      </c>
      <c r="AH89" s="166">
        <f t="shared" si="56"/>
        <v>0.38229239949263183</v>
      </c>
      <c r="AI89" s="166">
        <f t="shared" si="56"/>
        <v>0.36663924798139474</v>
      </c>
      <c r="AJ89" s="166">
        <f t="shared" si="56"/>
        <v>0.35162702250624656</v>
      </c>
      <c r="AK89" s="166">
        <f t="shared" si="56"/>
        <v>0.33722948003341602</v>
      </c>
      <c r="AL89" s="166">
        <f t="shared" si="56"/>
        <v>0.32342145206313849</v>
      </c>
      <c r="AM89" s="166">
        <f t="shared" si="56"/>
        <v>0.31017880063232922</v>
      </c>
      <c r="AN89" s="166">
        <f t="shared" si="56"/>
        <v>0.29747837611874889</v>
      </c>
      <c r="AO89" s="166">
        <f t="shared" si="56"/>
        <v>0.28529797677289875</v>
      </c>
      <c r="AP89" s="166">
        <f t="shared" si="56"/>
        <v>0.27361630990690167</v>
      </c>
      <c r="AQ89" s="166">
        <f t="shared" si="56"/>
        <v>0.26241295467252462</v>
      </c>
      <c r="AR89" s="166">
        <f t="shared" si="56"/>
        <v>0.25166832636327258</v>
      </c>
      <c r="AS89" s="166">
        <f t="shared" si="56"/>
        <v>0.24136364217815134</v>
      </c>
      <c r="AT89" s="166">
        <f t="shared" si="56"/>
        <v>0.23148088838724987</v>
      </c>
      <c r="AU89" s="166">
        <f t="shared" si="56"/>
        <v>0.22200278884174421</v>
      </c>
      <c r="AV89" s="166">
        <f t="shared" si="56"/>
        <v>0.21291277477327464</v>
      </c>
      <c r="AW89" s="166">
        <f t="shared" si="56"/>
        <v>0.20419495582990274</v>
      </c>
      <c r="AX89" s="166">
        <f t="shared" si="56"/>
        <v>0.19583409229801491</v>
      </c>
      <c r="AY89" s="166">
        <f t="shared" si="56"/>
        <v>0.1878155684616144</v>
      </c>
      <c r="AZ89" s="197"/>
      <c r="BA89" s="197"/>
      <c r="BB89" s="197"/>
      <c r="BC89" s="197"/>
      <c r="BD89" s="197"/>
      <c r="BE89" s="197"/>
      <c r="BF89" s="197"/>
    </row>
    <row r="90" spans="1:58" ht="15" customHeight="1">
      <c r="A90" s="23"/>
      <c r="B90"/>
      <c r="C90" s="1"/>
      <c r="D90" s="1"/>
      <c r="E90" s="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99"/>
      <c r="BA90" s="199"/>
      <c r="BB90" s="199"/>
      <c r="BC90" s="199"/>
      <c r="BD90" s="199"/>
      <c r="BE90" s="199"/>
      <c r="BF90" s="199"/>
    </row>
    <row r="91" spans="1:58" ht="15" customHeight="1">
      <c r="A91" s="23"/>
      <c r="B91"/>
      <c r="D91" s="56" t="s">
        <v>435</v>
      </c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203"/>
      <c r="BA91" s="203"/>
      <c r="BB91" s="203"/>
      <c r="BC91" s="203"/>
      <c r="BD91" s="203"/>
      <c r="BE91" s="203"/>
      <c r="BF91" s="203"/>
    </row>
    <row r="92" spans="1:58" ht="15" customHeight="1">
      <c r="A92" s="23"/>
      <c r="B92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99"/>
      <c r="BA92" s="199"/>
      <c r="BB92" s="199"/>
      <c r="BC92" s="199"/>
      <c r="BD92" s="199"/>
      <c r="BE92" s="199"/>
      <c r="BF92" s="199"/>
    </row>
    <row r="93" spans="1:58" ht="15" customHeight="1">
      <c r="A93" s="23"/>
      <c r="B93"/>
      <c r="C93" s="1"/>
      <c r="D93" s="1"/>
      <c r="E93" s="1"/>
      <c r="F93" s="1" t="s">
        <v>436</v>
      </c>
      <c r="H93" s="1" t="str">
        <f>Inputs!$I$6</f>
        <v>£m 2024 prices</v>
      </c>
      <c r="J93" s="140"/>
      <c r="K93" s="140"/>
      <c r="L93" s="1">
        <f>L73 * L$89 *L88</f>
        <v>0</v>
      </c>
      <c r="M93" s="1">
        <f>M73 * M$89 *M88</f>
        <v>0</v>
      </c>
      <c r="N93" s="1">
        <f t="shared" ref="N93:AJ93" si="57">N73 * N$89 *N88</f>
        <v>55.852058111715053</v>
      </c>
      <c r="O93" s="1">
        <f t="shared" si="57"/>
        <v>51.538496950794695</v>
      </c>
      <c r="P93" s="1">
        <f t="shared" si="57"/>
        <v>47.543507506853324</v>
      </c>
      <c r="Q93" s="1">
        <f t="shared" si="57"/>
        <v>43.844317902129667</v>
      </c>
      <c r="R93" s="1">
        <f t="shared" si="57"/>
        <v>40.419744364812871</v>
      </c>
      <c r="S93" s="1">
        <f>S73 * S$89 *S88</f>
        <v>37.250082575876831</v>
      </c>
      <c r="T93" s="1">
        <f t="shared" si="57"/>
        <v>34.317006337358073</v>
      </c>
      <c r="U93" s="1">
        <f t="shared" si="57"/>
        <v>31.603473074775206</v>
      </c>
      <c r="V93" s="1">
        <f t="shared" si="57"/>
        <v>29.093635718494607</v>
      </c>
      <c r="W93" s="1">
        <f t="shared" si="57"/>
        <v>26.772760538855319</v>
      </c>
      <c r="X93" s="1">
        <f t="shared" si="57"/>
        <v>24.62715053791435</v>
      </c>
      <c r="Y93" s="1">
        <f t="shared" si="57"/>
        <v>22.644074026885946</v>
      </c>
      <c r="Z93" s="1">
        <f t="shared" si="57"/>
        <v>20.811698042847393</v>
      </c>
      <c r="AA93" s="1">
        <f t="shared" si="57"/>
        <v>19.119026281177753</v>
      </c>
      <c r="AB93" s="1">
        <f t="shared" si="57"/>
        <v>17.555841241591217</v>
      </c>
      <c r="AC93" s="1">
        <f t="shared" si="57"/>
        <v>16.112650305619429</v>
      </c>
      <c r="AD93" s="1">
        <f t="shared" si="57"/>
        <v>14.780635482079449</v>
      </c>
      <c r="AE93" s="1">
        <f t="shared" si="57"/>
        <v>13.551606574520175</v>
      </c>
      <c r="AF93" s="1">
        <f t="shared" si="57"/>
        <v>12.417957540950992</v>
      </c>
      <c r="AG93" s="1">
        <f t="shared" si="57"/>
        <v>11.372625831395704</v>
      </c>
      <c r="AH93" s="1">
        <f t="shared" si="57"/>
        <v>10.409054503053014</v>
      </c>
      <c r="AI93" s="1">
        <f t="shared" si="57"/>
        <v>9.5211569261467623</v>
      </c>
      <c r="AJ93" s="1">
        <f t="shared" si="57"/>
        <v>33.084050642610578</v>
      </c>
      <c r="AK93" s="1">
        <f t="shared" ref="AK93:AY93" si="58">AK73 * AK$89 *AK88</f>
        <v>0</v>
      </c>
      <c r="AL93" s="1">
        <f t="shared" si="58"/>
        <v>0</v>
      </c>
      <c r="AM93" s="1">
        <f t="shared" si="58"/>
        <v>0</v>
      </c>
      <c r="AN93" s="1">
        <f t="shared" si="58"/>
        <v>0</v>
      </c>
      <c r="AO93" s="1">
        <f t="shared" si="58"/>
        <v>0</v>
      </c>
      <c r="AP93" s="1">
        <f t="shared" si="58"/>
        <v>0</v>
      </c>
      <c r="AQ93" s="1">
        <f t="shared" si="58"/>
        <v>0</v>
      </c>
      <c r="AR93" s="1">
        <f t="shared" si="58"/>
        <v>0</v>
      </c>
      <c r="AS93" s="1">
        <f t="shared" si="58"/>
        <v>0</v>
      </c>
      <c r="AT93" s="1">
        <f t="shared" si="58"/>
        <v>0</v>
      </c>
      <c r="AU93" s="1">
        <f t="shared" si="58"/>
        <v>0</v>
      </c>
      <c r="AV93" s="1">
        <f t="shared" si="58"/>
        <v>0</v>
      </c>
      <c r="AW93" s="1">
        <f t="shared" si="58"/>
        <v>0</v>
      </c>
      <c r="AX93" s="1">
        <f t="shared" si="58"/>
        <v>0</v>
      </c>
      <c r="AY93" s="1">
        <f t="shared" si="58"/>
        <v>0</v>
      </c>
      <c r="AZ93" s="203"/>
      <c r="BA93" s="203"/>
      <c r="BB93" s="203"/>
      <c r="BC93" s="203"/>
      <c r="BD93" s="203"/>
      <c r="BE93" s="203"/>
      <c r="BF93" s="203"/>
    </row>
    <row r="94" spans="1:58" ht="15" customHeight="1">
      <c r="A94" s="23"/>
      <c r="B94"/>
      <c r="C94" s="1"/>
      <c r="D94" s="1"/>
      <c r="E94" s="1"/>
      <c r="F94" s="11" t="s">
        <v>437</v>
      </c>
      <c r="H94" s="1" t="str">
        <f>Inputs!$I$6</f>
        <v>£m 2024 prices</v>
      </c>
      <c r="J94" s="167">
        <f>SUM(L93:AY93)</f>
        <v>624.24261101845843</v>
      </c>
      <c r="K94" s="140"/>
      <c r="L94" s="140"/>
      <c r="M94" s="140"/>
      <c r="N94" s="140"/>
      <c r="O94" s="140"/>
      <c r="P94" s="140"/>
      <c r="Q94" s="140"/>
      <c r="R94" s="140"/>
      <c r="S94" s="140"/>
      <c r="T94" s="140"/>
      <c r="U94" s="140"/>
      <c r="V94" s="140"/>
      <c r="W94" s="140"/>
      <c r="X94" s="140"/>
      <c r="Y94" s="140"/>
      <c r="Z94" s="140"/>
      <c r="AA94" s="140"/>
      <c r="AB94" s="140"/>
      <c r="AC94" s="140"/>
      <c r="AD94" s="140"/>
      <c r="AE94" s="140"/>
      <c r="AF94" s="140"/>
      <c r="AG94" s="140"/>
      <c r="AH94" s="140"/>
      <c r="AI94" s="140"/>
      <c r="AJ94" s="140"/>
      <c r="AK94" s="140"/>
      <c r="AL94" s="140"/>
      <c r="AM94" s="140"/>
      <c r="AN94" s="140"/>
      <c r="AO94" s="140"/>
      <c r="AP94" s="140"/>
      <c r="AQ94" s="140"/>
      <c r="AR94" s="140"/>
      <c r="AS94" s="140"/>
      <c r="AT94" s="140"/>
      <c r="AU94" s="140"/>
      <c r="AV94" s="140"/>
      <c r="AW94" s="140"/>
      <c r="AX94" s="140"/>
      <c r="AY94" s="140"/>
      <c r="AZ94" s="200"/>
      <c r="BA94" s="200"/>
      <c r="BB94" s="200"/>
      <c r="BC94" s="200"/>
      <c r="BD94" s="200"/>
      <c r="BE94" s="200"/>
      <c r="BF94" s="200"/>
    </row>
    <row r="95" spans="1:58" ht="15" customHeight="1">
      <c r="A95" s="23"/>
      <c r="B95"/>
      <c r="C95" s="1"/>
      <c r="D95" s="1"/>
      <c r="E95" s="1"/>
      <c r="H95" s="1"/>
      <c r="J95" s="140"/>
      <c r="K95" s="14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  <c r="W95" s="140"/>
      <c r="X95" s="140"/>
      <c r="Y95" s="140"/>
      <c r="Z95" s="140"/>
      <c r="AA95" s="140"/>
      <c r="AB95" s="140"/>
      <c r="AC95" s="140"/>
      <c r="AD95" s="140"/>
      <c r="AE95" s="140"/>
      <c r="AF95" s="140"/>
      <c r="AG95" s="140"/>
      <c r="AH95" s="140"/>
      <c r="AI95" s="140"/>
      <c r="AJ95" s="140"/>
      <c r="AK95" s="140"/>
      <c r="AL95" s="140"/>
      <c r="AM95" s="140"/>
      <c r="AN95" s="140"/>
      <c r="AO95" s="140"/>
      <c r="AP95" s="140"/>
      <c r="AQ95" s="140"/>
      <c r="AR95" s="140"/>
      <c r="AS95" s="140"/>
      <c r="AT95" s="140"/>
      <c r="AU95" s="140"/>
      <c r="AV95" s="140"/>
      <c r="AW95" s="140"/>
      <c r="AX95" s="140"/>
      <c r="AY95" s="140"/>
      <c r="AZ95" s="200"/>
      <c r="BA95" s="200"/>
      <c r="BB95" s="200"/>
      <c r="BC95" s="200"/>
      <c r="BD95" s="200"/>
      <c r="BE95" s="200"/>
      <c r="BF95" s="200"/>
    </row>
    <row r="96" spans="1:58" ht="15" customHeight="1">
      <c r="A96" s="23"/>
      <c r="B96"/>
      <c r="C96" s="1"/>
      <c r="D96" s="1"/>
      <c r="E96" s="1"/>
      <c r="F96" s="11" t="s">
        <v>412</v>
      </c>
      <c r="H96" s="11" t="str">
        <f>H$35</f>
        <v>scalar</v>
      </c>
      <c r="J96" s="107">
        <f>J$86</f>
        <v>6.5847293528294465E-2</v>
      </c>
      <c r="K96" s="140"/>
      <c r="L96" s="140"/>
      <c r="M96" s="140"/>
      <c r="N96" s="140"/>
      <c r="O96" s="140"/>
      <c r="P96" s="140"/>
      <c r="Q96" s="140"/>
      <c r="R96" s="140"/>
      <c r="S96" s="140"/>
      <c r="T96" s="140"/>
      <c r="U96" s="140"/>
      <c r="V96" s="140"/>
      <c r="W96" s="140"/>
      <c r="X96" s="140"/>
      <c r="Y96" s="140"/>
      <c r="Z96" s="140"/>
      <c r="AA96" s="140"/>
      <c r="AB96" s="140"/>
      <c r="AC96" s="140"/>
      <c r="AD96" s="140"/>
      <c r="AE96" s="140"/>
      <c r="AF96" s="140"/>
      <c r="AG96" s="140"/>
      <c r="AH96" s="140"/>
      <c r="AI96" s="140"/>
      <c r="AJ96" s="140"/>
      <c r="AK96" s="140"/>
      <c r="AL96" s="140"/>
      <c r="AM96" s="140"/>
      <c r="AN96" s="140"/>
      <c r="AO96" s="140"/>
      <c r="AP96" s="140"/>
      <c r="AQ96" s="140"/>
      <c r="AR96" s="140"/>
      <c r="AS96" s="140"/>
      <c r="AT96" s="140"/>
      <c r="AU96" s="140"/>
      <c r="AV96" s="140"/>
      <c r="AW96" s="140"/>
      <c r="AX96" s="140"/>
      <c r="AY96" s="140"/>
      <c r="AZ96" s="200"/>
      <c r="BA96" s="200"/>
      <c r="BB96" s="200"/>
      <c r="BC96" s="200"/>
      <c r="BD96" s="200"/>
      <c r="BE96" s="200"/>
      <c r="BF96" s="200"/>
    </row>
    <row r="97" spans="1:58" ht="15" customHeight="1">
      <c r="A97" s="23"/>
      <c r="B97"/>
      <c r="C97" s="1"/>
      <c r="D97" s="1"/>
      <c r="E97" s="1"/>
      <c r="H97" s="1"/>
      <c r="J97" s="140"/>
      <c r="K97" s="140"/>
      <c r="L97" s="140"/>
      <c r="M97" s="140"/>
      <c r="N97" s="140"/>
      <c r="O97" s="140"/>
      <c r="P97" s="140"/>
      <c r="Q97" s="140"/>
      <c r="R97" s="140"/>
      <c r="S97" s="140"/>
      <c r="T97" s="140"/>
      <c r="U97" s="140"/>
      <c r="V97" s="140"/>
      <c r="W97" s="140"/>
      <c r="X97" s="140"/>
      <c r="Y97" s="140"/>
      <c r="Z97" s="140"/>
      <c r="AA97" s="140"/>
      <c r="AB97" s="140"/>
      <c r="AC97" s="140"/>
      <c r="AD97" s="140"/>
      <c r="AE97" s="140"/>
      <c r="AF97" s="140"/>
      <c r="AG97" s="140"/>
      <c r="AH97" s="140"/>
      <c r="AI97" s="140"/>
      <c r="AJ97" s="140"/>
      <c r="AK97" s="140"/>
      <c r="AL97" s="140"/>
      <c r="AM97" s="140"/>
      <c r="AN97" s="140"/>
      <c r="AO97" s="140"/>
      <c r="AP97" s="140"/>
      <c r="AQ97" s="140"/>
      <c r="AR97" s="140"/>
      <c r="AS97" s="140"/>
      <c r="AT97" s="140"/>
      <c r="AU97" s="140"/>
      <c r="AV97" s="140"/>
      <c r="AW97" s="140"/>
      <c r="AX97" s="140"/>
      <c r="AY97" s="140"/>
      <c r="AZ97" s="200"/>
      <c r="BA97" s="200"/>
      <c r="BB97" s="200"/>
      <c r="BC97" s="200"/>
      <c r="BD97" s="200"/>
      <c r="BE97" s="200"/>
      <c r="BF97" s="200"/>
    </row>
    <row r="98" spans="1:58" ht="15" customHeight="1">
      <c r="A98" s="23"/>
      <c r="B98"/>
      <c r="C98" s="1"/>
      <c r="D98" s="1"/>
      <c r="E98" s="1"/>
      <c r="F98" s="11" t="s">
        <v>438</v>
      </c>
      <c r="H98" s="1" t="str">
        <f>Inputs!$I$6</f>
        <v>£m 2024 prices</v>
      </c>
      <c r="J98" s="168">
        <f>J94 * J96</f>
        <v>41.104686440601377</v>
      </c>
      <c r="K98" s="140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99"/>
      <c r="BA98" s="199"/>
      <c r="BB98" s="199"/>
      <c r="BC98" s="199"/>
      <c r="BD98" s="199"/>
      <c r="BE98" s="199"/>
      <c r="BF98" s="199"/>
    </row>
    <row r="99" spans="1:58" ht="15" customHeight="1">
      <c r="A99" s="23"/>
      <c r="B99"/>
      <c r="C99" s="1"/>
      <c r="D99" s="1"/>
      <c r="E99" s="1"/>
      <c r="F99" s="1" t="s">
        <v>439</v>
      </c>
      <c r="H99" s="1" t="str">
        <f>Inputs!$I$6</f>
        <v>£m 2024 prices</v>
      </c>
      <c r="K99" s="140"/>
      <c r="L99" s="17">
        <f t="shared" ref="L99:AJ99" si="59">L$88 * $J98</f>
        <v>0</v>
      </c>
      <c r="M99" s="17">
        <f t="shared" si="59"/>
        <v>0</v>
      </c>
      <c r="N99" s="17">
        <f t="shared" si="59"/>
        <v>41.104686440601377</v>
      </c>
      <c r="O99" s="17">
        <f t="shared" si="59"/>
        <v>41.104686440601377</v>
      </c>
      <c r="P99" s="17">
        <f t="shared" si="59"/>
        <v>41.104686440601377</v>
      </c>
      <c r="Q99" s="17">
        <f t="shared" si="59"/>
        <v>41.104686440601377</v>
      </c>
      <c r="R99" s="17">
        <f t="shared" si="59"/>
        <v>41.104686440601377</v>
      </c>
      <c r="S99" s="17">
        <f t="shared" si="59"/>
        <v>41.104686440601377</v>
      </c>
      <c r="T99" s="17">
        <f t="shared" si="59"/>
        <v>41.104686440601377</v>
      </c>
      <c r="U99" s="17">
        <f t="shared" si="59"/>
        <v>41.104686440601377</v>
      </c>
      <c r="V99" s="17">
        <f t="shared" si="59"/>
        <v>41.104686440601377</v>
      </c>
      <c r="W99" s="17">
        <f t="shared" si="59"/>
        <v>41.104686440601377</v>
      </c>
      <c r="X99" s="17">
        <f t="shared" si="59"/>
        <v>41.104686440601377</v>
      </c>
      <c r="Y99" s="17">
        <f t="shared" si="59"/>
        <v>41.104686440601377</v>
      </c>
      <c r="Z99" s="17">
        <f t="shared" si="59"/>
        <v>41.104686440601377</v>
      </c>
      <c r="AA99" s="17">
        <f t="shared" si="59"/>
        <v>41.104686440601377</v>
      </c>
      <c r="AB99" s="17">
        <f t="shared" si="59"/>
        <v>41.104686440601377</v>
      </c>
      <c r="AC99" s="17">
        <f t="shared" si="59"/>
        <v>41.104686440601377</v>
      </c>
      <c r="AD99" s="17">
        <f t="shared" si="59"/>
        <v>41.104686440601377</v>
      </c>
      <c r="AE99" s="17">
        <f t="shared" si="59"/>
        <v>41.104686440601377</v>
      </c>
      <c r="AF99" s="17">
        <f t="shared" si="59"/>
        <v>41.104686440601377</v>
      </c>
      <c r="AG99" s="17">
        <f t="shared" si="59"/>
        <v>41.104686440601377</v>
      </c>
      <c r="AH99" s="17">
        <f t="shared" si="59"/>
        <v>41.104686440601377</v>
      </c>
      <c r="AI99" s="17">
        <f t="shared" si="59"/>
        <v>41.104686440601377</v>
      </c>
      <c r="AJ99" s="17">
        <f t="shared" si="59"/>
        <v>41.104686440601377</v>
      </c>
      <c r="AK99" s="17">
        <f t="shared" ref="AK99:AY99" si="60">AK$88 * $J98</f>
        <v>0</v>
      </c>
      <c r="AL99" s="17">
        <f t="shared" si="60"/>
        <v>0</v>
      </c>
      <c r="AM99" s="17">
        <f t="shared" si="60"/>
        <v>0</v>
      </c>
      <c r="AN99" s="17">
        <f t="shared" si="60"/>
        <v>0</v>
      </c>
      <c r="AO99" s="17">
        <f t="shared" si="60"/>
        <v>0</v>
      </c>
      <c r="AP99" s="17">
        <f t="shared" si="60"/>
        <v>0</v>
      </c>
      <c r="AQ99" s="17">
        <f t="shared" si="60"/>
        <v>0</v>
      </c>
      <c r="AR99" s="17">
        <f t="shared" si="60"/>
        <v>0</v>
      </c>
      <c r="AS99" s="17">
        <f t="shared" si="60"/>
        <v>0</v>
      </c>
      <c r="AT99" s="17">
        <f t="shared" si="60"/>
        <v>0</v>
      </c>
      <c r="AU99" s="17">
        <f t="shared" si="60"/>
        <v>0</v>
      </c>
      <c r="AV99" s="17">
        <f t="shared" si="60"/>
        <v>0</v>
      </c>
      <c r="AW99" s="17">
        <f t="shared" si="60"/>
        <v>0</v>
      </c>
      <c r="AX99" s="17">
        <f t="shared" si="60"/>
        <v>0</v>
      </c>
      <c r="AY99" s="17">
        <f t="shared" si="60"/>
        <v>0</v>
      </c>
      <c r="AZ99" s="203"/>
      <c r="BA99" s="203"/>
      <c r="BB99" s="203"/>
      <c r="BC99" s="203"/>
      <c r="BD99" s="203"/>
      <c r="BE99" s="203"/>
      <c r="BF99" s="203"/>
    </row>
    <row r="100" spans="1:58" ht="15" customHeight="1">
      <c r="A100" s="23"/>
      <c r="B100"/>
      <c r="C100" s="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99"/>
      <c r="BA100" s="199"/>
      <c r="BB100" s="199"/>
      <c r="BC100" s="199"/>
      <c r="BD100" s="199"/>
      <c r="BE100" s="199"/>
      <c r="BF100" s="199"/>
    </row>
    <row r="101" spans="1:58" ht="15" customHeight="1">
      <c r="A101" s="23"/>
      <c r="B101"/>
      <c r="C101" s="1"/>
      <c r="D101" s="56" t="s">
        <v>440</v>
      </c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203"/>
      <c r="BA101" s="203"/>
      <c r="BB101" s="203"/>
      <c r="BC101" s="203"/>
      <c r="BD101" s="203"/>
      <c r="BE101" s="203"/>
      <c r="BF101" s="203"/>
    </row>
    <row r="102" spans="1:58" ht="15" customHeight="1">
      <c r="A102" s="23"/>
      <c r="B102"/>
      <c r="C102" s="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99"/>
      <c r="BA102" s="199"/>
      <c r="BB102" s="199"/>
      <c r="BC102" s="199"/>
      <c r="BD102" s="199"/>
      <c r="BE102" s="199"/>
      <c r="BF102" s="199"/>
    </row>
    <row r="103" spans="1:58" ht="15" customHeight="1">
      <c r="A103" s="23"/>
      <c r="B103"/>
      <c r="C103" s="1"/>
      <c r="F103" s="11" t="s">
        <v>48</v>
      </c>
      <c r="H103" s="169" t="str">
        <f>Inputs!G66</f>
        <v>full years</v>
      </c>
      <c r="J103" s="165">
        <f>Inputs!I66</f>
        <v>25</v>
      </c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99"/>
      <c r="BA103" s="199"/>
      <c r="BB103" s="199"/>
      <c r="BC103" s="199"/>
      <c r="BD103" s="199"/>
      <c r="BE103" s="199"/>
      <c r="BF103" s="199"/>
    </row>
    <row r="104" spans="1:58" ht="15" customHeight="1">
      <c r="A104" s="23"/>
      <c r="B104"/>
      <c r="C104" s="1"/>
      <c r="F104" s="11" t="s">
        <v>441</v>
      </c>
      <c r="H104" s="169" t="str">
        <f>Inputs!G67</f>
        <v>full years</v>
      </c>
      <c r="J104" s="165">
        <f>Inputs!I67</f>
        <v>2.0499999999999998</v>
      </c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99"/>
      <c r="BA104" s="199"/>
      <c r="BB104" s="199"/>
      <c r="BC104" s="199"/>
      <c r="BD104" s="199"/>
      <c r="BE104" s="199"/>
      <c r="BF104" s="199"/>
    </row>
    <row r="105" spans="1:58" ht="15" customHeight="1">
      <c r="A105" s="23"/>
      <c r="B105"/>
      <c r="C105" s="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99"/>
      <c r="BA105" s="199"/>
      <c r="BB105" s="199"/>
      <c r="BC105" s="199"/>
      <c r="BD105" s="199"/>
      <c r="BE105" s="199"/>
      <c r="BF105" s="199"/>
    </row>
    <row r="106" spans="1:58" ht="15" customHeight="1">
      <c r="A106" s="23"/>
      <c r="B106"/>
      <c r="C106" s="1"/>
      <c r="E106" s="1"/>
      <c r="F106" s="1" t="s">
        <v>442</v>
      </c>
      <c r="G106" s="1"/>
      <c r="H106" s="1" t="s">
        <v>225</v>
      </c>
      <c r="I106" s="1"/>
      <c r="J106" s="159"/>
      <c r="K106" s="80"/>
      <c r="L106" s="158" t="b">
        <f>AND((SUMIF(Inputs!151:151,Allowances_Floor!L4,Inputs!159:159)&lt;&gt;0),L88&lt;&gt;TRUE)</f>
        <v>0</v>
      </c>
      <c r="M106" s="158" t="b">
        <f>AND((SUMIF(Inputs!151:151,Allowances_Floor!M4,Inputs!159:159)&lt;&gt;0),M88&lt;&gt;TRUE)</f>
        <v>0</v>
      </c>
      <c r="N106" s="158" t="b">
        <f>AND((SUMIF(Inputs!151:151,Allowances_Floor!N4,Inputs!159:159)&lt;&gt;0),N88&lt;&gt;TRUE)</f>
        <v>0</v>
      </c>
      <c r="O106" s="158" t="b">
        <f>AND((SUMIF(Inputs!151:151,Allowances_Floor!O4,Inputs!159:159)&lt;&gt;0),O88&lt;&gt;TRUE)</f>
        <v>0</v>
      </c>
      <c r="P106" s="158" t="b">
        <f>AND((SUMIF(Inputs!151:151,Allowances_Floor!P4,Inputs!159:159)&lt;&gt;0),P88&lt;&gt;TRUE)</f>
        <v>0</v>
      </c>
      <c r="Q106" s="158" t="b">
        <f>AND((SUMIF(Inputs!151:151,Allowances_Floor!Q4,Inputs!159:159)&lt;&gt;0),Q88&lt;&gt;TRUE)</f>
        <v>0</v>
      </c>
      <c r="R106" s="158" t="b">
        <f>AND((SUMIF(Inputs!151:151,Allowances_Floor!R4,Inputs!159:159)&lt;&gt;0),R88&lt;&gt;TRUE)</f>
        <v>0</v>
      </c>
      <c r="S106" s="158" t="b">
        <f>AND((SUMIF(Inputs!151:151,Allowances_Floor!S4,Inputs!159:159)&lt;&gt;0),S88&lt;&gt;TRUE)</f>
        <v>0</v>
      </c>
      <c r="T106" s="158" t="b">
        <f>AND((SUMIF(Inputs!151:151,Allowances_Floor!T4,Inputs!159:159)&lt;&gt;0),T88&lt;&gt;TRUE)</f>
        <v>0</v>
      </c>
      <c r="U106" s="158" t="b">
        <f>AND((SUMIF(Inputs!151:151,Allowances_Floor!U4,Inputs!159:159)&lt;&gt;0),U88&lt;&gt;TRUE)</f>
        <v>0</v>
      </c>
      <c r="V106" s="158" t="b">
        <f>AND((SUMIF(Inputs!151:151,Allowances_Floor!V4,Inputs!159:159)&lt;&gt;0),V88&lt;&gt;TRUE)</f>
        <v>0</v>
      </c>
      <c r="W106" s="158" t="b">
        <f>AND((SUMIF(Inputs!151:151,Allowances_Floor!W4,Inputs!159:159)&lt;&gt;0),W88&lt;&gt;TRUE)</f>
        <v>0</v>
      </c>
      <c r="X106" s="158" t="b">
        <f>AND((SUMIF(Inputs!151:151,Allowances_Floor!X4,Inputs!159:159)&lt;&gt;0),X88&lt;&gt;TRUE)</f>
        <v>0</v>
      </c>
      <c r="Y106" s="158" t="b">
        <f>AND((SUMIF(Inputs!151:151,Allowances_Floor!Y4,Inputs!159:159)&lt;&gt;0),Y88&lt;&gt;TRUE)</f>
        <v>0</v>
      </c>
      <c r="Z106" s="158" t="b">
        <f>AND((SUMIF(Inputs!151:151,Allowances_Floor!Z4,Inputs!159:159)&lt;&gt;0),Z88&lt;&gt;TRUE)</f>
        <v>0</v>
      </c>
      <c r="AA106" s="158" t="b">
        <f>AND((SUMIF(Inputs!151:151,Allowances_Floor!AA4,Inputs!159:159)&lt;&gt;0),AA88&lt;&gt;TRUE)</f>
        <v>0</v>
      </c>
      <c r="AB106" s="158" t="b">
        <f>AND((SUMIF(Inputs!151:151,Allowances_Floor!AB4,Inputs!159:159)&lt;&gt;0),AB88&lt;&gt;TRUE)</f>
        <v>0</v>
      </c>
      <c r="AC106" s="158" t="b">
        <f>AND((SUMIF(Inputs!151:151,Allowances_Floor!AC4,Inputs!159:159)&lt;&gt;0),AC88&lt;&gt;TRUE)</f>
        <v>0</v>
      </c>
      <c r="AD106" s="158" t="b">
        <f>AND((SUMIF(Inputs!151:151,Allowances_Floor!AD4,Inputs!159:159)&lt;&gt;0),AD88&lt;&gt;TRUE)</f>
        <v>0</v>
      </c>
      <c r="AE106" s="158" t="b">
        <f>AND((SUMIF(Inputs!151:151,Allowances_Floor!AE4,Inputs!159:159)&lt;&gt;0),AE88&lt;&gt;TRUE)</f>
        <v>0</v>
      </c>
      <c r="AF106" s="158" t="b">
        <f>AND((SUMIF(Inputs!151:151,Allowances_Floor!AF4,Inputs!159:159)&lt;&gt;0),AF88&lt;&gt;TRUE)</f>
        <v>0</v>
      </c>
      <c r="AG106" s="158" t="b">
        <f>AND((SUMIF(Inputs!151:151,Allowances_Floor!AG4,Inputs!159:159)&lt;&gt;0),AG88&lt;&gt;TRUE)</f>
        <v>0</v>
      </c>
      <c r="AH106" s="158" t="b">
        <f>AND((SUMIF(Inputs!151:151,Allowances_Floor!AH4,Inputs!159:159)&lt;&gt;0),AH88&lt;&gt;TRUE)</f>
        <v>0</v>
      </c>
      <c r="AI106" s="158" t="b">
        <f>AND((SUMIF(Inputs!151:151,Allowances_Floor!AI4,Inputs!159:159)&lt;&gt;0),AI88&lt;&gt;TRUE)</f>
        <v>0</v>
      </c>
      <c r="AJ106" s="158" t="b">
        <f>AND((SUMIF(Inputs!151:151,Allowances_Floor!AJ4,Inputs!159:159)&lt;&gt;0),AJ88&lt;&gt;TRUE)</f>
        <v>0</v>
      </c>
      <c r="AK106" s="158" t="b">
        <f>AND((SUMIF(Inputs!151:151,Allowances_Floor!AK4,Inputs!159:159)&lt;&gt;0),AK88&lt;&gt;TRUE)</f>
        <v>0</v>
      </c>
      <c r="AL106" s="158" t="b">
        <f>AND((SUMIF(Inputs!151:151,Allowances_Floor!AL4,Inputs!159:159)&lt;&gt;0),AL88&lt;&gt;TRUE)</f>
        <v>0</v>
      </c>
      <c r="AM106" s="158" t="b">
        <f>AND((SUMIF(Inputs!151:151,Allowances_Floor!AM4,Inputs!159:159)&lt;&gt;0),AM88&lt;&gt;TRUE)</f>
        <v>0</v>
      </c>
      <c r="AN106" s="158" t="b">
        <f>AND((SUMIF(Inputs!151:151,Allowances_Floor!AN4,Inputs!159:159)&lt;&gt;0),AN88&lt;&gt;TRUE)</f>
        <v>0</v>
      </c>
      <c r="AO106" s="158" t="b">
        <f>AND((SUMIF(Inputs!151:151,Allowances_Floor!AO4,Inputs!159:159)&lt;&gt;0),AO88&lt;&gt;TRUE)</f>
        <v>0</v>
      </c>
      <c r="AP106" s="158" t="b">
        <f>AND((SUMIF(Inputs!151:151,Allowances_Floor!AP4,Inputs!159:159)&lt;&gt;0),AP88&lt;&gt;TRUE)</f>
        <v>0</v>
      </c>
      <c r="AQ106" s="158" t="b">
        <f>AND((SUMIF(Inputs!151:151,Allowances_Floor!AQ4,Inputs!159:159)&lt;&gt;0),AQ88&lt;&gt;TRUE)</f>
        <v>0</v>
      </c>
      <c r="AR106" s="158" t="b">
        <f>AND((SUMIF(Inputs!151:151,Allowances_Floor!AR4,Inputs!159:159)&lt;&gt;0),AR88&lt;&gt;TRUE)</f>
        <v>0</v>
      </c>
      <c r="AS106" s="158" t="b">
        <f>AND((SUMIF(Inputs!151:151,Allowances_Floor!AS4,Inputs!159:159)&lt;&gt;0),AS88&lt;&gt;TRUE)</f>
        <v>0</v>
      </c>
      <c r="AT106" s="158" t="b">
        <f>AND((SUMIF(Inputs!151:151,Allowances_Floor!AT4,Inputs!159:159)&lt;&gt;0),AT88&lt;&gt;TRUE)</f>
        <v>0</v>
      </c>
      <c r="AU106" s="158" t="b">
        <f>AND((SUMIF(Inputs!151:151,Allowances_Floor!AU4,Inputs!159:159)&lt;&gt;0),AU88&lt;&gt;TRUE)</f>
        <v>0</v>
      </c>
      <c r="AV106" s="158" t="b">
        <f>AND((SUMIF(Inputs!151:151,Allowances_Floor!AV4,Inputs!159:159)&lt;&gt;0),AV88&lt;&gt;TRUE)</f>
        <v>0</v>
      </c>
      <c r="AW106" s="158" t="b">
        <f>AND((SUMIF(Inputs!151:151,Allowances_Floor!AW4,Inputs!159:159)&lt;&gt;0),AW88&lt;&gt;TRUE)</f>
        <v>0</v>
      </c>
      <c r="AX106" s="158" t="b">
        <f>AND((SUMIF(Inputs!151:151,Allowances_Floor!AX4,Inputs!159:159)&lt;&gt;0),AX88&lt;&gt;TRUE)</f>
        <v>0</v>
      </c>
      <c r="AY106" s="158" t="b">
        <f>AND((SUMIF(Inputs!151:151,Allowances_Floor!AY4,Inputs!159:159)&lt;&gt;0),AY88&lt;&gt;TRUE)</f>
        <v>0</v>
      </c>
      <c r="AZ106" s="198"/>
      <c r="BA106" s="198"/>
      <c r="BB106" s="198"/>
      <c r="BC106" s="198"/>
      <c r="BD106" s="198"/>
      <c r="BE106" s="198"/>
      <c r="BF106" s="198"/>
    </row>
    <row r="107" spans="1:58" ht="15" customHeight="1">
      <c r="A107" s="23"/>
      <c r="B107"/>
      <c r="C107" s="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99"/>
      <c r="BA107" s="199"/>
      <c r="BB107" s="199"/>
      <c r="BC107" s="199"/>
      <c r="BD107" s="199"/>
      <c r="BE107" s="199"/>
      <c r="BF107" s="199"/>
    </row>
    <row r="108" spans="1:58" ht="15" customHeight="1">
      <c r="A108" s="23"/>
      <c r="B108"/>
      <c r="C108" s="1"/>
      <c r="D108" s="1"/>
      <c r="E108" s="1"/>
      <c r="F108" s="1" t="s">
        <v>443</v>
      </c>
      <c r="H108" s="1" t="str">
        <f>Inputs!$I$6</f>
        <v>£m 2024 prices</v>
      </c>
      <c r="K108" s="140"/>
      <c r="L108" s="17">
        <f t="shared" ref="L108:AJ108" si="61">L$106 * $J98</f>
        <v>0</v>
      </c>
      <c r="M108" s="17">
        <f t="shared" si="61"/>
        <v>0</v>
      </c>
      <c r="N108" s="17">
        <f t="shared" si="61"/>
        <v>0</v>
      </c>
      <c r="O108" s="17">
        <f t="shared" si="61"/>
        <v>0</v>
      </c>
      <c r="P108" s="17">
        <f t="shared" si="61"/>
        <v>0</v>
      </c>
      <c r="Q108" s="17">
        <f t="shared" si="61"/>
        <v>0</v>
      </c>
      <c r="R108" s="17">
        <f t="shared" si="61"/>
        <v>0</v>
      </c>
      <c r="S108" s="17">
        <f t="shared" si="61"/>
        <v>0</v>
      </c>
      <c r="T108" s="17">
        <f t="shared" si="61"/>
        <v>0</v>
      </c>
      <c r="U108" s="17">
        <f t="shared" si="61"/>
        <v>0</v>
      </c>
      <c r="V108" s="17">
        <f t="shared" si="61"/>
        <v>0</v>
      </c>
      <c r="W108" s="17">
        <f t="shared" si="61"/>
        <v>0</v>
      </c>
      <c r="X108" s="17">
        <f t="shared" si="61"/>
        <v>0</v>
      </c>
      <c r="Y108" s="17">
        <f t="shared" si="61"/>
        <v>0</v>
      </c>
      <c r="Z108" s="17">
        <f t="shared" si="61"/>
        <v>0</v>
      </c>
      <c r="AA108" s="17">
        <f t="shared" si="61"/>
        <v>0</v>
      </c>
      <c r="AB108" s="17">
        <f t="shared" si="61"/>
        <v>0</v>
      </c>
      <c r="AC108" s="17">
        <f t="shared" si="61"/>
        <v>0</v>
      </c>
      <c r="AD108" s="17">
        <f t="shared" si="61"/>
        <v>0</v>
      </c>
      <c r="AE108" s="17">
        <f t="shared" si="61"/>
        <v>0</v>
      </c>
      <c r="AF108" s="17">
        <f t="shared" si="61"/>
        <v>0</v>
      </c>
      <c r="AG108" s="17">
        <f t="shared" si="61"/>
        <v>0</v>
      </c>
      <c r="AH108" s="17">
        <f t="shared" si="61"/>
        <v>0</v>
      </c>
      <c r="AI108" s="17">
        <f t="shared" si="61"/>
        <v>0</v>
      </c>
      <c r="AJ108" s="17">
        <f t="shared" si="61"/>
        <v>0</v>
      </c>
      <c r="AK108" s="17">
        <f t="shared" ref="AK108:AY108" si="62">AK$106 * $J98</f>
        <v>0</v>
      </c>
      <c r="AL108" s="17">
        <f t="shared" si="62"/>
        <v>0</v>
      </c>
      <c r="AM108" s="17">
        <f t="shared" si="62"/>
        <v>0</v>
      </c>
      <c r="AN108" s="17">
        <f t="shared" si="62"/>
        <v>0</v>
      </c>
      <c r="AO108" s="17">
        <f t="shared" si="62"/>
        <v>0</v>
      </c>
      <c r="AP108" s="17">
        <f t="shared" si="62"/>
        <v>0</v>
      </c>
      <c r="AQ108" s="17">
        <f t="shared" si="62"/>
        <v>0</v>
      </c>
      <c r="AR108" s="17">
        <f t="shared" si="62"/>
        <v>0</v>
      </c>
      <c r="AS108" s="17">
        <f t="shared" si="62"/>
        <v>0</v>
      </c>
      <c r="AT108" s="17">
        <f t="shared" si="62"/>
        <v>0</v>
      </c>
      <c r="AU108" s="17">
        <f t="shared" si="62"/>
        <v>0</v>
      </c>
      <c r="AV108" s="17">
        <f t="shared" si="62"/>
        <v>0</v>
      </c>
      <c r="AW108" s="17">
        <f t="shared" si="62"/>
        <v>0</v>
      </c>
      <c r="AX108" s="17">
        <f t="shared" si="62"/>
        <v>0</v>
      </c>
      <c r="AY108" s="17">
        <f t="shared" si="62"/>
        <v>0</v>
      </c>
      <c r="AZ108" s="203"/>
      <c r="BA108" s="203"/>
      <c r="BB108" s="203"/>
      <c r="BC108" s="203"/>
      <c r="BD108" s="203"/>
      <c r="BE108" s="203"/>
      <c r="BF108" s="203"/>
    </row>
    <row r="109" spans="1:58" ht="15" customHeight="1">
      <c r="A109"/>
      <c r="B109"/>
      <c r="C109" s="1"/>
      <c r="D109" s="1"/>
      <c r="E109" s="1"/>
      <c r="F109" s="1"/>
      <c r="H109" s="1"/>
      <c r="K109" s="140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203"/>
      <c r="BA109" s="203"/>
      <c r="BB109" s="203"/>
      <c r="BC109" s="203"/>
      <c r="BD109" s="203"/>
      <c r="BE109" s="203"/>
      <c r="BF109" s="203"/>
    </row>
    <row r="110" spans="1:58" ht="15" customHeight="1">
      <c r="B110" s="12" t="s">
        <v>49</v>
      </c>
      <c r="C110" s="50"/>
      <c r="D110" s="50"/>
      <c r="E110" s="50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1"/>
      <c r="AU110" s="51"/>
      <c r="AV110" s="51"/>
      <c r="AW110" s="51"/>
      <c r="AX110" s="51"/>
      <c r="AY110" s="51"/>
      <c r="AZ110"/>
      <c r="BA110"/>
      <c r="BB110"/>
      <c r="BC110"/>
      <c r="BD110"/>
      <c r="BE110"/>
      <c r="BF110"/>
    </row>
    <row r="111" spans="1:58" ht="15" customHeight="1">
      <c r="A111"/>
      <c r="B111"/>
      <c r="C111" s="1"/>
      <c r="D111" s="1"/>
      <c r="E111" s="1"/>
      <c r="F111" s="1"/>
      <c r="H111" s="1"/>
      <c r="K111" s="140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203"/>
      <c r="BA111" s="203"/>
      <c r="BB111" s="203"/>
      <c r="BC111" s="203"/>
      <c r="BD111" s="203"/>
      <c r="BE111" s="203"/>
      <c r="BF111" s="203"/>
    </row>
    <row r="112" spans="1:58" ht="15" customHeight="1">
      <c r="A112"/>
      <c r="B112"/>
      <c r="C112" s="1"/>
      <c r="D112" s="1"/>
      <c r="E112" s="1"/>
      <c r="F112" s="1"/>
      <c r="H112" s="1"/>
      <c r="K112" s="140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203"/>
      <c r="BA112" s="203"/>
      <c r="BB112" s="203"/>
      <c r="BC112" s="203"/>
      <c r="BD112" s="203"/>
      <c r="BE112" s="203"/>
      <c r="BF112" s="203"/>
    </row>
    <row r="113" spans="1:58" ht="15" customHeight="1">
      <c r="A113"/>
      <c r="B113"/>
      <c r="C113" s="1"/>
      <c r="D113" s="1"/>
      <c r="E113" s="1"/>
      <c r="F113" s="1"/>
      <c r="H113" s="1"/>
      <c r="K113" s="140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203"/>
      <c r="BA113" s="203"/>
      <c r="BB113" s="203"/>
      <c r="BC113" s="203"/>
      <c r="BD113" s="203"/>
      <c r="BE113" s="203"/>
      <c r="BF113" s="203"/>
    </row>
    <row r="114" spans="1:58" ht="15" customHeight="1">
      <c r="A114"/>
      <c r="B114"/>
      <c r="C114" s="1"/>
      <c r="D114" s="1"/>
      <c r="E114" s="1"/>
      <c r="F114" s="1"/>
      <c r="H114" s="1"/>
      <c r="K114" s="140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203"/>
      <c r="BA114" s="203"/>
      <c r="BB114" s="203"/>
      <c r="BC114" s="203"/>
      <c r="BD114" s="203"/>
      <c r="BE114" s="203"/>
      <c r="BF114" s="203"/>
    </row>
    <row r="115" spans="1:58" ht="15" customHeight="1">
      <c r="A115"/>
      <c r="B115"/>
      <c r="C115" s="1"/>
      <c r="D115" s="1"/>
      <c r="E115" s="1"/>
      <c r="F115" s="1"/>
      <c r="H115" s="1"/>
      <c r="K115" s="140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203"/>
      <c r="BA115" s="203"/>
      <c r="BB115" s="203"/>
      <c r="BC115" s="203"/>
      <c r="BD115" s="203"/>
      <c r="BE115" s="203"/>
      <c r="BF115" s="203"/>
    </row>
    <row r="116" spans="1:58" ht="15" customHeight="1">
      <c r="A116"/>
      <c r="B116"/>
      <c r="C116" s="1"/>
      <c r="D116" s="1"/>
      <c r="E116" s="1"/>
      <c r="F116" s="1"/>
      <c r="H116" s="1"/>
      <c r="K116" s="140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203"/>
      <c r="BA116" s="203"/>
      <c r="BB116" s="203"/>
      <c r="BC116" s="203"/>
      <c r="BD116" s="203"/>
      <c r="BE116" s="203"/>
      <c r="BF116" s="203"/>
    </row>
    <row r="117" spans="1:58" ht="15" customHeight="1">
      <c r="A117"/>
      <c r="B117"/>
      <c r="C117" s="1"/>
      <c r="D117" s="1"/>
      <c r="E117" s="1"/>
      <c r="F117" s="1"/>
      <c r="H117" s="1"/>
      <c r="K117" s="140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203"/>
      <c r="BA117" s="203"/>
      <c r="BB117" s="203"/>
      <c r="BC117" s="203"/>
      <c r="BD117" s="203"/>
      <c r="BE117" s="203"/>
      <c r="BF117" s="203"/>
    </row>
    <row r="118" spans="1:58" ht="15" customHeight="1">
      <c r="A118"/>
      <c r="B118"/>
      <c r="C118" s="1"/>
      <c r="D118" s="1"/>
      <c r="E118" s="1"/>
      <c r="F118" s="1"/>
      <c r="H118" s="1"/>
      <c r="K118" s="140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203"/>
      <c r="BA118" s="203"/>
      <c r="BB118" s="203"/>
      <c r="BC118" s="203"/>
      <c r="BD118" s="203"/>
      <c r="BE118" s="203"/>
      <c r="BF118" s="203"/>
    </row>
    <row r="119" spans="1:58" ht="15" customHeight="1">
      <c r="A119"/>
      <c r="B119"/>
      <c r="C119" s="1"/>
      <c r="D119" s="1"/>
      <c r="E119" s="1"/>
      <c r="F119" s="1"/>
      <c r="H119" s="1"/>
      <c r="K119" s="140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203"/>
      <c r="BA119" s="203"/>
      <c r="BB119" s="203"/>
      <c r="BC119" s="203"/>
      <c r="BD119" s="203"/>
      <c r="BE119" s="203"/>
      <c r="BF119" s="203"/>
    </row>
    <row r="120" spans="1:58" ht="15" customHeight="1">
      <c r="A120"/>
      <c r="B120"/>
      <c r="C120" s="1"/>
      <c r="D120" s="1"/>
      <c r="E120" s="1"/>
      <c r="F120" s="1"/>
      <c r="H120" s="1"/>
      <c r="K120" s="140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203"/>
      <c r="BA120" s="203"/>
      <c r="BB120" s="203"/>
      <c r="BC120" s="203"/>
      <c r="BD120" s="203"/>
      <c r="BE120" s="203"/>
      <c r="BF120" s="203"/>
    </row>
    <row r="121" spans="1:58" ht="15" customHeight="1">
      <c r="A121"/>
      <c r="B121"/>
      <c r="C121" s="1"/>
      <c r="D121" s="1"/>
      <c r="E121" s="1"/>
      <c r="F121" s="1"/>
      <c r="H121" s="1"/>
      <c r="K121" s="140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203"/>
      <c r="BA121" s="203"/>
      <c r="BB121" s="203"/>
      <c r="BC121" s="203"/>
      <c r="BD121" s="203"/>
      <c r="BE121" s="203"/>
      <c r="BF121" s="203"/>
    </row>
    <row r="122" spans="1:58" ht="15" customHeight="1">
      <c r="A122"/>
      <c r="B122"/>
      <c r="C122" s="1"/>
      <c r="D122" s="1"/>
      <c r="E122" s="1"/>
      <c r="F122" s="1"/>
      <c r="H122" s="1"/>
      <c r="K122" s="140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203"/>
      <c r="BA122" s="203"/>
      <c r="BB122" s="203"/>
      <c r="BC122" s="203"/>
      <c r="BD122" s="203"/>
      <c r="BE122" s="203"/>
      <c r="BF122" s="203"/>
    </row>
    <row r="123" spans="1:58" ht="15" customHeight="1">
      <c r="A123"/>
      <c r="B123"/>
      <c r="C123" s="1"/>
      <c r="D123" s="1"/>
      <c r="E123" s="1"/>
      <c r="F123" s="1"/>
      <c r="H123" s="1"/>
      <c r="K123" s="140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203"/>
      <c r="BA123" s="203"/>
      <c r="BB123" s="203"/>
      <c r="BC123" s="203"/>
      <c r="BD123" s="203"/>
      <c r="BE123" s="203"/>
      <c r="BF123" s="203"/>
    </row>
    <row r="124" spans="1:58" ht="15" customHeight="1">
      <c r="A124"/>
      <c r="B124"/>
      <c r="C124" s="1"/>
      <c r="D124" s="1"/>
      <c r="E124" s="1"/>
      <c r="F124" s="1"/>
      <c r="H124" s="1"/>
      <c r="K124" s="140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203"/>
      <c r="BA124" s="203"/>
      <c r="BB124" s="203"/>
      <c r="BC124" s="203"/>
      <c r="BD124" s="203"/>
      <c r="BE124" s="203"/>
      <c r="BF124" s="203"/>
    </row>
    <row r="125" spans="1:58" ht="15" customHeight="1">
      <c r="A125"/>
      <c r="B125"/>
      <c r="C125" s="1"/>
      <c r="D125" s="1"/>
      <c r="E125" s="1"/>
      <c r="F125" s="1"/>
      <c r="H125" s="1"/>
      <c r="K125" s="140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203"/>
      <c r="BA125" s="203"/>
      <c r="BB125" s="203"/>
      <c r="BC125" s="203"/>
      <c r="BD125" s="203"/>
      <c r="BE125" s="203"/>
      <c r="BF125" s="203"/>
    </row>
    <row r="126" spans="1:58" ht="15" customHeight="1">
      <c r="A126"/>
      <c r="B126"/>
      <c r="C126" s="1"/>
      <c r="D126" s="1"/>
      <c r="E126" s="1"/>
      <c r="F126" s="1"/>
      <c r="H126" s="1"/>
      <c r="K126" s="140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203"/>
      <c r="BA126" s="203"/>
      <c r="BB126" s="203"/>
      <c r="BC126" s="203"/>
      <c r="BD126" s="203"/>
      <c r="BE126" s="203"/>
      <c r="BF126" s="203"/>
    </row>
    <row r="127" spans="1:58" ht="15" customHeight="1">
      <c r="A127"/>
      <c r="B127"/>
      <c r="C127" s="1"/>
      <c r="D127" s="1"/>
      <c r="E127" s="1"/>
      <c r="F127" s="1"/>
      <c r="H127" s="1"/>
      <c r="K127" s="140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203"/>
      <c r="BA127" s="203"/>
      <c r="BB127" s="203"/>
      <c r="BC127" s="203"/>
      <c r="BD127" s="203"/>
      <c r="BE127" s="203"/>
      <c r="BF127" s="203"/>
    </row>
    <row r="128" spans="1:58" ht="15" customHeight="1">
      <c r="A128"/>
      <c r="B128"/>
      <c r="C128" s="1"/>
      <c r="D128" s="1"/>
      <c r="E128" s="1"/>
      <c r="F128" s="1"/>
      <c r="H128" s="1"/>
      <c r="K128" s="140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203"/>
      <c r="BA128" s="203"/>
      <c r="BB128" s="203"/>
      <c r="BC128" s="203"/>
      <c r="BD128" s="203"/>
      <c r="BE128" s="203"/>
      <c r="BF128" s="203"/>
    </row>
    <row r="129" spans="1:58" ht="15" customHeight="1">
      <c r="A129"/>
      <c r="B129"/>
      <c r="C129" s="1"/>
      <c r="D129" s="1"/>
      <c r="E129" s="1"/>
      <c r="F129" s="1"/>
      <c r="H129" s="1"/>
      <c r="K129" s="140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203"/>
      <c r="BA129" s="203"/>
      <c r="BB129" s="203"/>
      <c r="BC129" s="203"/>
      <c r="BD129" s="203"/>
      <c r="BE129" s="203"/>
      <c r="BF129" s="203"/>
    </row>
    <row r="130" spans="1:58" ht="15" customHeight="1">
      <c r="A130"/>
      <c r="B130"/>
      <c r="C130" s="1"/>
      <c r="D130" s="1"/>
      <c r="E130" s="1"/>
      <c r="F130" s="1"/>
      <c r="H130" s="1"/>
      <c r="K130" s="140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203"/>
      <c r="BA130" s="203"/>
      <c r="BB130" s="203"/>
      <c r="BC130" s="203"/>
      <c r="BD130" s="203"/>
      <c r="BE130" s="203"/>
      <c r="BF130" s="203"/>
    </row>
    <row r="131" spans="1:58" ht="15" customHeight="1">
      <c r="A131"/>
      <c r="B131"/>
      <c r="C131" s="1"/>
      <c r="D131" s="1"/>
      <c r="E131" s="1"/>
      <c r="F131" s="1"/>
      <c r="H131" s="1"/>
      <c r="K131" s="140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203"/>
      <c r="BA131" s="203"/>
      <c r="BB131" s="203"/>
      <c r="BC131" s="203"/>
      <c r="BD131" s="203"/>
      <c r="BE131" s="203"/>
      <c r="BF131" s="203"/>
    </row>
    <row r="132" spans="1:58" ht="15" customHeight="1">
      <c r="A132"/>
      <c r="B132"/>
      <c r="C132" s="1"/>
      <c r="D132" s="1"/>
      <c r="E132" s="1"/>
      <c r="F132" s="1"/>
      <c r="H132" s="1"/>
      <c r="K132" s="140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203"/>
      <c r="BA132" s="203"/>
      <c r="BB132" s="203"/>
      <c r="BC132" s="203"/>
      <c r="BD132" s="203"/>
      <c r="BE132" s="203"/>
      <c r="BF132" s="203"/>
    </row>
    <row r="133" spans="1:58" ht="15" customHeight="1">
      <c r="A133"/>
      <c r="B133"/>
      <c r="C133" s="1"/>
      <c r="D133" s="1"/>
      <c r="E133" s="1"/>
      <c r="F133" s="1"/>
      <c r="H133" s="1"/>
      <c r="K133" s="140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203"/>
      <c r="BA133" s="203"/>
      <c r="BB133" s="203"/>
      <c r="BC133" s="203"/>
      <c r="BD133" s="203"/>
      <c r="BE133" s="203"/>
      <c r="BF133" s="203"/>
    </row>
    <row r="134" spans="1:58" ht="15" customHeight="1">
      <c r="A134"/>
      <c r="B134"/>
      <c r="C134" s="1"/>
      <c r="D134" s="1"/>
      <c r="E134" s="1"/>
      <c r="F134" s="1"/>
      <c r="H134" s="1"/>
      <c r="K134" s="140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203"/>
      <c r="BA134" s="203"/>
      <c r="BB134" s="203"/>
      <c r="BC134" s="203"/>
      <c r="BD134" s="203"/>
      <c r="BE134" s="203"/>
      <c r="BF134" s="203"/>
    </row>
    <row r="135" spans="1:58" ht="15" customHeight="1">
      <c r="A135"/>
      <c r="B135"/>
      <c r="C135" s="1"/>
      <c r="D135" s="1"/>
      <c r="E135" s="1"/>
      <c r="F135" s="1"/>
      <c r="H135" s="1"/>
      <c r="K135" s="140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203"/>
      <c r="BA135" s="203"/>
      <c r="BB135" s="203"/>
      <c r="BC135" s="203"/>
      <c r="BD135" s="203"/>
      <c r="BE135" s="203"/>
      <c r="BF135" s="203"/>
    </row>
    <row r="136" spans="1:58" ht="15" customHeight="1">
      <c r="A136"/>
      <c r="B136"/>
      <c r="C136" s="1"/>
      <c r="D136" s="1"/>
      <c r="E136" s="1"/>
      <c r="F136" s="1"/>
      <c r="H136" s="1"/>
      <c r="K136" s="140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203"/>
      <c r="BA136" s="203"/>
      <c r="BB136" s="203"/>
      <c r="BC136" s="203"/>
      <c r="BD136" s="203"/>
      <c r="BE136" s="203"/>
      <c r="BF136" s="203"/>
    </row>
    <row r="137" spans="1:58" ht="15" customHeight="1">
      <c r="A137"/>
      <c r="B137"/>
      <c r="C137" s="1"/>
      <c r="D137" s="1"/>
      <c r="E137" s="1"/>
      <c r="F137" s="1"/>
      <c r="H137" s="1"/>
      <c r="K137" s="140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203"/>
      <c r="BA137" s="203"/>
      <c r="BB137" s="203"/>
      <c r="BC137" s="203"/>
      <c r="BD137" s="203"/>
      <c r="BE137" s="203"/>
      <c r="BF137" s="203"/>
    </row>
    <row r="138" spans="1:58" ht="15" customHeight="1">
      <c r="A138"/>
      <c r="B138"/>
      <c r="C138" s="1"/>
      <c r="D138" s="1"/>
      <c r="E138" s="1"/>
      <c r="F138" s="1"/>
      <c r="H138" s="1"/>
      <c r="K138" s="140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203"/>
      <c r="BA138" s="203"/>
      <c r="BB138" s="203"/>
      <c r="BC138" s="203"/>
      <c r="BD138" s="203"/>
      <c r="BE138" s="203"/>
      <c r="BF138" s="203"/>
    </row>
    <row r="139" spans="1:58" ht="15" customHeight="1">
      <c r="A139"/>
      <c r="B139"/>
      <c r="C139" s="1"/>
      <c r="D139" s="1"/>
      <c r="E139" s="1"/>
      <c r="F139" s="1"/>
      <c r="H139" s="1"/>
      <c r="K139" s="140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203"/>
      <c r="BA139" s="203"/>
      <c r="BB139" s="203"/>
      <c r="BC139" s="203"/>
      <c r="BD139" s="203"/>
      <c r="BE139" s="203"/>
      <c r="BF139" s="203"/>
    </row>
    <row r="140" spans="1:58" ht="15" customHeight="1">
      <c r="A140"/>
      <c r="B140"/>
      <c r="C140" s="1"/>
      <c r="D140" s="1"/>
      <c r="E140" s="1"/>
      <c r="F140" s="1"/>
      <c r="H140" s="1"/>
      <c r="K140" s="140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203"/>
      <c r="BA140" s="203"/>
      <c r="BB140" s="203"/>
      <c r="BC140" s="203"/>
      <c r="BD140" s="203"/>
      <c r="BE140" s="203"/>
      <c r="BF140" s="203"/>
    </row>
    <row r="141" spans="1:58" ht="15" customHeight="1">
      <c r="A141"/>
      <c r="B141"/>
      <c r="C141" s="1"/>
      <c r="D141" s="1"/>
      <c r="E141" s="1"/>
      <c r="F141" s="1"/>
      <c r="H141" s="1"/>
      <c r="K141" s="140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203"/>
      <c r="BA141" s="203"/>
      <c r="BB141" s="203"/>
      <c r="BC141" s="203"/>
      <c r="BD141" s="203"/>
      <c r="BE141" s="203"/>
      <c r="BF141" s="203"/>
    </row>
    <row r="142" spans="1:58" ht="15" customHeight="1">
      <c r="A142"/>
      <c r="B142"/>
      <c r="C142" s="1"/>
      <c r="D142" s="1"/>
      <c r="E142" s="1"/>
      <c r="F142" s="1"/>
      <c r="H142" s="1"/>
      <c r="K142" s="140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203"/>
      <c r="BA142" s="203"/>
      <c r="BB142" s="203"/>
      <c r="BC142" s="203"/>
      <c r="BD142" s="203"/>
      <c r="BE142" s="203"/>
      <c r="BF142" s="203"/>
    </row>
    <row r="143" spans="1:58" ht="15" customHeight="1">
      <c r="A143"/>
      <c r="B143"/>
      <c r="C143" s="1"/>
      <c r="D143" s="1"/>
      <c r="E143" s="1"/>
      <c r="F143" s="1"/>
      <c r="H143" s="1"/>
      <c r="K143" s="140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203"/>
      <c r="BA143" s="203"/>
      <c r="BB143" s="203"/>
      <c r="BC143" s="203"/>
      <c r="BD143" s="203"/>
      <c r="BE143" s="203"/>
      <c r="BF143" s="203"/>
    </row>
    <row r="144" spans="1:58" ht="15" customHeight="1">
      <c r="A144"/>
      <c r="B144"/>
      <c r="C144" s="1"/>
      <c r="D144" s="1"/>
      <c r="E144" s="1"/>
      <c r="F144" s="1"/>
      <c r="H144" s="1"/>
      <c r="K144" s="140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203"/>
      <c r="BA144" s="203"/>
      <c r="BB144" s="203"/>
      <c r="BC144" s="203"/>
      <c r="BD144" s="203"/>
      <c r="BE144" s="203"/>
      <c r="BF144" s="203"/>
    </row>
    <row r="145" spans="1:58" ht="15" customHeight="1">
      <c r="A145"/>
      <c r="B145"/>
      <c r="C145" s="1"/>
      <c r="D145" s="1"/>
      <c r="E145" s="1"/>
      <c r="F145" s="1"/>
      <c r="H145" s="1"/>
      <c r="K145" s="140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203"/>
      <c r="BA145" s="203"/>
      <c r="BB145" s="203"/>
      <c r="BC145" s="203"/>
      <c r="BD145" s="203"/>
      <c r="BE145" s="203"/>
      <c r="BF145" s="203"/>
    </row>
    <row r="146" spans="1:58" ht="15" customHeight="1">
      <c r="A146"/>
      <c r="B146"/>
      <c r="C146" s="1"/>
      <c r="D146" s="1"/>
      <c r="E146" s="1"/>
      <c r="F146" s="1"/>
      <c r="H146" s="1"/>
      <c r="K146" s="140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203"/>
      <c r="BA146" s="203"/>
      <c r="BB146" s="203"/>
      <c r="BC146" s="203"/>
      <c r="BD146" s="203"/>
      <c r="BE146" s="203"/>
      <c r="BF146" s="203"/>
    </row>
    <row r="147" spans="1:58" ht="15" customHeight="1">
      <c r="A147"/>
      <c r="B147"/>
      <c r="C147" s="1"/>
      <c r="D147" s="1"/>
      <c r="E147" s="1"/>
      <c r="F147" s="1"/>
      <c r="H147" s="1"/>
      <c r="K147" s="140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203"/>
      <c r="BA147" s="203"/>
      <c r="BB147" s="203"/>
      <c r="BC147" s="203"/>
      <c r="BD147" s="203"/>
      <c r="BE147" s="203"/>
      <c r="BF147" s="203"/>
    </row>
    <row r="148" spans="1:58" ht="15" customHeight="1">
      <c r="A148"/>
      <c r="B148"/>
      <c r="C148" s="1"/>
      <c r="D148" s="1"/>
      <c r="E148" s="1"/>
      <c r="F148" s="1"/>
      <c r="H148" s="1"/>
      <c r="K148" s="140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203"/>
      <c r="BA148" s="203"/>
      <c r="BB148" s="203"/>
      <c r="BC148" s="203"/>
      <c r="BD148" s="203"/>
      <c r="BE148" s="203"/>
      <c r="BF148" s="203"/>
    </row>
    <row r="149" spans="1:58" ht="15" customHeight="1">
      <c r="A149"/>
      <c r="B149"/>
      <c r="C149" s="1"/>
      <c r="D149" s="1"/>
      <c r="E149" s="1"/>
      <c r="F149" s="1"/>
      <c r="H149" s="1"/>
      <c r="K149" s="140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203"/>
      <c r="BA149" s="203"/>
      <c r="BB149" s="203"/>
      <c r="BC149" s="203"/>
      <c r="BD149" s="203"/>
      <c r="BE149" s="203"/>
      <c r="BF149" s="203"/>
    </row>
    <row r="150" spans="1:58" ht="15" customHeight="1">
      <c r="A150"/>
      <c r="B150"/>
      <c r="C150" s="1"/>
      <c r="D150" s="1"/>
      <c r="E150" s="1"/>
      <c r="F150" s="1"/>
      <c r="H150" s="1"/>
      <c r="K150" s="140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203"/>
      <c r="BA150" s="203"/>
      <c r="BB150" s="203"/>
      <c r="BC150" s="203"/>
      <c r="BD150" s="203"/>
      <c r="BE150" s="203"/>
      <c r="BF150" s="203"/>
    </row>
    <row r="151" spans="1:58" ht="15" customHeight="1">
      <c r="A151"/>
      <c r="B151"/>
      <c r="C151" s="1"/>
      <c r="D151" s="1"/>
      <c r="E151" s="1"/>
      <c r="F151" s="1"/>
      <c r="H151" s="1"/>
      <c r="K151" s="140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203"/>
      <c r="BA151" s="203"/>
      <c r="BB151" s="203"/>
      <c r="BC151" s="203"/>
      <c r="BD151" s="203"/>
      <c r="BE151" s="203"/>
      <c r="BF151" s="203"/>
    </row>
    <row r="152" spans="1:58" ht="15" customHeight="1">
      <c r="A152"/>
      <c r="B152"/>
      <c r="C152" s="1"/>
      <c r="D152" s="1"/>
      <c r="E152" s="1"/>
      <c r="F152" s="1"/>
      <c r="H152" s="1"/>
      <c r="K152" s="140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203"/>
      <c r="BA152" s="203"/>
      <c r="BB152" s="203"/>
      <c r="BC152" s="203"/>
      <c r="BD152" s="203"/>
      <c r="BE152" s="203"/>
      <c r="BF152" s="203"/>
    </row>
    <row r="153" spans="1:58" ht="15" customHeight="1">
      <c r="A153"/>
      <c r="B153"/>
      <c r="C153" s="1"/>
      <c r="D153" s="1"/>
      <c r="E153" s="1"/>
      <c r="F153" s="1"/>
      <c r="H153" s="1"/>
      <c r="K153" s="140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203"/>
      <c r="BA153" s="203"/>
      <c r="BB153" s="203"/>
      <c r="BC153" s="203"/>
      <c r="BD153" s="203"/>
      <c r="BE153" s="203"/>
      <c r="BF153" s="203"/>
    </row>
    <row r="154" spans="1:58" ht="15" customHeight="1">
      <c r="A154"/>
      <c r="B154"/>
      <c r="C154" s="1"/>
      <c r="D154" s="1"/>
      <c r="E154" s="1"/>
      <c r="F154" s="1"/>
      <c r="H154" s="1"/>
      <c r="K154" s="140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203"/>
      <c r="BA154" s="203"/>
      <c r="BB154" s="203"/>
      <c r="BC154" s="203"/>
      <c r="BD154" s="203"/>
      <c r="BE154" s="203"/>
      <c r="BF154" s="203"/>
    </row>
    <row r="155" spans="1:58" ht="15" customHeight="1">
      <c r="A155"/>
      <c r="B155"/>
      <c r="C155" s="1"/>
      <c r="D155" s="1"/>
      <c r="E155" s="1"/>
      <c r="F155" s="1"/>
      <c r="H155" s="1"/>
      <c r="K155" s="140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203"/>
      <c r="BA155" s="203"/>
      <c r="BB155" s="203"/>
      <c r="BC155" s="203"/>
      <c r="BD155" s="203"/>
      <c r="BE155" s="203"/>
      <c r="BF155" s="203"/>
    </row>
    <row r="156" spans="1:58" ht="15" customHeight="1">
      <c r="A156"/>
      <c r="B156"/>
      <c r="C156" s="1"/>
      <c r="D156" s="1"/>
      <c r="E156" s="1"/>
      <c r="F156" s="1"/>
      <c r="H156" s="1"/>
      <c r="K156" s="140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203"/>
      <c r="BA156" s="203"/>
      <c r="BB156" s="203"/>
      <c r="BC156" s="203"/>
      <c r="BD156" s="203"/>
      <c r="BE156" s="203"/>
      <c r="BF156" s="203"/>
    </row>
    <row r="157" spans="1:58" ht="15" customHeight="1">
      <c r="A157"/>
      <c r="B157"/>
      <c r="C157" s="1"/>
      <c r="D157" s="1"/>
      <c r="E157" s="1"/>
      <c r="F157" s="1"/>
      <c r="H157" s="1"/>
      <c r="K157" s="140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203"/>
      <c r="BA157" s="203"/>
      <c r="BB157" s="203"/>
      <c r="BC157" s="203"/>
      <c r="BD157" s="203"/>
      <c r="BE157" s="203"/>
      <c r="BF157" s="203"/>
    </row>
    <row r="158" spans="1:58" ht="15" customHeight="1">
      <c r="A158"/>
      <c r="B158"/>
      <c r="C158" s="1"/>
      <c r="D158" s="1"/>
      <c r="E158" s="1"/>
      <c r="F158" s="1"/>
      <c r="H158" s="1"/>
      <c r="K158" s="140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203"/>
      <c r="BA158" s="203"/>
      <c r="BB158" s="203"/>
      <c r="BC158" s="203"/>
      <c r="BD158" s="203"/>
      <c r="BE158" s="203"/>
      <c r="BF158" s="203"/>
    </row>
    <row r="159" spans="1:58" ht="15" customHeight="1">
      <c r="A159"/>
      <c r="B159"/>
      <c r="C159" s="1"/>
      <c r="D159" s="1"/>
      <c r="E159" s="1"/>
      <c r="F159" s="1"/>
      <c r="H159" s="1"/>
      <c r="K159" s="140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203"/>
      <c r="BA159" s="203"/>
      <c r="BB159" s="203"/>
      <c r="BC159" s="203"/>
      <c r="BD159" s="203"/>
      <c r="BE159" s="203"/>
      <c r="BF159" s="203"/>
    </row>
    <row r="160" spans="1:58" ht="15" customHeight="1">
      <c r="A160"/>
      <c r="B160"/>
      <c r="C160" s="1"/>
      <c r="D160" s="1"/>
      <c r="E160" s="1"/>
      <c r="F160" s="1"/>
      <c r="H160" s="1"/>
      <c r="K160" s="140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203"/>
      <c r="BA160" s="203"/>
      <c r="BB160" s="203"/>
      <c r="BC160" s="203"/>
      <c r="BD160" s="203"/>
      <c r="BE160" s="203"/>
      <c r="BF160" s="203"/>
    </row>
    <row r="161" spans="1:58" ht="15" customHeight="1">
      <c r="A161"/>
      <c r="B161"/>
      <c r="C161" s="1"/>
      <c r="D161" s="1"/>
      <c r="E161" s="1"/>
      <c r="F161" s="1"/>
      <c r="H161" s="1"/>
      <c r="K161" s="140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203"/>
      <c r="BA161" s="203"/>
      <c r="BB161" s="203"/>
      <c r="BC161" s="203"/>
      <c r="BD161" s="203"/>
      <c r="BE161" s="203"/>
      <c r="BF161" s="203"/>
    </row>
    <row r="162" spans="1:58" ht="15" customHeight="1">
      <c r="A162"/>
      <c r="B162"/>
      <c r="C162" s="1"/>
      <c r="D162" s="1"/>
      <c r="E162" s="1"/>
      <c r="F162" s="1"/>
      <c r="H162" s="1"/>
      <c r="K162" s="140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203"/>
      <c r="BA162" s="203"/>
      <c r="BB162" s="203"/>
      <c r="BC162" s="203"/>
      <c r="BD162" s="203"/>
      <c r="BE162" s="203"/>
      <c r="BF162" s="203"/>
    </row>
    <row r="163" spans="1:58" ht="15" customHeight="1">
      <c r="A163"/>
      <c r="B163"/>
      <c r="C163" s="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99"/>
      <c r="BA163" s="199"/>
      <c r="BB163" s="199"/>
      <c r="BC163" s="199"/>
      <c r="BD163" s="199"/>
      <c r="BE163" s="199"/>
      <c r="BF163" s="199"/>
    </row>
    <row r="164" spans="1:58" ht="15" customHeight="1">
      <c r="A164"/>
      <c r="B164"/>
      <c r="C164" s="12" t="s">
        <v>49</v>
      </c>
      <c r="D164" s="50"/>
      <c r="E164" s="50"/>
      <c r="F164" s="50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1"/>
      <c r="AW164" s="51"/>
      <c r="AX164" s="51"/>
      <c r="AY164" s="51"/>
      <c r="AZ164" s="203"/>
      <c r="BA164" s="203"/>
      <c r="BB164" s="203"/>
      <c r="BC164" s="203"/>
      <c r="BD164" s="203"/>
      <c r="BE164" s="203"/>
      <c r="BF164" s="203"/>
    </row>
    <row r="165" spans="1:58" ht="15" customHeight="1"/>
  </sheetData>
  <phoneticPr fontId="65" type="noConversion"/>
  <conditionalFormatting sqref="L37:BF37">
    <cfRule type="cellIs" dxfId="7" priority="6" stopIfTrue="1" operator="equal">
      <formula>FALSE()</formula>
    </cfRule>
  </conditionalFormatting>
  <conditionalFormatting sqref="L88:BF88">
    <cfRule type="cellIs" dxfId="6" priority="7" stopIfTrue="1" operator="equal">
      <formula>FALSE()</formula>
    </cfRule>
  </conditionalFormatting>
  <conditionalFormatting sqref="L106:BF106">
    <cfRule type="cellIs" dxfId="5" priority="8" stopIfTrue="1" operator="equal">
      <formula>FALSE()</formula>
    </cfRule>
  </conditionalFormatting>
  <pageMargins left="0.23622047244094502" right="0.23622047244094502" top="0.74803149606299213" bottom="0.74803149606299213" header="0.31496062992126012" footer="0.31496062992126012"/>
  <pageSetup paperSize="0" fitToHeight="0" orientation="landscape" horizontalDpi="0" verticalDpi="0" copie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C6947C0F765F428416B2828D309B65" ma:contentTypeVersion="12" ma:contentTypeDescription="Create a new document." ma:contentTypeScope="" ma:versionID="a1084e3a969a6937a6a378eb151ed18e">
  <xsd:schema xmlns:xsd="http://www.w3.org/2001/XMLSchema" xmlns:xs="http://www.w3.org/2001/XMLSchema" xmlns:p="http://schemas.microsoft.com/office/2006/metadata/properties" xmlns:ns1="http://schemas.microsoft.com/sharepoint/v3" xmlns:ns2="3ffacce4-957f-4f0a-910f-9efe2ecf512c" xmlns:ns3="d66eba0d-a2b9-4833-9603-ab5d8f45883c" targetNamespace="http://schemas.microsoft.com/office/2006/metadata/properties" ma:root="true" ma:fieldsID="d940df6e83dec7b2207e4c4c57a8da89" ns1:_="" ns2:_="" ns3:_="">
    <xsd:import namespace="http://schemas.microsoft.com/sharepoint/v3"/>
    <xsd:import namespace="3ffacce4-957f-4f0a-910f-9efe2ecf512c"/>
    <xsd:import namespace="d66eba0d-a2b9-4833-9603-ab5d8f45883c"/>
    <xsd:element name="properties">
      <xsd:complexType>
        <xsd:sequence>
          <xsd:element name="documentManagement">
            <xsd:complexType>
              <xsd:all>
                <xsd:element ref="ns2:PublicationRequestID" minOccurs="0"/>
                <xsd:element ref="ns2:DocumentTitle" minOccurs="0"/>
                <xsd:element ref="ns2:DocumentRank" minOccurs="0"/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facce4-957f-4f0a-910f-9efe2ecf512c" elementFormDefault="qualified">
    <xsd:import namespace="http://schemas.microsoft.com/office/2006/documentManagement/types"/>
    <xsd:import namespace="http://schemas.microsoft.com/office/infopath/2007/PartnerControls"/>
    <xsd:element name="PublicationRequestID" ma:index="8" nillable="true" ma:displayName="PublicationRequestID" ma:format="Dropdown" ma:internalName="PublicationRequestID" ma:percentage="FALSE">
      <xsd:simpleType>
        <xsd:restriction base="dms:Number"/>
      </xsd:simpleType>
    </xsd:element>
    <xsd:element name="DocumentTitle" ma:index="9" nillable="true" ma:displayName="DocumentTitle" ma:format="Dropdown" ma:internalName="DocumentTitle">
      <xsd:simpleType>
        <xsd:restriction base="dms:Note">
          <xsd:maxLength value="255"/>
        </xsd:restriction>
      </xsd:simpleType>
    </xsd:element>
    <xsd:element name="DocumentRank" ma:index="10" nillable="true" ma:displayName="DocumentImportance" ma:format="Dropdown" ma:internalName="DocumentRank">
      <xsd:simpleType>
        <xsd:restriction base="dms:Text">
          <xsd:maxLength value="255"/>
        </xsd:restriction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f1db303c-1d0a-4523-bf11-6998614b37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6eba0d-a2b9-4833-9603-ab5d8f45883c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bdb3995f-4898-4ee6-8000-b65c76445445}" ma:internalName="TaxCatchAll" ma:showField="CatchAllData" ma:web="d66eba0d-a2b9-4833-9603-ab5d8f4588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3ffacce4-957f-4f0a-910f-9efe2ecf512c">
      <Terms xmlns="http://schemas.microsoft.com/office/infopath/2007/PartnerControls"/>
    </lcf76f155ced4ddcb4097134ff3c332f>
    <TaxCatchAll xmlns="d66eba0d-a2b9-4833-9603-ab5d8f45883c" xsi:nil="true"/>
    <PublicationRequestID xmlns="3ffacce4-957f-4f0a-910f-9efe2ecf512c">1373</PublicationRequestID>
    <DocumentTitle xmlns="3ffacce4-957f-4f0a-910f-9efe2ecf512c">LDES Window 1 Cap and Floor Financial Model V1.0</DocumentTitle>
    <DocumentRank xmlns="3ffacce4-957f-4f0a-910f-9efe2ecf512c">Subsidiary</DocumentRank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userSelected"/>
</file>

<file path=customXml/itemProps1.xml><?xml version="1.0" encoding="utf-8"?>
<ds:datastoreItem xmlns:ds="http://schemas.openxmlformats.org/officeDocument/2006/customXml" ds:itemID="{D890416F-B92A-4FC3-B878-D8CEDBF3FC57}"/>
</file>

<file path=customXml/itemProps2.xml><?xml version="1.0" encoding="utf-8"?>
<ds:datastoreItem xmlns:ds="http://schemas.openxmlformats.org/officeDocument/2006/customXml" ds:itemID="{6DD44E81-67DF-42C1-8B5E-8056368E3905}"/>
</file>

<file path=customXml/itemProps3.xml><?xml version="1.0" encoding="utf-8"?>
<ds:datastoreItem xmlns:ds="http://schemas.openxmlformats.org/officeDocument/2006/customXml" ds:itemID="{A9D82379-4A7B-4F47-8A84-797CDBF83B67}"/>
</file>

<file path=customXml/itemProps4.xml><?xml version="1.0" encoding="utf-8"?>
<ds:datastoreItem xmlns:ds="http://schemas.openxmlformats.org/officeDocument/2006/customXml" ds:itemID="{1DAC9F3D-A615-4CEE-9F66-9EE8E58DFE4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LDES CFFM1 - LDES Cap and Floor Financial Model 1</dc:title>
  <dc:subject/>
  <dc:creator/>
  <cp:keywords/>
  <dc:description/>
  <cp:lastModifiedBy/>
  <cp:revision/>
  <dcterms:created xsi:type="dcterms:W3CDTF">2014-03-17T11:35:35Z</dcterms:created>
  <dcterms:modified xsi:type="dcterms:W3CDTF">2025-06-18T12:00:35Z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0x010100D7C6947C0F765F428416B2828D309B65</vt:lpwstr>
  </property>
  <property fmtid="{D5CDD505-2E9C-101B-9397-08002B2CF9AE}" pid="3" name="Select Content Type Above">
    <vt:lpwstr/>
  </property>
  <property fmtid="{D5CDD505-2E9C-101B-9397-08002B2CF9AE}" pid="4" name="Order">
    <vt:r8>2893600</vt:r8>
  </property>
  <property fmtid="{D5CDD505-2E9C-101B-9397-08002B2CF9AE}" pid="5" name="Applicable Start Date">
    <vt:filetime>2014-03-17T00:00:00Z</vt:filetime>
  </property>
  <property fmtid="{D5CDD505-2E9C-101B-9397-08002B2CF9AE}" pid="6" name="URL">
    <vt:lpwstr/>
  </property>
  <property fmtid="{D5CDD505-2E9C-101B-9397-08002B2CF9AE}" pid="7" name="From">
    <vt:lpwstr/>
  </property>
  <property fmtid="{D5CDD505-2E9C-101B-9397-08002B2CF9AE}" pid="8" name="Project Sponsor">
    <vt:lpwstr/>
  </property>
  <property fmtid="{D5CDD505-2E9C-101B-9397-08002B2CF9AE}" pid="9" name="BCC">
    <vt:lpwstr/>
  </property>
  <property fmtid="{D5CDD505-2E9C-101B-9397-08002B2CF9AE}" pid="10" name="xd_ProgID">
    <vt:lpwstr/>
  </property>
  <property fmtid="{D5CDD505-2E9C-101B-9397-08002B2CF9AE}" pid="11" name="_Version">
    <vt:lpwstr/>
  </property>
  <property fmtid="{D5CDD505-2E9C-101B-9397-08002B2CF9AE}" pid="12" name="Project Manager">
    <vt:lpwstr/>
  </property>
  <property fmtid="{D5CDD505-2E9C-101B-9397-08002B2CF9AE}" pid="13" name="Ref No">
    <vt:lpwstr/>
  </property>
  <property fmtid="{D5CDD505-2E9C-101B-9397-08002B2CF9AE}" pid="14" name="Applicable Duration">
    <vt:lpwstr>-</vt:lpwstr>
  </property>
  <property fmtid="{D5CDD505-2E9C-101B-9397-08002B2CF9AE}" pid="15" name="Project Name">
    <vt:lpwstr/>
  </property>
  <property fmtid="{D5CDD505-2E9C-101B-9397-08002B2CF9AE}" pid="16" name="Project Owner">
    <vt:lpwstr/>
  </property>
  <property fmtid="{D5CDD505-2E9C-101B-9397-08002B2CF9AE}" pid="17" name="TemplateUrl">
    <vt:lpwstr/>
  </property>
  <property fmtid="{D5CDD505-2E9C-101B-9397-08002B2CF9AE}" pid="18" name="CC">
    <vt:lpwstr/>
  </property>
  <property fmtid="{D5CDD505-2E9C-101B-9397-08002B2CF9AE}" pid="19" name="DLCPolicyLabelLock">
    <vt:lpwstr/>
  </property>
  <property fmtid="{D5CDD505-2E9C-101B-9397-08002B2CF9AE}" pid="20" name="To">
    <vt:lpwstr/>
  </property>
  <property fmtid="{D5CDD505-2E9C-101B-9397-08002B2CF9AE}" pid="21" name="::">
    <vt:lpwstr/>
  </property>
  <property fmtid="{D5CDD505-2E9C-101B-9397-08002B2CF9AE}" pid="22" name="Attach Count">
    <vt:lpwstr/>
  </property>
  <property fmtid="{D5CDD505-2E9C-101B-9397-08002B2CF9AE}" pid="23" name=":">
    <vt:lpwstr/>
  </property>
  <property fmtid="{D5CDD505-2E9C-101B-9397-08002B2CF9AE}" pid="24" name="Importance">
    <vt:lpwstr/>
  </property>
  <property fmtid="{D5CDD505-2E9C-101B-9397-08002B2CF9AE}" pid="25" name="DLCPolicyLabelClientValue">
    <vt:lpwstr>Version : {_UIVersionString}</vt:lpwstr>
  </property>
  <property fmtid="{D5CDD505-2E9C-101B-9397-08002B2CF9AE}" pid="26" name="docIndexRef">
    <vt:lpwstr>e8c5d3e4-b29a-4bc9-b338-4aa0c973637c</vt:lpwstr>
  </property>
  <property fmtid="{D5CDD505-2E9C-101B-9397-08002B2CF9AE}" pid="27" name="bjSaver">
    <vt:lpwstr>F4pwnGwIynODlByWBfXh7WvHa6LyLkXu</vt:lpwstr>
  </property>
  <property fmtid="{D5CDD505-2E9C-101B-9397-08002B2CF9AE}" pid="28" name="_NewReviewCycle">
    <vt:lpwstr/>
  </property>
  <property fmtid="{D5CDD505-2E9C-101B-9397-08002B2CF9AE}" pid="29" name="BJSCc5a055b0-1bed-4579_x">
    <vt:lpwstr/>
  </property>
  <property fmtid="{D5CDD505-2E9C-101B-9397-08002B2CF9AE}" pid="30" name="BJSCSummaryMarking">
    <vt:lpwstr>This item has no classification</vt:lpwstr>
  </property>
  <property fmtid="{D5CDD505-2E9C-101B-9397-08002B2CF9AE}" pid="31" name="BJSCInternalLabe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xmlns="http://www.boldonjames.com/2008/01/sie/internal/label" /&gt;</vt:lpwstr>
  </property>
  <property fmtid="{D5CDD505-2E9C-101B-9397-08002B2CF9AE}" pid="32" name="BJSCdd9eba61-d6b9-469b_x">
    <vt:lpwstr/>
  </property>
  <property fmtid="{D5CDD505-2E9C-101B-9397-08002B2CF9AE}" pid="33" name="MSIP_Label_cf522692-ceb7-4085-8247-6714b36fbebd_Parent">
    <vt:lpwstr>8b9e06dd-3a25-4f08-96ab-98bbec63d952</vt:lpwstr>
  </property>
  <property fmtid="{D5CDD505-2E9C-101B-9397-08002B2CF9AE}" pid="34" name="MSIP_Label_cf522692-ceb7-4085-8247-6714b36fbebd_Removed">
    <vt:lpwstr>False</vt:lpwstr>
  </property>
  <property fmtid="{D5CDD505-2E9C-101B-9397-08002B2CF9AE}" pid="35" name="MSIP_Label_cf522692-ceb7-4085-8247-6714b36fbebd_ActionId">
    <vt:lpwstr>86e765bd-e702-4911-964d-92c06f0bc386</vt:lpwstr>
  </property>
  <property fmtid="{D5CDD505-2E9C-101B-9397-08002B2CF9AE}" pid="36" name="MSIP_Label_cf522692-ceb7-4085-8247-6714b36fbebd_Name">
    <vt:lpwstr>OFFICIAL-SENSITIVE. \ _InternalOnly</vt:lpwstr>
  </property>
  <property fmtid="{D5CDD505-2E9C-101B-9397-08002B2CF9AE}" pid="37" name="MSIP_Label_cf522692-ceb7-4085-8247-6714b36fbebd_SetDate">
    <vt:lpwstr>2025-06-13T13:27:24Z</vt:lpwstr>
  </property>
  <property fmtid="{D5CDD505-2E9C-101B-9397-08002B2CF9AE}" pid="38" name="MSIP_Label_cf522692-ceb7-4085-8247-6714b36fbebd_SiteId">
    <vt:lpwstr>185562ad-39bc-4840-8e40-be6216340c52</vt:lpwstr>
  </property>
  <property fmtid="{D5CDD505-2E9C-101B-9397-08002B2CF9AE}" pid="39" name="MSIP_Label_cf522692-ceb7-4085-8247-6714b36fbebd_Enabled">
    <vt:lpwstr>True</vt:lpwstr>
  </property>
  <property fmtid="{D5CDD505-2E9C-101B-9397-08002B2CF9AE}" pid="40" name="bjClsUserRVM">
    <vt:lpwstr>[]</vt:lpwstr>
  </property>
  <property fmtid="{D5CDD505-2E9C-101B-9397-08002B2CF9AE}" pid="41" name="bjDocumentSecurityLabel">
    <vt:lpwstr>This item has no classification</vt:lpwstr>
  </property>
  <property fmtid="{D5CDD505-2E9C-101B-9397-08002B2CF9AE}" pid="42" name="RoutingRuleDescription">
    <vt:lpwstr/>
  </property>
  <property fmtid="{D5CDD505-2E9C-101B-9397-08002B2CF9AE}" pid="43" name="MediaServiceImageTags">
    <vt:lpwstr/>
  </property>
  <property fmtid="{D5CDD505-2E9C-101B-9397-08002B2CF9AE}" pid="44" name="SharedWithUsers">
    <vt:lpwstr>303;#Ubah Abraham;#23;#Okon Enyenihi</vt:lpwstr>
  </property>
  <property fmtid="{D5CDD505-2E9C-101B-9397-08002B2CF9AE}" pid="45" name="MSIP_Label_cf522692-ceb7-4085-8247-6714b36fbebd_Extended_MSFT_Method">
    <vt:lpwstr>Standard</vt:lpwstr>
  </property>
  <property fmtid="{D5CDD505-2E9C-101B-9397-08002B2CF9AE}" pid="46" name="MSIP_Label_8b9e06dd-3a25-4f08-96ab-98bbec63d952_Enabled">
    <vt:lpwstr>True</vt:lpwstr>
  </property>
  <property fmtid="{D5CDD505-2E9C-101B-9397-08002B2CF9AE}" pid="47" name="MSIP_Label_8b9e06dd-3a25-4f08-96ab-98bbec63d952_SiteId">
    <vt:lpwstr>185562ad-39bc-4840-8e40-be6216340c52</vt:lpwstr>
  </property>
  <property fmtid="{D5CDD505-2E9C-101B-9397-08002B2CF9AE}" pid="48" name="MSIP_Label_8b9e06dd-3a25-4f08-96ab-98bbec63d952_SetDate">
    <vt:lpwstr>2025-06-13T13:27:24Z</vt:lpwstr>
  </property>
  <property fmtid="{D5CDD505-2E9C-101B-9397-08002B2CF9AE}" pid="49" name="MSIP_Label_8b9e06dd-3a25-4f08-96ab-98bbec63d952_Name">
    <vt:lpwstr>OFFICIAL-SENSITIVE.</vt:lpwstr>
  </property>
  <property fmtid="{D5CDD505-2E9C-101B-9397-08002B2CF9AE}" pid="50" name="MSIP_Label_8b9e06dd-3a25-4f08-96ab-98bbec63d952_ActionId">
    <vt:lpwstr>ca4d36d8-46da-41ac-9254-ca0b2fbb7e97</vt:lpwstr>
  </property>
  <property fmtid="{D5CDD505-2E9C-101B-9397-08002B2CF9AE}" pid="51" name="MSIP_Label_8b9e06dd-3a25-4f08-96ab-98bbec63d952_Extended_MSFT_Method">
    <vt:lpwstr>Standard</vt:lpwstr>
  </property>
  <property fmtid="{D5CDD505-2E9C-101B-9397-08002B2CF9AE}" pid="52" name="Sensitivity">
    <vt:lpwstr>OFFICIAL-SENSITIVE. \ _InternalOnly OFFICIAL-SENSITIVE.</vt:lpwstr>
  </property>
</Properties>
</file>